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8"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state="hidden" r:id="rId23"/>
    <sheet name="收益法 (元)" sheetId="67" state="hidden" r:id="rId24"/>
    <sheet name="比较法-住宅" sheetId="21" r:id="rId25"/>
    <sheet name="成本法车库" sheetId="77" state="hidden" r:id="rId26"/>
    <sheet name="成本法仓储" sheetId="78"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9" r:id="rId47"/>
    <sheet name="位置图" sheetId="88" r:id="rId48"/>
    <sheet name="华远铭悦世家" sheetId="80" r:id="rId49"/>
    <sheet name="富力尚悦居" sheetId="81" state="hidden" r:id="rId50"/>
    <sheet name="保利罗兰香谷" sheetId="84" state="hidden" r:id="rId51"/>
    <sheet name="富力惠兰美居" sheetId="82" state="hidden" r:id="rId52"/>
    <sheet name="案例D" sheetId="83" state="hidden" r:id="rId53"/>
    <sheet name="宏仁家园" sheetId="85" state="hidden" r:id="rId54"/>
    <sheet name="中建雅颂居" sheetId="86" state="hidden" r:id="rId55"/>
    <sheet name="东亚逸品阁" sheetId="87" r:id="rId56"/>
    <sheet name="金隅花石匠" sheetId="89" state="hidden" r:id="rId57"/>
    <sheet name="珠江拉维小镇" sheetId="90" r:id="rId5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J7" i="21" l="1"/>
  <c r="H7" i="21"/>
  <c r="L8" i="1"/>
  <c r="L7" i="1"/>
  <c r="G38" i="39"/>
  <c r="G46" i="39"/>
  <c r="P11" i="84"/>
  <c r="R11" i="84"/>
  <c r="T10" i="84"/>
  <c r="T11" i="84"/>
  <c r="R10" i="84"/>
  <c r="R9" i="84"/>
  <c r="S10" i="84"/>
  <c r="U10" i="84"/>
  <c r="S11" i="84"/>
  <c r="I38" i="39"/>
  <c r="E38" i="39"/>
  <c r="Q11" i="83"/>
  <c r="S11" i="83"/>
  <c r="U10" i="83"/>
  <c r="U11" i="83"/>
  <c r="S10" i="83"/>
  <c r="F7" i="39"/>
  <c r="S9" i="83"/>
  <c r="T10" i="83"/>
  <c r="E47" i="21"/>
  <c r="I46" i="39"/>
  <c r="E46" i="39"/>
  <c r="O10" i="82"/>
  <c r="Q10" i="82"/>
  <c r="Q8" i="82"/>
  <c r="Q9" i="82"/>
  <c r="V10" i="83"/>
  <c r="T11" i="83"/>
  <c r="R9" i="82"/>
  <c r="S9" i="82"/>
  <c r="S10" i="82"/>
  <c r="Q9" i="81"/>
  <c r="O10" i="81"/>
  <c r="Q10" i="81"/>
  <c r="Q8" i="81"/>
  <c r="R9" i="81"/>
  <c r="S9" i="81"/>
  <c r="S10" i="81"/>
  <c r="U8" i="80"/>
  <c r="T9" i="80"/>
  <c r="T8" i="80"/>
  <c r="S9" i="80"/>
  <c r="S8" i="80"/>
  <c r="R7" i="80"/>
  <c r="R9" i="80"/>
  <c r="R8" i="80"/>
  <c r="P8" i="80"/>
  <c r="K23" i="21"/>
  <c r="K21" i="21"/>
  <c r="K19" i="21"/>
  <c r="K17" i="21"/>
  <c r="K15" i="21"/>
  <c r="I7" i="39"/>
  <c r="G7" i="39"/>
  <c r="E7" i="39"/>
  <c r="A6" i="1"/>
  <c r="A7" i="1"/>
  <c r="A8" i="1"/>
  <c r="G1" i="78"/>
  <c r="G21" i="6"/>
  <c r="E21" i="6"/>
  <c r="K8"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F19" i="6"/>
  <c r="E19" i="6"/>
  <c r="K16" i="3"/>
  <c r="G20" i="6"/>
  <c r="E20"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21" i="6"/>
  <c r="S8" i="1"/>
  <c r="E10" i="78"/>
  <c r="D99" i="39"/>
  <c r="E99" i="39"/>
  <c r="F99" i="39"/>
  <c r="F25" i="39"/>
  <c r="AA25" i="39"/>
  <c r="R46" i="39"/>
  <c r="D3" i="4"/>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D71" i="39"/>
  <c r="E71" i="39"/>
  <c r="F71" i="39"/>
  <c r="G71" i="39"/>
  <c r="H71" i="39"/>
  <c r="I71" i="39"/>
  <c r="AA7" i="39"/>
  <c r="F8" i="39"/>
  <c r="AA8" i="39"/>
  <c r="F9" i="39"/>
  <c r="AA9" i="39"/>
  <c r="E11" i="39"/>
  <c r="F11" i="39"/>
  <c r="D81" i="39"/>
  <c r="BB10" i="3"/>
  <c r="BB5" i="3"/>
  <c r="BC10" i="3"/>
  <c r="BD10" i="3"/>
  <c r="BE10" i="3"/>
  <c r="BF10" i="3"/>
  <c r="BG10" i="3"/>
  <c r="BH10" i="3"/>
  <c r="BI10" i="3"/>
  <c r="BJ10" i="3"/>
  <c r="BK10" i="3"/>
  <c r="BC5" i="3"/>
  <c r="BD5" i="3"/>
  <c r="BE5" i="3"/>
  <c r="BF5" i="3"/>
  <c r="BG5" i="3"/>
  <c r="BH5" i="3"/>
  <c r="BI5" i="3"/>
  <c r="BJ5" i="3"/>
  <c r="BK5" i="3"/>
  <c r="E8" i="6"/>
  <c r="F27"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N13" i="3"/>
  <c r="BP13" i="3"/>
  <c r="BL13" i="3"/>
  <c r="AZ13" i="3"/>
  <c r="BN14" i="3"/>
  <c r="BP14" i="3"/>
  <c r="BL14" i="3"/>
  <c r="AZ14" i="3"/>
  <c r="BN15" i="3"/>
  <c r="BP15" i="3"/>
  <c r="BL15" i="3"/>
  <c r="AZ15" i="3"/>
  <c r="BN16" i="3"/>
  <c r="BP16" i="3"/>
  <c r="BL16" i="3"/>
  <c r="AZ16" i="3"/>
  <c r="BN17" i="3"/>
  <c r="BP17" i="3"/>
  <c r="BL17" i="3"/>
  <c r="AZ17" i="3"/>
  <c r="BN18" i="3"/>
  <c r="BP18" i="3"/>
  <c r="BL18" i="3"/>
  <c r="AZ18" i="3"/>
  <c r="BN19" i="3"/>
  <c r="BP19" i="3"/>
  <c r="BL19" i="3"/>
  <c r="AZ19" i="3"/>
  <c r="BN20" i="3"/>
  <c r="BP20" i="3"/>
  <c r="BL20" i="3"/>
  <c r="AZ20" i="3"/>
  <c r="BN21" i="3"/>
  <c r="BP21" i="3"/>
  <c r="BL21" i="3"/>
  <c r="AZ21" i="3"/>
  <c r="BN22" i="3"/>
  <c r="BP22" i="3"/>
  <c r="BL22" i="3"/>
  <c r="AZ22" i="3"/>
  <c r="BN23" i="3"/>
  <c r="BP23" i="3"/>
  <c r="BL23" i="3"/>
  <c r="AZ23" i="3"/>
  <c r="BN24" i="3"/>
  <c r="BP24" i="3"/>
  <c r="BL24" i="3"/>
  <c r="AZ24" i="3"/>
  <c r="BN25" i="3"/>
  <c r="BP25" i="3"/>
  <c r="BL25" i="3"/>
  <c r="AZ25" i="3"/>
  <c r="BN26" i="3"/>
  <c r="BP26" i="3"/>
  <c r="BL26" i="3"/>
  <c r="AZ26" i="3"/>
  <c r="BN27" i="3"/>
  <c r="BP27" i="3"/>
  <c r="BL27" i="3"/>
  <c r="AZ27" i="3"/>
  <c r="BN28" i="3"/>
  <c r="BP28" i="3"/>
  <c r="BL28" i="3"/>
  <c r="AZ28" i="3"/>
  <c r="BN29" i="3"/>
  <c r="BP29" i="3"/>
  <c r="BL29" i="3"/>
  <c r="AZ29" i="3"/>
  <c r="BN30" i="3"/>
  <c r="BP30" i="3"/>
  <c r="BL30" i="3"/>
  <c r="AZ30" i="3"/>
  <c r="BN31" i="3"/>
  <c r="BP31" i="3"/>
  <c r="BL31" i="3"/>
  <c r="AZ31" i="3"/>
  <c r="BN32" i="3"/>
  <c r="BP32" i="3"/>
  <c r="BL32" i="3"/>
  <c r="AZ32" i="3"/>
  <c r="BN33" i="3"/>
  <c r="BP33" i="3"/>
  <c r="BL33" i="3"/>
  <c r="AZ33" i="3"/>
  <c r="BN34" i="3"/>
  <c r="BP34" i="3"/>
  <c r="BL34" i="3"/>
  <c r="AZ34" i="3"/>
  <c r="BN35" i="3"/>
  <c r="BP35" i="3"/>
  <c r="BL35" i="3"/>
  <c r="AZ35" i="3"/>
  <c r="BN36" i="3"/>
  <c r="BP36" i="3"/>
  <c r="BL36" i="3"/>
  <c r="AZ36" i="3"/>
  <c r="BN37" i="3"/>
  <c r="BP37" i="3"/>
  <c r="BL37" i="3"/>
  <c r="AZ37" i="3"/>
  <c r="BN38" i="3"/>
  <c r="BP38" i="3"/>
  <c r="BL38" i="3"/>
  <c r="AZ38" i="3"/>
  <c r="BN39" i="3"/>
  <c r="BP39" i="3"/>
  <c r="BL39" i="3"/>
  <c r="AZ39" i="3"/>
  <c r="BN40" i="3"/>
  <c r="BP40" i="3"/>
  <c r="BL40" i="3"/>
  <c r="AZ40" i="3"/>
  <c r="BN41" i="3"/>
  <c r="BP41" i="3"/>
  <c r="BL41" i="3"/>
  <c r="AZ41" i="3"/>
  <c r="BN42" i="3"/>
  <c r="BP42" i="3"/>
  <c r="BL42" i="3"/>
  <c r="AZ42" i="3"/>
  <c r="BN43" i="3"/>
  <c r="BP43" i="3"/>
  <c r="BL43" i="3"/>
  <c r="AZ43" i="3"/>
  <c r="BN44" i="3"/>
  <c r="BP44" i="3"/>
  <c r="BL44" i="3"/>
  <c r="AZ44" i="3"/>
  <c r="BN45" i="3"/>
  <c r="BP45" i="3"/>
  <c r="BL45" i="3"/>
  <c r="AZ45" i="3"/>
  <c r="BN46" i="3"/>
  <c r="BP46" i="3"/>
  <c r="BL46" i="3"/>
  <c r="AZ46" i="3"/>
  <c r="BN47" i="3"/>
  <c r="BP47" i="3"/>
  <c r="BL47" i="3"/>
  <c r="AZ47" i="3"/>
  <c r="BN48" i="3"/>
  <c r="BP48" i="3"/>
  <c r="BL48" i="3"/>
  <c r="AZ48" i="3"/>
  <c r="BN49" i="3"/>
  <c r="BP49" i="3"/>
  <c r="BL49" i="3"/>
  <c r="AZ49" i="3"/>
  <c r="BN50" i="3"/>
  <c r="BP50" i="3"/>
  <c r="BL50" i="3"/>
  <c r="AZ50" i="3"/>
  <c r="BN51" i="3"/>
  <c r="BP51" i="3"/>
  <c r="BL51" i="3"/>
  <c r="AZ51" i="3"/>
  <c r="BN52" i="3"/>
  <c r="BP52" i="3"/>
  <c r="BL52" i="3"/>
  <c r="AZ52" i="3"/>
  <c r="BN53" i="3"/>
  <c r="BP53" i="3"/>
  <c r="BL53" i="3"/>
  <c r="AZ53" i="3"/>
  <c r="BN54" i="3"/>
  <c r="BP54" i="3"/>
  <c r="BL54" i="3"/>
  <c r="AZ54" i="3"/>
  <c r="BN55" i="3"/>
  <c r="BP55" i="3"/>
  <c r="BL55" i="3"/>
  <c r="AZ55" i="3"/>
  <c r="BN56" i="3"/>
  <c r="BP56" i="3"/>
  <c r="BL56" i="3"/>
  <c r="AZ56" i="3"/>
  <c r="BN57" i="3"/>
  <c r="BP57" i="3"/>
  <c r="BL57" i="3"/>
  <c r="AZ57" i="3"/>
  <c r="BN58" i="3"/>
  <c r="BP58" i="3"/>
  <c r="BL58" i="3"/>
  <c r="AZ58" i="3"/>
  <c r="BN59" i="3"/>
  <c r="BP59" i="3"/>
  <c r="BL59" i="3"/>
  <c r="AZ59" i="3"/>
  <c r="BN60" i="3"/>
  <c r="BP60" i="3"/>
  <c r="BL60" i="3"/>
  <c r="AZ60" i="3"/>
  <c r="BN61" i="3"/>
  <c r="BP61" i="3"/>
  <c r="BL61" i="3"/>
  <c r="AZ61" i="3"/>
  <c r="BN62" i="3"/>
  <c r="BP62" i="3"/>
  <c r="BL62" i="3"/>
  <c r="AZ62" i="3"/>
  <c r="BN63" i="3"/>
  <c r="BP63" i="3"/>
  <c r="BL63" i="3"/>
  <c r="AZ63" i="3"/>
  <c r="BN64" i="3"/>
  <c r="BP64" i="3"/>
  <c r="BL64" i="3"/>
  <c r="AZ64" i="3"/>
  <c r="BN65" i="3"/>
  <c r="BP65" i="3"/>
  <c r="BL65" i="3"/>
  <c r="AZ65" i="3"/>
  <c r="BN66" i="3"/>
  <c r="BP66" i="3"/>
  <c r="BL66" i="3"/>
  <c r="AZ66" i="3"/>
  <c r="BN67" i="3"/>
  <c r="BP67" i="3"/>
  <c r="BL67" i="3"/>
  <c r="AZ67" i="3"/>
  <c r="BN68" i="3"/>
  <c r="BP68" i="3"/>
  <c r="BL68" i="3"/>
  <c r="AZ68" i="3"/>
  <c r="BN69" i="3"/>
  <c r="BP69" i="3"/>
  <c r="BL69" i="3"/>
  <c r="AZ69" i="3"/>
  <c r="BN70" i="3"/>
  <c r="BP70" i="3"/>
  <c r="BL70" i="3"/>
  <c r="AZ70" i="3"/>
  <c r="BN71" i="3"/>
  <c r="BP71" i="3"/>
  <c r="BL71" i="3"/>
  <c r="AZ71" i="3"/>
  <c r="BN72" i="3"/>
  <c r="BP72" i="3"/>
  <c r="BL72" i="3"/>
  <c r="AZ72" i="3"/>
  <c r="BN73" i="3"/>
  <c r="BP73" i="3"/>
  <c r="BL73" i="3"/>
  <c r="AZ73" i="3"/>
  <c r="BN74" i="3"/>
  <c r="BP74" i="3"/>
  <c r="BL74" i="3"/>
  <c r="AZ74" i="3"/>
  <c r="BN75" i="3"/>
  <c r="BP75" i="3"/>
  <c r="BL75" i="3"/>
  <c r="AZ75" i="3"/>
  <c r="BN76" i="3"/>
  <c r="BP76" i="3"/>
  <c r="BL76" i="3"/>
  <c r="AZ76" i="3"/>
  <c r="BN77" i="3"/>
  <c r="BP77" i="3"/>
  <c r="BL77" i="3"/>
  <c r="AZ77" i="3"/>
  <c r="BN78" i="3"/>
  <c r="BP78" i="3"/>
  <c r="BL78" i="3"/>
  <c r="AZ78" i="3"/>
  <c r="BN79" i="3"/>
  <c r="BP79" i="3"/>
  <c r="BL79" i="3"/>
  <c r="AZ79" i="3"/>
  <c r="BN80" i="3"/>
  <c r="BP80" i="3"/>
  <c r="BL80" i="3"/>
  <c r="AZ80" i="3"/>
  <c r="BN81" i="3"/>
  <c r="BP81" i="3"/>
  <c r="BL81" i="3"/>
  <c r="AZ81" i="3"/>
  <c r="BN82" i="3"/>
  <c r="BP82" i="3"/>
  <c r="BL82" i="3"/>
  <c r="AZ82" i="3"/>
  <c r="BN83" i="3"/>
  <c r="BP83" i="3"/>
  <c r="BL83" i="3"/>
  <c r="AZ83" i="3"/>
  <c r="BN84" i="3"/>
  <c r="BP84" i="3"/>
  <c r="BL84" i="3"/>
  <c r="AZ84" i="3"/>
  <c r="BN85" i="3"/>
  <c r="BP85" i="3"/>
  <c r="BL85" i="3"/>
  <c r="AZ85" i="3"/>
  <c r="BN86" i="3"/>
  <c r="BP86" i="3"/>
  <c r="BL86" i="3"/>
  <c r="AZ86" i="3"/>
  <c r="BN87" i="3"/>
  <c r="BP87" i="3"/>
  <c r="BL87" i="3"/>
  <c r="AZ87" i="3"/>
  <c r="BN88" i="3"/>
  <c r="BP88" i="3"/>
  <c r="BL88" i="3"/>
  <c r="AZ88" i="3"/>
  <c r="BN89" i="3"/>
  <c r="BP89" i="3"/>
  <c r="BL89" i="3"/>
  <c r="AZ89" i="3"/>
  <c r="BN90" i="3"/>
  <c r="BP90" i="3"/>
  <c r="BL90" i="3"/>
  <c r="AZ90" i="3"/>
  <c r="BN91" i="3"/>
  <c r="BP91" i="3"/>
  <c r="BL91" i="3"/>
  <c r="AZ91" i="3"/>
  <c r="BN92" i="3"/>
  <c r="BP92" i="3"/>
  <c r="BL92" i="3"/>
  <c r="AZ92" i="3"/>
  <c r="BN93" i="3"/>
  <c r="BP93" i="3"/>
  <c r="BL93" i="3"/>
  <c r="AZ93" i="3"/>
  <c r="BN94" i="3"/>
  <c r="BP94" i="3"/>
  <c r="BL94" i="3"/>
  <c r="AZ94" i="3"/>
  <c r="BN95" i="3"/>
  <c r="BP95" i="3"/>
  <c r="BL95" i="3"/>
  <c r="AZ95" i="3"/>
  <c r="BN96" i="3"/>
  <c r="BP96" i="3"/>
  <c r="BL96" i="3"/>
  <c r="AZ96" i="3"/>
  <c r="BN97" i="3"/>
  <c r="BP97" i="3"/>
  <c r="BL97" i="3"/>
  <c r="AZ97" i="3"/>
  <c r="BN98" i="3"/>
  <c r="BP98" i="3"/>
  <c r="BL98" i="3"/>
  <c r="AZ98" i="3"/>
  <c r="BN99" i="3"/>
  <c r="BP99" i="3"/>
  <c r="BL99" i="3"/>
  <c r="AZ99" i="3"/>
  <c r="BN100" i="3"/>
  <c r="BP100" i="3"/>
  <c r="BL100" i="3"/>
  <c r="AZ100" i="3"/>
  <c r="BN101" i="3"/>
  <c r="BP101" i="3"/>
  <c r="BL101" i="3"/>
  <c r="AZ101" i="3"/>
  <c r="BN102" i="3"/>
  <c r="BP102" i="3"/>
  <c r="BL102" i="3"/>
  <c r="AZ102" i="3"/>
  <c r="BN103" i="3"/>
  <c r="BP103" i="3"/>
  <c r="BL103" i="3"/>
  <c r="AZ103" i="3"/>
  <c r="BN104" i="3"/>
  <c r="BP104" i="3"/>
  <c r="BL104" i="3"/>
  <c r="AZ104" i="3"/>
  <c r="BN105" i="3"/>
  <c r="BP105" i="3"/>
  <c r="BL105" i="3"/>
  <c r="AZ105" i="3"/>
  <c r="BN106" i="3"/>
  <c r="BP106" i="3"/>
  <c r="BL106" i="3"/>
  <c r="AZ106" i="3"/>
  <c r="BN107" i="3"/>
  <c r="BP107" i="3"/>
  <c r="BL107" i="3"/>
  <c r="AZ107" i="3"/>
  <c r="BN108" i="3"/>
  <c r="BP108" i="3"/>
  <c r="BL108" i="3"/>
  <c r="AZ108" i="3"/>
  <c r="BN109" i="3"/>
  <c r="BP109" i="3"/>
  <c r="BL109" i="3"/>
  <c r="AZ109" i="3"/>
  <c r="BN110" i="3"/>
  <c r="BP110" i="3"/>
  <c r="BL110" i="3"/>
  <c r="AZ110" i="3"/>
  <c r="BN111" i="3"/>
  <c r="BP111" i="3"/>
  <c r="BL111" i="3"/>
  <c r="AZ111" i="3"/>
  <c r="BN112" i="3"/>
  <c r="BP112" i="3"/>
  <c r="BL112" i="3"/>
  <c r="AZ112" i="3"/>
  <c r="BN113" i="3"/>
  <c r="BP113" i="3"/>
  <c r="BL113" i="3"/>
  <c r="AZ113" i="3"/>
  <c r="BN114" i="3"/>
  <c r="BP114" i="3"/>
  <c r="BL114" i="3"/>
  <c r="AZ114" i="3"/>
  <c r="BN115" i="3"/>
  <c r="BP115" i="3"/>
  <c r="BL115" i="3"/>
  <c r="AZ115" i="3"/>
  <c r="BN116" i="3"/>
  <c r="BP116" i="3"/>
  <c r="BL116" i="3"/>
  <c r="AZ116" i="3"/>
  <c r="BN117" i="3"/>
  <c r="BP117" i="3"/>
  <c r="BL117" i="3"/>
  <c r="AZ117" i="3"/>
  <c r="BN118" i="3"/>
  <c r="BP118" i="3"/>
  <c r="BL118" i="3"/>
  <c r="AZ118" i="3"/>
  <c r="BN119" i="3"/>
  <c r="BP119" i="3"/>
  <c r="BL119" i="3"/>
  <c r="AZ119" i="3"/>
  <c r="BN120" i="3"/>
  <c r="BP120" i="3"/>
  <c r="BL120" i="3"/>
  <c r="AZ120" i="3"/>
  <c r="BN121" i="3"/>
  <c r="BP121" i="3"/>
  <c r="BL121" i="3"/>
  <c r="AZ121" i="3"/>
  <c r="BN122" i="3"/>
  <c r="BP122" i="3"/>
  <c r="BL122" i="3"/>
  <c r="AZ122" i="3"/>
  <c r="BN123" i="3"/>
  <c r="BP123" i="3"/>
  <c r="BL123" i="3"/>
  <c r="AZ123" i="3"/>
  <c r="BN124" i="3"/>
  <c r="BP124" i="3"/>
  <c r="BL124" i="3"/>
  <c r="AZ124" i="3"/>
  <c r="BN125" i="3"/>
  <c r="BP125" i="3"/>
  <c r="BL125" i="3"/>
  <c r="AZ125" i="3"/>
  <c r="BN126" i="3"/>
  <c r="BP126" i="3"/>
  <c r="BL126" i="3"/>
  <c r="AZ126" i="3"/>
  <c r="BN127" i="3"/>
  <c r="BP127" i="3"/>
  <c r="BL127" i="3"/>
  <c r="AZ127" i="3"/>
  <c r="BN128" i="3"/>
  <c r="BP128" i="3"/>
  <c r="BL128" i="3"/>
  <c r="AZ128" i="3"/>
  <c r="BN129" i="3"/>
  <c r="BP129" i="3"/>
  <c r="BL129" i="3"/>
  <c r="AZ129" i="3"/>
  <c r="BN130" i="3"/>
  <c r="BP130" i="3"/>
  <c r="BL130" i="3"/>
  <c r="AZ130" i="3"/>
  <c r="BN131" i="3"/>
  <c r="BP131" i="3"/>
  <c r="BL131" i="3"/>
  <c r="AZ131" i="3"/>
  <c r="BN132" i="3"/>
  <c r="BP132" i="3"/>
  <c r="BL132" i="3"/>
  <c r="AZ132" i="3"/>
  <c r="BN133" i="3"/>
  <c r="BP133" i="3"/>
  <c r="BL133" i="3"/>
  <c r="AZ133" i="3"/>
  <c r="BN134" i="3"/>
  <c r="BP134" i="3"/>
  <c r="BL134" i="3"/>
  <c r="AZ134" i="3"/>
  <c r="BN135" i="3"/>
  <c r="BP135" i="3"/>
  <c r="BL135" i="3"/>
  <c r="AZ135" i="3"/>
  <c r="BN136" i="3"/>
  <c r="BP136" i="3"/>
  <c r="BL136" i="3"/>
  <c r="AZ136" i="3"/>
  <c r="BN137" i="3"/>
  <c r="BP137" i="3"/>
  <c r="BL137" i="3"/>
  <c r="AZ137" i="3"/>
  <c r="BN138" i="3"/>
  <c r="BP138" i="3"/>
  <c r="BL138" i="3"/>
  <c r="AZ138" i="3"/>
  <c r="BN139" i="3"/>
  <c r="BP139" i="3"/>
  <c r="BL139" i="3"/>
  <c r="AZ139" i="3"/>
  <c r="BN140" i="3"/>
  <c r="BP140" i="3"/>
  <c r="BL140" i="3"/>
  <c r="AZ140" i="3"/>
  <c r="BN141" i="3"/>
  <c r="BP141" i="3"/>
  <c r="BL141" i="3"/>
  <c r="AZ141" i="3"/>
  <c r="BN142" i="3"/>
  <c r="BP142" i="3"/>
  <c r="BL142" i="3"/>
  <c r="AZ142" i="3"/>
  <c r="BN143" i="3"/>
  <c r="BP143" i="3"/>
  <c r="BL143" i="3"/>
  <c r="AZ143" i="3"/>
  <c r="BN144" i="3"/>
  <c r="BP144" i="3"/>
  <c r="BL144" i="3"/>
  <c r="AZ144" i="3"/>
  <c r="BN145" i="3"/>
  <c r="BP145" i="3"/>
  <c r="BL145" i="3"/>
  <c r="AZ145" i="3"/>
  <c r="BN146" i="3"/>
  <c r="BP146" i="3"/>
  <c r="BL146" i="3"/>
  <c r="AZ146" i="3"/>
  <c r="BN147" i="3"/>
  <c r="BP147" i="3"/>
  <c r="BL147" i="3"/>
  <c r="AZ147" i="3"/>
  <c r="BN148" i="3"/>
  <c r="BP148" i="3"/>
  <c r="BL148" i="3"/>
  <c r="AZ148" i="3"/>
  <c r="BN149" i="3"/>
  <c r="BP149" i="3"/>
  <c r="BL149" i="3"/>
  <c r="AZ149" i="3"/>
  <c r="BN150" i="3"/>
  <c r="BP150" i="3"/>
  <c r="BL150" i="3"/>
  <c r="AZ150" i="3"/>
  <c r="BN151" i="3"/>
  <c r="BP151" i="3"/>
  <c r="BL151" i="3"/>
  <c r="AZ151" i="3"/>
  <c r="BN152" i="3"/>
  <c r="BP152" i="3"/>
  <c r="BL152" i="3"/>
  <c r="AZ152" i="3"/>
  <c r="BN153" i="3"/>
  <c r="BP153" i="3"/>
  <c r="BL153" i="3"/>
  <c r="AZ153" i="3"/>
  <c r="BN154" i="3"/>
  <c r="BP154" i="3"/>
  <c r="BL154" i="3"/>
  <c r="AZ154" i="3"/>
  <c r="BN155" i="3"/>
  <c r="BP155" i="3"/>
  <c r="BL155" i="3"/>
  <c r="AZ155" i="3"/>
  <c r="BN156" i="3"/>
  <c r="BP156" i="3"/>
  <c r="BL156" i="3"/>
  <c r="AZ156" i="3"/>
  <c r="BN157" i="3"/>
  <c r="BP157" i="3"/>
  <c r="BL157" i="3"/>
  <c r="AZ157" i="3"/>
  <c r="BN158" i="3"/>
  <c r="BP158" i="3"/>
  <c r="BL158" i="3"/>
  <c r="AZ158" i="3"/>
  <c r="BN159" i="3"/>
  <c r="BP159" i="3"/>
  <c r="BL159" i="3"/>
  <c r="AZ159" i="3"/>
  <c r="BN160" i="3"/>
  <c r="BP160" i="3"/>
  <c r="BL160" i="3"/>
  <c r="AZ160" i="3"/>
  <c r="BN161" i="3"/>
  <c r="BP161" i="3"/>
  <c r="BL161" i="3"/>
  <c r="AZ161" i="3"/>
  <c r="BN162" i="3"/>
  <c r="BP162" i="3"/>
  <c r="BL162" i="3"/>
  <c r="AZ162" i="3"/>
  <c r="BN163" i="3"/>
  <c r="BP163" i="3"/>
  <c r="BL163" i="3"/>
  <c r="AZ163" i="3"/>
  <c r="BN164" i="3"/>
  <c r="BP164" i="3"/>
  <c r="BL164" i="3"/>
  <c r="AZ164" i="3"/>
  <c r="BN165" i="3"/>
  <c r="BP165" i="3"/>
  <c r="BL165" i="3"/>
  <c r="AZ165" i="3"/>
  <c r="BN166" i="3"/>
  <c r="BP166" i="3"/>
  <c r="BL166" i="3"/>
  <c r="AZ166" i="3"/>
  <c r="BN167" i="3"/>
  <c r="BP167" i="3"/>
  <c r="BL167" i="3"/>
  <c r="AZ167" i="3"/>
  <c r="BN168" i="3"/>
  <c r="BP168" i="3"/>
  <c r="BL168" i="3"/>
  <c r="AZ168" i="3"/>
  <c r="BN169" i="3"/>
  <c r="BP169" i="3"/>
  <c r="BL169" i="3"/>
  <c r="AZ169" i="3"/>
  <c r="BN170" i="3"/>
  <c r="BP170" i="3"/>
  <c r="BL170" i="3"/>
  <c r="AZ170" i="3"/>
  <c r="BN171" i="3"/>
  <c r="BP171" i="3"/>
  <c r="BL171" i="3"/>
  <c r="AZ171" i="3"/>
  <c r="BN172" i="3"/>
  <c r="BP172" i="3"/>
  <c r="BL172" i="3"/>
  <c r="AZ172" i="3"/>
  <c r="BN173" i="3"/>
  <c r="BP173" i="3"/>
  <c r="BL173" i="3"/>
  <c r="AZ173" i="3"/>
  <c r="BN174" i="3"/>
  <c r="BP174" i="3"/>
  <c r="BL174" i="3"/>
  <c r="AZ174" i="3"/>
  <c r="BN175" i="3"/>
  <c r="BP175" i="3"/>
  <c r="BL175" i="3"/>
  <c r="AZ175" i="3"/>
  <c r="BN176" i="3"/>
  <c r="BP176" i="3"/>
  <c r="BL176" i="3"/>
  <c r="AZ176" i="3"/>
  <c r="BN177" i="3"/>
  <c r="BP177" i="3"/>
  <c r="BL177" i="3"/>
  <c r="AZ177" i="3"/>
  <c r="BN178" i="3"/>
  <c r="BP178" i="3"/>
  <c r="BL178" i="3"/>
  <c r="AZ178" i="3"/>
  <c r="BN179" i="3"/>
  <c r="BP179" i="3"/>
  <c r="BL179" i="3"/>
  <c r="AZ179" i="3"/>
  <c r="BN180" i="3"/>
  <c r="BP180" i="3"/>
  <c r="BL180" i="3"/>
  <c r="AZ180" i="3"/>
  <c r="BN181" i="3"/>
  <c r="BP181" i="3"/>
  <c r="BL181" i="3"/>
  <c r="AZ181" i="3"/>
  <c r="BN182" i="3"/>
  <c r="BP182" i="3"/>
  <c r="BL182" i="3"/>
  <c r="AZ182" i="3"/>
  <c r="BN183" i="3"/>
  <c r="BP183" i="3"/>
  <c r="BL183" i="3"/>
  <c r="AZ183" i="3"/>
  <c r="BN184" i="3"/>
  <c r="BP184" i="3"/>
  <c r="BL184" i="3"/>
  <c r="AZ184" i="3"/>
  <c r="BN185" i="3"/>
  <c r="BP185" i="3"/>
  <c r="BL185" i="3"/>
  <c r="AZ185" i="3"/>
  <c r="BN186" i="3"/>
  <c r="BP186" i="3"/>
  <c r="BL186" i="3"/>
  <c r="AZ186" i="3"/>
  <c r="BN187" i="3"/>
  <c r="BP187" i="3"/>
  <c r="BL187" i="3"/>
  <c r="AZ187" i="3"/>
  <c r="BN188" i="3"/>
  <c r="BP188" i="3"/>
  <c r="BL188" i="3"/>
  <c r="AZ188" i="3"/>
  <c r="BN189" i="3"/>
  <c r="BP189" i="3"/>
  <c r="BL189" i="3"/>
  <c r="AZ189" i="3"/>
  <c r="BN190" i="3"/>
  <c r="BP190" i="3"/>
  <c r="BL190" i="3"/>
  <c r="AZ190" i="3"/>
  <c r="BN191" i="3"/>
  <c r="BP191" i="3"/>
  <c r="BL191" i="3"/>
  <c r="AZ191" i="3"/>
  <c r="BN192" i="3"/>
  <c r="BP192" i="3"/>
  <c r="BL192" i="3"/>
  <c r="AZ192" i="3"/>
  <c r="BN193" i="3"/>
  <c r="BP193" i="3"/>
  <c r="BL193" i="3"/>
  <c r="AZ193" i="3"/>
  <c r="BN194" i="3"/>
  <c r="BP194" i="3"/>
  <c r="BL194" i="3"/>
  <c r="AZ194" i="3"/>
  <c r="BN195" i="3"/>
  <c r="BP195" i="3"/>
  <c r="BL195" i="3"/>
  <c r="AZ195" i="3"/>
  <c r="BN196" i="3"/>
  <c r="BP196" i="3"/>
  <c r="BL196" i="3"/>
  <c r="AZ196" i="3"/>
  <c r="BN197" i="3"/>
  <c r="BP197" i="3"/>
  <c r="BL197" i="3"/>
  <c r="AZ197" i="3"/>
  <c r="BN198" i="3"/>
  <c r="BP198" i="3"/>
  <c r="BL198" i="3"/>
  <c r="AZ198" i="3"/>
  <c r="BN199" i="3"/>
  <c r="BP199" i="3"/>
  <c r="BL199" i="3"/>
  <c r="AZ199" i="3"/>
  <c r="BN200" i="3"/>
  <c r="BP200" i="3"/>
  <c r="BL200" i="3"/>
  <c r="AZ200" i="3"/>
  <c r="BN201" i="3"/>
  <c r="BP201" i="3"/>
  <c r="BL201" i="3"/>
  <c r="AZ201" i="3"/>
  <c r="BN202" i="3"/>
  <c r="BP202" i="3"/>
  <c r="BL202" i="3"/>
  <c r="AZ202" i="3"/>
  <c r="BN203" i="3"/>
  <c r="BP203" i="3"/>
  <c r="BL203" i="3"/>
  <c r="AZ203" i="3"/>
  <c r="BN204" i="3"/>
  <c r="BP204" i="3"/>
  <c r="BL204" i="3"/>
  <c r="AZ204" i="3"/>
  <c r="BN205" i="3"/>
  <c r="BP205" i="3"/>
  <c r="BL205" i="3"/>
  <c r="AZ205" i="3"/>
  <c r="BN206" i="3"/>
  <c r="BP206" i="3"/>
  <c r="BL206" i="3"/>
  <c r="AZ206" i="3"/>
  <c r="BN207" i="3"/>
  <c r="BP207" i="3"/>
  <c r="BL207" i="3"/>
  <c r="AZ207" i="3"/>
  <c r="BN208" i="3"/>
  <c r="BP208" i="3"/>
  <c r="BL208" i="3"/>
  <c r="AZ208" i="3"/>
  <c r="BN209" i="3"/>
  <c r="BP209" i="3"/>
  <c r="BL209" i="3"/>
  <c r="AZ209" i="3"/>
  <c r="BN210" i="3"/>
  <c r="BP210" i="3"/>
  <c r="BL210" i="3"/>
  <c r="AZ210" i="3"/>
  <c r="BN211" i="3"/>
  <c r="BP211" i="3"/>
  <c r="BL211" i="3"/>
  <c r="AZ211" i="3"/>
  <c r="BN212" i="3"/>
  <c r="BP212" i="3"/>
  <c r="BL212" i="3"/>
  <c r="AZ212" i="3"/>
  <c r="BN213" i="3"/>
  <c r="BP213" i="3"/>
  <c r="BL213" i="3"/>
  <c r="AZ213" i="3"/>
  <c r="BN214" i="3"/>
  <c r="BP214" i="3"/>
  <c r="BL214" i="3"/>
  <c r="AZ214" i="3"/>
  <c r="BN215" i="3"/>
  <c r="BP215" i="3"/>
  <c r="BL215" i="3"/>
  <c r="AZ215" i="3"/>
  <c r="BN216" i="3"/>
  <c r="BP216" i="3"/>
  <c r="BL216" i="3"/>
  <c r="AZ216" i="3"/>
  <c r="BN217" i="3"/>
  <c r="BP217" i="3"/>
  <c r="BL217" i="3"/>
  <c r="AZ217" i="3"/>
  <c r="BN218" i="3"/>
  <c r="BP218" i="3"/>
  <c r="BL218" i="3"/>
  <c r="AZ218" i="3"/>
  <c r="BN219" i="3"/>
  <c r="BP219" i="3"/>
  <c r="BL219" i="3"/>
  <c r="AZ219" i="3"/>
  <c r="BN220" i="3"/>
  <c r="BP220" i="3"/>
  <c r="BL220" i="3"/>
  <c r="AZ220" i="3"/>
  <c r="BN221" i="3"/>
  <c r="BP221" i="3"/>
  <c r="BL221" i="3"/>
  <c r="AZ221" i="3"/>
  <c r="BN222" i="3"/>
  <c r="BP222" i="3"/>
  <c r="BL222" i="3"/>
  <c r="AZ222" i="3"/>
  <c r="BN223" i="3"/>
  <c r="BP223" i="3"/>
  <c r="BL223" i="3"/>
  <c r="AZ223" i="3"/>
  <c r="BN224" i="3"/>
  <c r="BP224" i="3"/>
  <c r="BL224" i="3"/>
  <c r="AZ224" i="3"/>
  <c r="BN225" i="3"/>
  <c r="BP225" i="3"/>
  <c r="BL225" i="3"/>
  <c r="AZ225" i="3"/>
  <c r="BN226" i="3"/>
  <c r="BP226" i="3"/>
  <c r="BL226" i="3"/>
  <c r="AZ226" i="3"/>
  <c r="BN227" i="3"/>
  <c r="BP227" i="3"/>
  <c r="BL227" i="3"/>
  <c r="AZ227" i="3"/>
  <c r="BN228" i="3"/>
  <c r="BP228" i="3"/>
  <c r="BL228" i="3"/>
  <c r="AZ228" i="3"/>
  <c r="BN229" i="3"/>
  <c r="BP229" i="3"/>
  <c r="BL229" i="3"/>
  <c r="AZ229" i="3"/>
  <c r="BN230" i="3"/>
  <c r="BP230" i="3"/>
  <c r="BL230" i="3"/>
  <c r="AZ230" i="3"/>
  <c r="BN231" i="3"/>
  <c r="BP231" i="3"/>
  <c r="BL231" i="3"/>
  <c r="AZ231" i="3"/>
  <c r="BN232" i="3"/>
  <c r="BP232" i="3"/>
  <c r="BL232" i="3"/>
  <c r="AZ232" i="3"/>
  <c r="BN233" i="3"/>
  <c r="BP233" i="3"/>
  <c r="BL233" i="3"/>
  <c r="AZ233" i="3"/>
  <c r="BN234" i="3"/>
  <c r="BP234" i="3"/>
  <c r="BL234" i="3"/>
  <c r="AZ234" i="3"/>
  <c r="BN235" i="3"/>
  <c r="BP235" i="3"/>
  <c r="BL235" i="3"/>
  <c r="AZ235" i="3"/>
  <c r="BN236" i="3"/>
  <c r="BP236" i="3"/>
  <c r="BL236" i="3"/>
  <c r="AZ236" i="3"/>
  <c r="BN237" i="3"/>
  <c r="BP237" i="3"/>
  <c r="BL237" i="3"/>
  <c r="AZ237" i="3"/>
  <c r="BN238" i="3"/>
  <c r="BP238" i="3"/>
  <c r="BL238" i="3"/>
  <c r="AZ238" i="3"/>
  <c r="BN239" i="3"/>
  <c r="BP239" i="3"/>
  <c r="BL239" i="3"/>
  <c r="AZ239" i="3"/>
  <c r="BN240" i="3"/>
  <c r="BP240" i="3"/>
  <c r="BL240" i="3"/>
  <c r="AZ240" i="3"/>
  <c r="BN241" i="3"/>
  <c r="BP241" i="3"/>
  <c r="BL241" i="3"/>
  <c r="AZ241" i="3"/>
  <c r="BN242" i="3"/>
  <c r="BP242" i="3"/>
  <c r="BL242" i="3"/>
  <c r="AZ242" i="3"/>
  <c r="BN243" i="3"/>
  <c r="BP243" i="3"/>
  <c r="BL243" i="3"/>
  <c r="AZ243" i="3"/>
  <c r="BN244" i="3"/>
  <c r="BP244" i="3"/>
  <c r="BL244" i="3"/>
  <c r="AZ244" i="3"/>
  <c r="BN245" i="3"/>
  <c r="BP245" i="3"/>
  <c r="BL245" i="3"/>
  <c r="AZ245" i="3"/>
  <c r="BN246" i="3"/>
  <c r="BP246" i="3"/>
  <c r="BL246" i="3"/>
  <c r="AZ246" i="3"/>
  <c r="BN247" i="3"/>
  <c r="BP247" i="3"/>
  <c r="BL247" i="3"/>
  <c r="AZ247" i="3"/>
  <c r="BN248" i="3"/>
  <c r="BP248" i="3"/>
  <c r="BL248" i="3"/>
  <c r="AZ248" i="3"/>
  <c r="BN249" i="3"/>
  <c r="BP249" i="3"/>
  <c r="BL249" i="3"/>
  <c r="AZ249" i="3"/>
  <c r="BN250" i="3"/>
  <c r="BP250" i="3"/>
  <c r="BL250" i="3"/>
  <c r="AZ250" i="3"/>
  <c r="BN251" i="3"/>
  <c r="BP251" i="3"/>
  <c r="BL251" i="3"/>
  <c r="AZ251" i="3"/>
  <c r="BN252" i="3"/>
  <c r="BP252" i="3"/>
  <c r="BL252" i="3"/>
  <c r="AZ252" i="3"/>
  <c r="BN253" i="3"/>
  <c r="BP253" i="3"/>
  <c r="BL253" i="3"/>
  <c r="AZ253" i="3"/>
  <c r="BN254" i="3"/>
  <c r="BP254" i="3"/>
  <c r="BL254" i="3"/>
  <c r="AZ254" i="3"/>
  <c r="BN255" i="3"/>
  <c r="BP255" i="3"/>
  <c r="BL255" i="3"/>
  <c r="AZ255" i="3"/>
  <c r="BN256" i="3"/>
  <c r="BP256" i="3"/>
  <c r="BL256" i="3"/>
  <c r="AZ256" i="3"/>
  <c r="BN257" i="3"/>
  <c r="BP257" i="3"/>
  <c r="BL257" i="3"/>
  <c r="AZ257" i="3"/>
  <c r="BN258" i="3"/>
  <c r="BP258" i="3"/>
  <c r="BL258" i="3"/>
  <c r="AZ258" i="3"/>
  <c r="BN259" i="3"/>
  <c r="BP259" i="3"/>
  <c r="BL259" i="3"/>
  <c r="AZ259" i="3"/>
  <c r="BN260" i="3"/>
  <c r="BP260" i="3"/>
  <c r="BL260" i="3"/>
  <c r="AZ260" i="3"/>
  <c r="BN261" i="3"/>
  <c r="BP261" i="3"/>
  <c r="BL261" i="3"/>
  <c r="AZ261" i="3"/>
  <c r="BN262" i="3"/>
  <c r="BP262" i="3"/>
  <c r="BL262" i="3"/>
  <c r="AZ262" i="3"/>
  <c r="BN263" i="3"/>
  <c r="BP263" i="3"/>
  <c r="BL263" i="3"/>
  <c r="AZ263" i="3"/>
  <c r="BN264" i="3"/>
  <c r="BP264" i="3"/>
  <c r="BL264" i="3"/>
  <c r="AZ264" i="3"/>
  <c r="BN265" i="3"/>
  <c r="BP265" i="3"/>
  <c r="BL265" i="3"/>
  <c r="AZ265" i="3"/>
  <c r="BN266" i="3"/>
  <c r="BP266" i="3"/>
  <c r="BL266" i="3"/>
  <c r="AZ266" i="3"/>
  <c r="BN267" i="3"/>
  <c r="BP267" i="3"/>
  <c r="BL267" i="3"/>
  <c r="AZ267" i="3"/>
  <c r="BN268" i="3"/>
  <c r="BP268" i="3"/>
  <c r="BL268" i="3"/>
  <c r="AZ268" i="3"/>
  <c r="BN269" i="3"/>
  <c r="BP269" i="3"/>
  <c r="BL269" i="3"/>
  <c r="AZ269" i="3"/>
  <c r="BN270" i="3"/>
  <c r="BP270" i="3"/>
  <c r="BL270" i="3"/>
  <c r="AZ270" i="3"/>
  <c r="BN271" i="3"/>
  <c r="BP271" i="3"/>
  <c r="BL271" i="3"/>
  <c r="AZ271" i="3"/>
  <c r="BN272" i="3"/>
  <c r="BP272" i="3"/>
  <c r="BL272" i="3"/>
  <c r="AZ272" i="3"/>
  <c r="BN273" i="3"/>
  <c r="BP273" i="3"/>
  <c r="BL273" i="3"/>
  <c r="AZ273" i="3"/>
  <c r="BN274" i="3"/>
  <c r="BP274" i="3"/>
  <c r="BL274" i="3"/>
  <c r="AZ274" i="3"/>
  <c r="BN275" i="3"/>
  <c r="BP275" i="3"/>
  <c r="BL275" i="3"/>
  <c r="AZ275" i="3"/>
  <c r="BN276" i="3"/>
  <c r="BP276" i="3"/>
  <c r="BL276" i="3"/>
  <c r="AZ276" i="3"/>
  <c r="BN277" i="3"/>
  <c r="BP277" i="3"/>
  <c r="BL277" i="3"/>
  <c r="AZ277" i="3"/>
  <c r="BN278" i="3"/>
  <c r="BP278" i="3"/>
  <c r="BL278" i="3"/>
  <c r="AZ278" i="3"/>
  <c r="BN279" i="3"/>
  <c r="BP279" i="3"/>
  <c r="BL279" i="3"/>
  <c r="AZ279" i="3"/>
  <c r="BN280" i="3"/>
  <c r="BP280" i="3"/>
  <c r="BL280" i="3"/>
  <c r="AZ280" i="3"/>
  <c r="BN281" i="3"/>
  <c r="BP281" i="3"/>
  <c r="BL281" i="3"/>
  <c r="AZ281" i="3"/>
  <c r="BN282" i="3"/>
  <c r="BP282" i="3"/>
  <c r="BL282" i="3"/>
  <c r="AZ282" i="3"/>
  <c r="BN283" i="3"/>
  <c r="BP283" i="3"/>
  <c r="BL283" i="3"/>
  <c r="AZ283" i="3"/>
  <c r="BN284" i="3"/>
  <c r="BP284" i="3"/>
  <c r="BL284" i="3"/>
  <c r="AZ284" i="3"/>
  <c r="BN285" i="3"/>
  <c r="BP285" i="3"/>
  <c r="BL285" i="3"/>
  <c r="AZ285" i="3"/>
  <c r="BN286" i="3"/>
  <c r="BP286" i="3"/>
  <c r="BL286" i="3"/>
  <c r="AZ286" i="3"/>
  <c r="BN287" i="3"/>
  <c r="BP287" i="3"/>
  <c r="BL287" i="3"/>
  <c r="AZ287" i="3"/>
  <c r="BN288" i="3"/>
  <c r="BP288" i="3"/>
  <c r="BL288" i="3"/>
  <c r="AZ288" i="3"/>
  <c r="BN289" i="3"/>
  <c r="BP289" i="3"/>
  <c r="BL289" i="3"/>
  <c r="AZ289" i="3"/>
  <c r="BN290" i="3"/>
  <c r="BP290" i="3"/>
  <c r="BL290" i="3"/>
  <c r="AZ290" i="3"/>
  <c r="BN291" i="3"/>
  <c r="BP291" i="3"/>
  <c r="BL291" i="3"/>
  <c r="AZ291" i="3"/>
  <c r="BN292" i="3"/>
  <c r="BP292" i="3"/>
  <c r="BL292" i="3"/>
  <c r="AZ292" i="3"/>
  <c r="BN293" i="3"/>
  <c r="BP293" i="3"/>
  <c r="BL293" i="3"/>
  <c r="AZ293" i="3"/>
  <c r="BN294" i="3"/>
  <c r="BP294" i="3"/>
  <c r="BL294" i="3"/>
  <c r="AZ294" i="3"/>
  <c r="BN295" i="3"/>
  <c r="BP295" i="3"/>
  <c r="BL295" i="3"/>
  <c r="AZ295" i="3"/>
  <c r="BN296" i="3"/>
  <c r="BP296" i="3"/>
  <c r="BL296" i="3"/>
  <c r="AZ296" i="3"/>
  <c r="BN297" i="3"/>
  <c r="BP297" i="3"/>
  <c r="BL297" i="3"/>
  <c r="AZ297" i="3"/>
  <c r="BN298" i="3"/>
  <c r="BP298" i="3"/>
  <c r="BL298" i="3"/>
  <c r="AZ298" i="3"/>
  <c r="BN299" i="3"/>
  <c r="BP299" i="3"/>
  <c r="BL299" i="3"/>
  <c r="AZ299" i="3"/>
  <c r="BN300" i="3"/>
  <c r="BP300" i="3"/>
  <c r="BL300" i="3"/>
  <c r="AZ300" i="3"/>
  <c r="BN301" i="3"/>
  <c r="BP301" i="3"/>
  <c r="BL301" i="3"/>
  <c r="AZ301" i="3"/>
  <c r="BN302" i="3"/>
  <c r="BP302" i="3"/>
  <c r="BL302" i="3"/>
  <c r="AZ302" i="3"/>
  <c r="BN303" i="3"/>
  <c r="BP303" i="3"/>
  <c r="BL303" i="3"/>
  <c r="AZ303" i="3"/>
  <c r="BN304" i="3"/>
  <c r="BP304" i="3"/>
  <c r="BL304" i="3"/>
  <c r="AZ304" i="3"/>
  <c r="BN305" i="3"/>
  <c r="BP305" i="3"/>
  <c r="BL305" i="3"/>
  <c r="AZ305" i="3"/>
  <c r="BN306" i="3"/>
  <c r="BP306" i="3"/>
  <c r="BL306" i="3"/>
  <c r="AZ306" i="3"/>
  <c r="BN307" i="3"/>
  <c r="BP307" i="3"/>
  <c r="BL307" i="3"/>
  <c r="AZ307" i="3"/>
  <c r="BN308" i="3"/>
  <c r="BP308" i="3"/>
  <c r="BL308" i="3"/>
  <c r="AZ308" i="3"/>
  <c r="BN309" i="3"/>
  <c r="BP309" i="3"/>
  <c r="BL309" i="3"/>
  <c r="AZ309" i="3"/>
  <c r="BN310" i="3"/>
  <c r="BP310" i="3"/>
  <c r="BL310" i="3"/>
  <c r="AZ310" i="3"/>
  <c r="BN311" i="3"/>
  <c r="BP311" i="3"/>
  <c r="BL311" i="3"/>
  <c r="AZ311" i="3"/>
  <c r="BN312" i="3"/>
  <c r="BP312" i="3"/>
  <c r="BL312" i="3"/>
  <c r="AZ312" i="3"/>
  <c r="BN313" i="3"/>
  <c r="BP313" i="3"/>
  <c r="BL313" i="3"/>
  <c r="AZ313" i="3"/>
  <c r="BN314" i="3"/>
  <c r="BP314" i="3"/>
  <c r="BL314" i="3"/>
  <c r="AZ314" i="3"/>
  <c r="BN315" i="3"/>
  <c r="BP315" i="3"/>
  <c r="BL315" i="3"/>
  <c r="AZ315" i="3"/>
  <c r="BN316" i="3"/>
  <c r="BP316" i="3"/>
  <c r="BL316" i="3"/>
  <c r="AZ316" i="3"/>
  <c r="BN317" i="3"/>
  <c r="BP317" i="3"/>
  <c r="BL317" i="3"/>
  <c r="AZ317" i="3"/>
  <c r="BN318" i="3"/>
  <c r="BP318" i="3"/>
  <c r="BL318" i="3"/>
  <c r="AZ318" i="3"/>
  <c r="BN319" i="3"/>
  <c r="BP319" i="3"/>
  <c r="BL319" i="3"/>
  <c r="AZ319" i="3"/>
  <c r="BN320" i="3"/>
  <c r="BP320" i="3"/>
  <c r="BL320" i="3"/>
  <c r="AZ320" i="3"/>
  <c r="BN321" i="3"/>
  <c r="BP321" i="3"/>
  <c r="BL321" i="3"/>
  <c r="AZ321" i="3"/>
  <c r="BN322" i="3"/>
  <c r="BP322" i="3"/>
  <c r="BL322" i="3"/>
  <c r="AZ322" i="3"/>
  <c r="BN323" i="3"/>
  <c r="BP323" i="3"/>
  <c r="BL323" i="3"/>
  <c r="AZ323" i="3"/>
  <c r="BN324" i="3"/>
  <c r="BP324" i="3"/>
  <c r="BL324" i="3"/>
  <c r="AZ324" i="3"/>
  <c r="BN325" i="3"/>
  <c r="BP325" i="3"/>
  <c r="BL325" i="3"/>
  <c r="AZ325" i="3"/>
  <c r="BN326" i="3"/>
  <c r="BP326" i="3"/>
  <c r="BL326" i="3"/>
  <c r="AZ326" i="3"/>
  <c r="BN327" i="3"/>
  <c r="BP327" i="3"/>
  <c r="BL327" i="3"/>
  <c r="AZ327" i="3"/>
  <c r="BN328" i="3"/>
  <c r="BP328" i="3"/>
  <c r="BL328" i="3"/>
  <c r="AZ328" i="3"/>
  <c r="BN329" i="3"/>
  <c r="BP329" i="3"/>
  <c r="BL329" i="3"/>
  <c r="AZ329" i="3"/>
  <c r="BN330" i="3"/>
  <c r="BP330" i="3"/>
  <c r="BL330" i="3"/>
  <c r="AZ330" i="3"/>
  <c r="BN331" i="3"/>
  <c r="BP331" i="3"/>
  <c r="BL331" i="3"/>
  <c r="AZ331" i="3"/>
  <c r="BN332" i="3"/>
  <c r="BP332" i="3"/>
  <c r="BL332" i="3"/>
  <c r="AZ332" i="3"/>
  <c r="BN333" i="3"/>
  <c r="BP333" i="3"/>
  <c r="BL333" i="3"/>
  <c r="AZ333" i="3"/>
  <c r="BN334" i="3"/>
  <c r="BP334" i="3"/>
  <c r="BL334" i="3"/>
  <c r="AZ334" i="3"/>
  <c r="BN335" i="3"/>
  <c r="BP335" i="3"/>
  <c r="BL335" i="3"/>
  <c r="AZ335" i="3"/>
  <c r="BN336" i="3"/>
  <c r="BP336" i="3"/>
  <c r="BL336" i="3"/>
  <c r="AZ336" i="3"/>
  <c r="BN337" i="3"/>
  <c r="BP337" i="3"/>
  <c r="BL337" i="3"/>
  <c r="AZ337" i="3"/>
  <c r="BN338" i="3"/>
  <c r="BP338" i="3"/>
  <c r="BL338" i="3"/>
  <c r="AZ338" i="3"/>
  <c r="BN339" i="3"/>
  <c r="BP339" i="3"/>
  <c r="BL339" i="3"/>
  <c r="AZ339" i="3"/>
  <c r="BN340" i="3"/>
  <c r="BP340" i="3"/>
  <c r="BL340" i="3"/>
  <c r="AZ340" i="3"/>
  <c r="BN341" i="3"/>
  <c r="BP341" i="3"/>
  <c r="BL341" i="3"/>
  <c r="AZ341" i="3"/>
  <c r="BN342" i="3"/>
  <c r="BP342" i="3"/>
  <c r="BL342" i="3"/>
  <c r="AZ342" i="3"/>
  <c r="BN343" i="3"/>
  <c r="BP343" i="3"/>
  <c r="BL343" i="3"/>
  <c r="AZ343" i="3"/>
  <c r="BN344" i="3"/>
  <c r="BP344" i="3"/>
  <c r="BL344" i="3"/>
  <c r="AZ344" i="3"/>
  <c r="BN345" i="3"/>
  <c r="BP345" i="3"/>
  <c r="BL345" i="3"/>
  <c r="AZ345" i="3"/>
  <c r="BN346" i="3"/>
  <c r="BP346" i="3"/>
  <c r="BL346" i="3"/>
  <c r="AZ346" i="3"/>
  <c r="BN347" i="3"/>
  <c r="BP347" i="3"/>
  <c r="BL347" i="3"/>
  <c r="AZ347" i="3"/>
  <c r="BN348" i="3"/>
  <c r="BP348" i="3"/>
  <c r="BL348" i="3"/>
  <c r="AZ348" i="3"/>
  <c r="BN349" i="3"/>
  <c r="BP349" i="3"/>
  <c r="BL349" i="3"/>
  <c r="AZ349" i="3"/>
  <c r="BN350" i="3"/>
  <c r="BP350" i="3"/>
  <c r="BL350" i="3"/>
  <c r="AZ350" i="3"/>
  <c r="BN351" i="3"/>
  <c r="BP351" i="3"/>
  <c r="BL351" i="3"/>
  <c r="AZ351" i="3"/>
  <c r="BN352" i="3"/>
  <c r="BP352" i="3"/>
  <c r="BL352" i="3"/>
  <c r="AZ352" i="3"/>
  <c r="BN353" i="3"/>
  <c r="BP353" i="3"/>
  <c r="BL353" i="3"/>
  <c r="AZ353" i="3"/>
  <c r="BN354" i="3"/>
  <c r="BP354" i="3"/>
  <c r="BL354" i="3"/>
  <c r="AZ354" i="3"/>
  <c r="BN355" i="3"/>
  <c r="BP355" i="3"/>
  <c r="BL355" i="3"/>
  <c r="AZ355" i="3"/>
  <c r="BN356" i="3"/>
  <c r="BP356" i="3"/>
  <c r="BL356" i="3"/>
  <c r="AZ356" i="3"/>
  <c r="BN357" i="3"/>
  <c r="BP357" i="3"/>
  <c r="BL357" i="3"/>
  <c r="AZ357" i="3"/>
  <c r="BN358" i="3"/>
  <c r="BP358" i="3"/>
  <c r="BL358" i="3"/>
  <c r="AZ358" i="3"/>
  <c r="BN359" i="3"/>
  <c r="BP359" i="3"/>
  <c r="BL359" i="3"/>
  <c r="AZ359" i="3"/>
  <c r="BN360" i="3"/>
  <c r="BP360" i="3"/>
  <c r="BL360" i="3"/>
  <c r="AZ360" i="3"/>
  <c r="BN361" i="3"/>
  <c r="BP361" i="3"/>
  <c r="BL361" i="3"/>
  <c r="AZ361" i="3"/>
  <c r="BN362" i="3"/>
  <c r="BP362" i="3"/>
  <c r="BL362" i="3"/>
  <c r="AZ362" i="3"/>
  <c r="BN363" i="3"/>
  <c r="BP363" i="3"/>
  <c r="BL363" i="3"/>
  <c r="AZ363" i="3"/>
  <c r="BN364" i="3"/>
  <c r="BP364" i="3"/>
  <c r="BL364" i="3"/>
  <c r="AZ364" i="3"/>
  <c r="BN365" i="3"/>
  <c r="BP365" i="3"/>
  <c r="BL365" i="3"/>
  <c r="AZ365" i="3"/>
  <c r="BN366" i="3"/>
  <c r="BP366" i="3"/>
  <c r="BL366" i="3"/>
  <c r="AZ366" i="3"/>
  <c r="BN367" i="3"/>
  <c r="BP367" i="3"/>
  <c r="BL367" i="3"/>
  <c r="AZ367" i="3"/>
  <c r="BN368" i="3"/>
  <c r="BP368" i="3"/>
  <c r="BL368" i="3"/>
  <c r="AZ368" i="3"/>
  <c r="BN369" i="3"/>
  <c r="BP369" i="3"/>
  <c r="BL369" i="3"/>
  <c r="AZ369" i="3"/>
  <c r="BN370" i="3"/>
  <c r="BP370" i="3"/>
  <c r="BL370" i="3"/>
  <c r="AZ370" i="3"/>
  <c r="BN371" i="3"/>
  <c r="BP371" i="3"/>
  <c r="BL371" i="3"/>
  <c r="AZ371" i="3"/>
  <c r="BN372" i="3"/>
  <c r="BP372" i="3"/>
  <c r="BL372" i="3"/>
  <c r="AZ372" i="3"/>
  <c r="BN373" i="3"/>
  <c r="BP373" i="3"/>
  <c r="BL373" i="3"/>
  <c r="AZ373" i="3"/>
  <c r="BN374" i="3"/>
  <c r="BP374" i="3"/>
  <c r="BL374" i="3"/>
  <c r="AZ374" i="3"/>
  <c r="BN375" i="3"/>
  <c r="BP375" i="3"/>
  <c r="BL375" i="3"/>
  <c r="AZ375" i="3"/>
  <c r="BN376" i="3"/>
  <c r="BP376" i="3"/>
  <c r="BL376" i="3"/>
  <c r="AZ376" i="3"/>
  <c r="BN377" i="3"/>
  <c r="BP377" i="3"/>
  <c r="BL377" i="3"/>
  <c r="AZ377" i="3"/>
  <c r="BN378" i="3"/>
  <c r="BP378" i="3"/>
  <c r="BL378" i="3"/>
  <c r="AZ378" i="3"/>
  <c r="BN379" i="3"/>
  <c r="BP379" i="3"/>
  <c r="BL379" i="3"/>
  <c r="AZ379" i="3"/>
  <c r="BN380" i="3"/>
  <c r="BP380" i="3"/>
  <c r="BL380" i="3"/>
  <c r="AZ380" i="3"/>
  <c r="BN381" i="3"/>
  <c r="BP381" i="3"/>
  <c r="BL381" i="3"/>
  <c r="AZ381" i="3"/>
  <c r="BN382" i="3"/>
  <c r="BP382" i="3"/>
  <c r="BL382" i="3"/>
  <c r="AZ382" i="3"/>
  <c r="BN383" i="3"/>
  <c r="BP383" i="3"/>
  <c r="BL383" i="3"/>
  <c r="AZ383" i="3"/>
  <c r="BN384" i="3"/>
  <c r="BP384" i="3"/>
  <c r="BL384" i="3"/>
  <c r="AZ384" i="3"/>
  <c r="BN385" i="3"/>
  <c r="BP385" i="3"/>
  <c r="BL385" i="3"/>
  <c r="AZ385" i="3"/>
  <c r="BN386" i="3"/>
  <c r="BP386" i="3"/>
  <c r="BL386" i="3"/>
  <c r="AZ386" i="3"/>
  <c r="BN387" i="3"/>
  <c r="BP387" i="3"/>
  <c r="BL387" i="3"/>
  <c r="AZ387" i="3"/>
  <c r="BN388" i="3"/>
  <c r="BP388" i="3"/>
  <c r="BL388" i="3"/>
  <c r="AZ388" i="3"/>
  <c r="BN389" i="3"/>
  <c r="BP389" i="3"/>
  <c r="BL389" i="3"/>
  <c r="AZ389" i="3"/>
  <c r="BN390" i="3"/>
  <c r="BP390" i="3"/>
  <c r="BL390" i="3"/>
  <c r="AZ390" i="3"/>
  <c r="BN391" i="3"/>
  <c r="BP391" i="3"/>
  <c r="BL391" i="3"/>
  <c r="AZ391" i="3"/>
  <c r="BN392" i="3"/>
  <c r="BP392" i="3"/>
  <c r="BL392" i="3"/>
  <c r="AZ392" i="3"/>
  <c r="BN393" i="3"/>
  <c r="BP393" i="3"/>
  <c r="BL393" i="3"/>
  <c r="AZ393" i="3"/>
  <c r="BN394" i="3"/>
  <c r="BP394" i="3"/>
  <c r="BL394" i="3"/>
  <c r="AZ394" i="3"/>
  <c r="BN395" i="3"/>
  <c r="BP395" i="3"/>
  <c r="BL395" i="3"/>
  <c r="AZ395" i="3"/>
  <c r="BN396" i="3"/>
  <c r="BP396" i="3"/>
  <c r="BL396" i="3"/>
  <c r="AZ396" i="3"/>
  <c r="BN397" i="3"/>
  <c r="BP397" i="3"/>
  <c r="BL397" i="3"/>
  <c r="AZ397" i="3"/>
  <c r="BN398" i="3"/>
  <c r="BP398" i="3"/>
  <c r="BL398" i="3"/>
  <c r="AZ398" i="3"/>
  <c r="BN399" i="3"/>
  <c r="BP399" i="3"/>
  <c r="BL399" i="3"/>
  <c r="AZ399" i="3"/>
  <c r="BN400" i="3"/>
  <c r="BP400" i="3"/>
  <c r="BL400" i="3"/>
  <c r="AZ400" i="3"/>
  <c r="BN401" i="3"/>
  <c r="BP401" i="3"/>
  <c r="BL401" i="3"/>
  <c r="AZ401" i="3"/>
  <c r="BN402" i="3"/>
  <c r="BP402" i="3"/>
  <c r="BL402" i="3"/>
  <c r="AZ402" i="3"/>
  <c r="BN403" i="3"/>
  <c r="BP403" i="3"/>
  <c r="BL403" i="3"/>
  <c r="AZ403" i="3"/>
  <c r="BN404" i="3"/>
  <c r="BP404" i="3"/>
  <c r="BL404" i="3"/>
  <c r="AZ404" i="3"/>
  <c r="BN405" i="3"/>
  <c r="BP405" i="3"/>
  <c r="BL405" i="3"/>
  <c r="AZ405" i="3"/>
  <c r="BN406" i="3"/>
  <c r="BP406" i="3"/>
  <c r="BL406" i="3"/>
  <c r="AZ406" i="3"/>
  <c r="BN407" i="3"/>
  <c r="BP407" i="3"/>
  <c r="BL407" i="3"/>
  <c r="AZ407" i="3"/>
  <c r="BN408" i="3"/>
  <c r="BP408" i="3"/>
  <c r="BL408" i="3"/>
  <c r="AZ408" i="3"/>
  <c r="BN409" i="3"/>
  <c r="BP409" i="3"/>
  <c r="BL409" i="3"/>
  <c r="AZ409" i="3"/>
  <c r="BN410" i="3"/>
  <c r="BP410" i="3"/>
  <c r="BL410" i="3"/>
  <c r="AZ410" i="3"/>
  <c r="BN411" i="3"/>
  <c r="BP411" i="3"/>
  <c r="BL411" i="3"/>
  <c r="AZ411" i="3"/>
  <c r="BN412" i="3"/>
  <c r="BP412" i="3"/>
  <c r="BL412" i="3"/>
  <c r="AZ412" i="3"/>
  <c r="BN413" i="3"/>
  <c r="BP413" i="3"/>
  <c r="BL413" i="3"/>
  <c r="AZ413" i="3"/>
  <c r="BN414" i="3"/>
  <c r="BP414" i="3"/>
  <c r="BL414" i="3"/>
  <c r="AZ414" i="3"/>
  <c r="BN415" i="3"/>
  <c r="BP415" i="3"/>
  <c r="BL415" i="3"/>
  <c r="AZ415" i="3"/>
  <c r="BN416" i="3"/>
  <c r="BP416" i="3"/>
  <c r="BL416" i="3"/>
  <c r="AZ416" i="3"/>
  <c r="BN417" i="3"/>
  <c r="BP417" i="3"/>
  <c r="BL417" i="3"/>
  <c r="AZ417" i="3"/>
  <c r="BN418" i="3"/>
  <c r="BP418" i="3"/>
  <c r="BL418" i="3"/>
  <c r="AZ418" i="3"/>
  <c r="BN419" i="3"/>
  <c r="BP419" i="3"/>
  <c r="BL419" i="3"/>
  <c r="AZ419" i="3"/>
  <c r="BN420" i="3"/>
  <c r="BP420" i="3"/>
  <c r="BL420" i="3"/>
  <c r="AZ420" i="3"/>
  <c r="BN421" i="3"/>
  <c r="BP421" i="3"/>
  <c r="BL421" i="3"/>
  <c r="AZ421" i="3"/>
  <c r="BN422" i="3"/>
  <c r="BP422" i="3"/>
  <c r="BL422" i="3"/>
  <c r="AZ422" i="3"/>
  <c r="BN423" i="3"/>
  <c r="BP423" i="3"/>
  <c r="BL423" i="3"/>
  <c r="AZ423" i="3"/>
  <c r="BN424" i="3"/>
  <c r="BP424" i="3"/>
  <c r="BL424" i="3"/>
  <c r="AZ424" i="3"/>
  <c r="BN425" i="3"/>
  <c r="BP425" i="3"/>
  <c r="BL425" i="3"/>
  <c r="AZ425" i="3"/>
  <c r="BN426" i="3"/>
  <c r="BP426" i="3"/>
  <c r="BL426" i="3"/>
  <c r="AZ426" i="3"/>
  <c r="BN427" i="3"/>
  <c r="BP427" i="3"/>
  <c r="BL427" i="3"/>
  <c r="AZ427" i="3"/>
  <c r="BN428" i="3"/>
  <c r="BP428" i="3"/>
  <c r="BL428" i="3"/>
  <c r="AZ428" i="3"/>
  <c r="BN429" i="3"/>
  <c r="BP429" i="3"/>
  <c r="BL429" i="3"/>
  <c r="AZ429" i="3"/>
  <c r="BN430" i="3"/>
  <c r="BP430" i="3"/>
  <c r="BL430" i="3"/>
  <c r="AZ430" i="3"/>
  <c r="BN431" i="3"/>
  <c r="BP431" i="3"/>
  <c r="BL431" i="3"/>
  <c r="AZ431" i="3"/>
  <c r="BN432" i="3"/>
  <c r="BP432" i="3"/>
  <c r="BL432" i="3"/>
  <c r="AZ432" i="3"/>
  <c r="BN433" i="3"/>
  <c r="BP433" i="3"/>
  <c r="BL433" i="3"/>
  <c r="AZ433" i="3"/>
  <c r="BN434" i="3"/>
  <c r="BP434" i="3"/>
  <c r="BL434" i="3"/>
  <c r="AZ434" i="3"/>
  <c r="BN435" i="3"/>
  <c r="BP435" i="3"/>
  <c r="BL435" i="3"/>
  <c r="AZ435" i="3"/>
  <c r="BN436" i="3"/>
  <c r="BP436" i="3"/>
  <c r="BL436" i="3"/>
  <c r="AZ436" i="3"/>
  <c r="BN437" i="3"/>
  <c r="BP437" i="3"/>
  <c r="BL437" i="3"/>
  <c r="AZ437" i="3"/>
  <c r="BN438" i="3"/>
  <c r="BP438" i="3"/>
  <c r="BL438" i="3"/>
  <c r="AZ438" i="3"/>
  <c r="BN439" i="3"/>
  <c r="BP439" i="3"/>
  <c r="BL439" i="3"/>
  <c r="AZ439" i="3"/>
  <c r="BN440" i="3"/>
  <c r="BP440" i="3"/>
  <c r="BL440" i="3"/>
  <c r="AZ440" i="3"/>
  <c r="BN441" i="3"/>
  <c r="BP441" i="3"/>
  <c r="BL441" i="3"/>
  <c r="AZ441" i="3"/>
  <c r="BN442" i="3"/>
  <c r="BP442" i="3"/>
  <c r="BL442" i="3"/>
  <c r="AZ442" i="3"/>
  <c r="BN443" i="3"/>
  <c r="BP443" i="3"/>
  <c r="BL443" i="3"/>
  <c r="AZ443" i="3"/>
  <c r="BN444" i="3"/>
  <c r="BP444" i="3"/>
  <c r="BL444" i="3"/>
  <c r="AZ444" i="3"/>
  <c r="BN445" i="3"/>
  <c r="BP445" i="3"/>
  <c r="BL445" i="3"/>
  <c r="AZ445" i="3"/>
  <c r="BN446" i="3"/>
  <c r="BP446" i="3"/>
  <c r="BL446" i="3"/>
  <c r="AZ446" i="3"/>
  <c r="BN447" i="3"/>
  <c r="BP447" i="3"/>
  <c r="BL447" i="3"/>
  <c r="AZ447" i="3"/>
  <c r="BN448" i="3"/>
  <c r="BP448" i="3"/>
  <c r="BL448" i="3"/>
  <c r="AZ448" i="3"/>
  <c r="BN449" i="3"/>
  <c r="BP449" i="3"/>
  <c r="BL449" i="3"/>
  <c r="AZ449" i="3"/>
  <c r="BN450" i="3"/>
  <c r="BP450" i="3"/>
  <c r="BL450" i="3"/>
  <c r="AZ450" i="3"/>
  <c r="BN451" i="3"/>
  <c r="BP451" i="3"/>
  <c r="BL451" i="3"/>
  <c r="AZ451" i="3"/>
  <c r="BN452" i="3"/>
  <c r="BP452" i="3"/>
  <c r="BL452" i="3"/>
  <c r="AZ452" i="3"/>
  <c r="BN453" i="3"/>
  <c r="BP453" i="3"/>
  <c r="BL453" i="3"/>
  <c r="AZ453" i="3"/>
  <c r="BN454" i="3"/>
  <c r="BP454" i="3"/>
  <c r="BL454" i="3"/>
  <c r="AZ454" i="3"/>
  <c r="BN455" i="3"/>
  <c r="BP455" i="3"/>
  <c r="BL455" i="3"/>
  <c r="AZ455" i="3"/>
  <c r="BN456" i="3"/>
  <c r="BP456" i="3"/>
  <c r="BL456" i="3"/>
  <c r="AZ456" i="3"/>
  <c r="BN457" i="3"/>
  <c r="BP457" i="3"/>
  <c r="BL457" i="3"/>
  <c r="AZ457" i="3"/>
  <c r="BN458" i="3"/>
  <c r="BP458" i="3"/>
  <c r="BL458" i="3"/>
  <c r="AZ458" i="3"/>
  <c r="BN459" i="3"/>
  <c r="BP459" i="3"/>
  <c r="BL459" i="3"/>
  <c r="AZ459" i="3"/>
  <c r="BN460" i="3"/>
  <c r="BP460" i="3"/>
  <c r="BL460" i="3"/>
  <c r="AZ460" i="3"/>
  <c r="BN461" i="3"/>
  <c r="BP461" i="3"/>
  <c r="BL461" i="3"/>
  <c r="AZ461" i="3"/>
  <c r="BN462" i="3"/>
  <c r="BP462" i="3"/>
  <c r="BL462" i="3"/>
  <c r="AZ462" i="3"/>
  <c r="BN463" i="3"/>
  <c r="BP463" i="3"/>
  <c r="BL463" i="3"/>
  <c r="AZ463" i="3"/>
  <c r="BN464" i="3"/>
  <c r="BP464" i="3"/>
  <c r="BL464" i="3"/>
  <c r="AZ464" i="3"/>
  <c r="BN465" i="3"/>
  <c r="BP465" i="3"/>
  <c r="BL465" i="3"/>
  <c r="AZ465" i="3"/>
  <c r="BN466" i="3"/>
  <c r="BP466" i="3"/>
  <c r="BL466" i="3"/>
  <c r="AZ466" i="3"/>
  <c r="BN467" i="3"/>
  <c r="BP467" i="3"/>
  <c r="BL467" i="3"/>
  <c r="AZ467" i="3"/>
  <c r="BN468" i="3"/>
  <c r="BP468" i="3"/>
  <c r="BL468" i="3"/>
  <c r="AZ468" i="3"/>
  <c r="BN469" i="3"/>
  <c r="BP469" i="3"/>
  <c r="BL469" i="3"/>
  <c r="AZ469" i="3"/>
  <c r="BN470" i="3"/>
  <c r="BP470" i="3"/>
  <c r="BL470" i="3"/>
  <c r="AZ470" i="3"/>
  <c r="BN471" i="3"/>
  <c r="BP471" i="3"/>
  <c r="BL471" i="3"/>
  <c r="AZ471" i="3"/>
  <c r="BN472" i="3"/>
  <c r="BP472" i="3"/>
  <c r="BL472" i="3"/>
  <c r="AZ472" i="3"/>
  <c r="BN473" i="3"/>
  <c r="BP473" i="3"/>
  <c r="BL473" i="3"/>
  <c r="AZ473" i="3"/>
  <c r="BN474" i="3"/>
  <c r="BP474" i="3"/>
  <c r="BL474" i="3"/>
  <c r="AZ474" i="3"/>
  <c r="BN475" i="3"/>
  <c r="BP475" i="3"/>
  <c r="BL475" i="3"/>
  <c r="AZ475" i="3"/>
  <c r="BN476" i="3"/>
  <c r="BP476" i="3"/>
  <c r="BL476" i="3"/>
  <c r="AZ476" i="3"/>
  <c r="BN477" i="3"/>
  <c r="BP477" i="3"/>
  <c r="BL477" i="3"/>
  <c r="AZ477" i="3"/>
  <c r="BN478" i="3"/>
  <c r="BP478" i="3"/>
  <c r="BL478" i="3"/>
  <c r="AZ478" i="3"/>
  <c r="BN479" i="3"/>
  <c r="BP479" i="3"/>
  <c r="BL479" i="3"/>
  <c r="AZ479" i="3"/>
  <c r="BN480" i="3"/>
  <c r="BP480" i="3"/>
  <c r="BL480" i="3"/>
  <c r="AZ480" i="3"/>
  <c r="BN481" i="3"/>
  <c r="BP481" i="3"/>
  <c r="BL481" i="3"/>
  <c r="AZ481" i="3"/>
  <c r="BN482" i="3"/>
  <c r="BP482" i="3"/>
  <c r="BL482" i="3"/>
  <c r="AZ482" i="3"/>
  <c r="BN483" i="3"/>
  <c r="BP483" i="3"/>
  <c r="BL483" i="3"/>
  <c r="AZ483" i="3"/>
  <c r="BN484" i="3"/>
  <c r="BP484" i="3"/>
  <c r="BL484" i="3"/>
  <c r="AZ484" i="3"/>
  <c r="BN485" i="3"/>
  <c r="BP485" i="3"/>
  <c r="BL485" i="3"/>
  <c r="AZ485" i="3"/>
  <c r="BN486" i="3"/>
  <c r="BP486" i="3"/>
  <c r="BL486" i="3"/>
  <c r="AZ486" i="3"/>
  <c r="BN487" i="3"/>
  <c r="BP487" i="3"/>
  <c r="BL487" i="3"/>
  <c r="AZ487" i="3"/>
  <c r="BN488" i="3"/>
  <c r="BP488" i="3"/>
  <c r="BL488" i="3"/>
  <c r="AZ488" i="3"/>
  <c r="BN489" i="3"/>
  <c r="BP489" i="3"/>
  <c r="BL489" i="3"/>
  <c r="AZ489" i="3"/>
  <c r="BN490" i="3"/>
  <c r="BP490" i="3"/>
  <c r="BL490" i="3"/>
  <c r="AZ490" i="3"/>
  <c r="BN491" i="3"/>
  <c r="BP491" i="3"/>
  <c r="BL491" i="3"/>
  <c r="AZ491" i="3"/>
  <c r="BN492" i="3"/>
  <c r="BP492" i="3"/>
  <c r="BL492" i="3"/>
  <c r="AZ492" i="3"/>
  <c r="BN493" i="3"/>
  <c r="BP493" i="3"/>
  <c r="BL493" i="3"/>
  <c r="AZ493" i="3"/>
  <c r="BN494" i="3"/>
  <c r="BP494" i="3"/>
  <c r="BL494" i="3"/>
  <c r="AZ494" i="3"/>
  <c r="BN495" i="3"/>
  <c r="BP495" i="3"/>
  <c r="BL495" i="3"/>
  <c r="AZ495" i="3"/>
  <c r="BN496" i="3"/>
  <c r="BP496" i="3"/>
  <c r="BL496" i="3"/>
  <c r="AZ496" i="3"/>
  <c r="BN497" i="3"/>
  <c r="BP497" i="3"/>
  <c r="BL497" i="3"/>
  <c r="AZ497" i="3"/>
  <c r="BN498" i="3"/>
  <c r="BP498" i="3"/>
  <c r="BL498" i="3"/>
  <c r="AZ498" i="3"/>
  <c r="BN499" i="3"/>
  <c r="BP499" i="3"/>
  <c r="BL499" i="3"/>
  <c r="AZ499" i="3"/>
  <c r="BN500" i="3"/>
  <c r="BP500" i="3"/>
  <c r="BL500" i="3"/>
  <c r="AZ500" i="3"/>
  <c r="BN501" i="3"/>
  <c r="BP501" i="3"/>
  <c r="BL501" i="3"/>
  <c r="AZ501" i="3"/>
  <c r="BN502" i="3"/>
  <c r="BP502" i="3"/>
  <c r="BL502" i="3"/>
  <c r="AZ502" i="3"/>
  <c r="BN503" i="3"/>
  <c r="BP503" i="3"/>
  <c r="BL503" i="3"/>
  <c r="AZ503" i="3"/>
  <c r="BN504" i="3"/>
  <c r="BP504" i="3"/>
  <c r="BL504" i="3"/>
  <c r="AZ504" i="3"/>
  <c r="BN505" i="3"/>
  <c r="BP505" i="3"/>
  <c r="BL505" i="3"/>
  <c r="AZ505" i="3"/>
  <c r="BN506" i="3"/>
  <c r="BP506" i="3"/>
  <c r="BL506" i="3"/>
  <c r="AZ506" i="3"/>
  <c r="BN507" i="3"/>
  <c r="BP507" i="3"/>
  <c r="BL507" i="3"/>
  <c r="AZ507" i="3"/>
  <c r="BN508" i="3"/>
  <c r="BP508" i="3"/>
  <c r="BL508" i="3"/>
  <c r="AZ508" i="3"/>
  <c r="BN509" i="3"/>
  <c r="BP509" i="3"/>
  <c r="BL509" i="3"/>
  <c r="AZ509" i="3"/>
  <c r="BN510" i="3"/>
  <c r="BP510" i="3"/>
  <c r="BL510" i="3"/>
  <c r="AZ510" i="3"/>
  <c r="BN511" i="3"/>
  <c r="BP511" i="3"/>
  <c r="BL511" i="3"/>
  <c r="AZ511" i="3"/>
  <c r="BN512" i="3"/>
  <c r="BP512" i="3"/>
  <c r="BL512" i="3"/>
  <c r="AZ512" i="3"/>
  <c r="BN513" i="3"/>
  <c r="BP513" i="3"/>
  <c r="BL513" i="3"/>
  <c r="AZ513" i="3"/>
  <c r="BN514" i="3"/>
  <c r="BP514" i="3"/>
  <c r="BL514" i="3"/>
  <c r="AZ514" i="3"/>
  <c r="BN515" i="3"/>
  <c r="BP515" i="3"/>
  <c r="BL515" i="3"/>
  <c r="AZ515" i="3"/>
  <c r="BN516" i="3"/>
  <c r="BP516" i="3"/>
  <c r="BL516" i="3"/>
  <c r="AZ516" i="3"/>
  <c r="BN517" i="3"/>
  <c r="BP517" i="3"/>
  <c r="BL517" i="3"/>
  <c r="AZ517" i="3"/>
  <c r="BN518" i="3"/>
  <c r="BP518" i="3"/>
  <c r="BL518" i="3"/>
  <c r="AZ518" i="3"/>
  <c r="BN519" i="3"/>
  <c r="BP519" i="3"/>
  <c r="BL519" i="3"/>
  <c r="AZ519" i="3"/>
  <c r="BN520" i="3"/>
  <c r="BP520" i="3"/>
  <c r="BL520" i="3"/>
  <c r="AZ520" i="3"/>
  <c r="BN521" i="3"/>
  <c r="BP521" i="3"/>
  <c r="BL521" i="3"/>
  <c r="AZ521" i="3"/>
  <c r="BN522" i="3"/>
  <c r="BP522" i="3"/>
  <c r="BL522" i="3"/>
  <c r="AZ522" i="3"/>
  <c r="BN523" i="3"/>
  <c r="BP523" i="3"/>
  <c r="BL523" i="3"/>
  <c r="AZ523" i="3"/>
  <c r="BN524" i="3"/>
  <c r="BP524" i="3"/>
  <c r="BL524" i="3"/>
  <c r="AZ524" i="3"/>
  <c r="BN525" i="3"/>
  <c r="BP525" i="3"/>
  <c r="BL525" i="3"/>
  <c r="AZ525" i="3"/>
  <c r="BN526" i="3"/>
  <c r="BP526" i="3"/>
  <c r="BL526" i="3"/>
  <c r="AZ526" i="3"/>
  <c r="BN527" i="3"/>
  <c r="BP527" i="3"/>
  <c r="BL527" i="3"/>
  <c r="AZ527" i="3"/>
  <c r="BN528" i="3"/>
  <c r="BP528" i="3"/>
  <c r="BL528" i="3"/>
  <c r="AZ528" i="3"/>
  <c r="BN529" i="3"/>
  <c r="BP529" i="3"/>
  <c r="BL529" i="3"/>
  <c r="AZ529" i="3"/>
  <c r="BN530" i="3"/>
  <c r="BP530" i="3"/>
  <c r="BL530" i="3"/>
  <c r="AZ530" i="3"/>
  <c r="BN531" i="3"/>
  <c r="BP531" i="3"/>
  <c r="BL531" i="3"/>
  <c r="AZ531" i="3"/>
  <c r="BN532" i="3"/>
  <c r="BP532" i="3"/>
  <c r="BL532" i="3"/>
  <c r="AZ532" i="3"/>
  <c r="BN533" i="3"/>
  <c r="BP533" i="3"/>
  <c r="BL533" i="3"/>
  <c r="AZ533" i="3"/>
  <c r="BN534" i="3"/>
  <c r="BP534" i="3"/>
  <c r="BL534" i="3"/>
  <c r="AZ534" i="3"/>
  <c r="BN535" i="3"/>
  <c r="BP535" i="3"/>
  <c r="BL535" i="3"/>
  <c r="AZ535" i="3"/>
  <c r="BN536" i="3"/>
  <c r="BP536" i="3"/>
  <c r="BL536" i="3"/>
  <c r="AZ536" i="3"/>
  <c r="BN537" i="3"/>
  <c r="BP537" i="3"/>
  <c r="BL537" i="3"/>
  <c r="AZ537" i="3"/>
  <c r="BN538" i="3"/>
  <c r="BP538" i="3"/>
  <c r="BL538" i="3"/>
  <c r="AZ538" i="3"/>
  <c r="BN539" i="3"/>
  <c r="BP539" i="3"/>
  <c r="BL539" i="3"/>
  <c r="AZ539" i="3"/>
  <c r="BN540" i="3"/>
  <c r="BP540" i="3"/>
  <c r="BL540" i="3"/>
  <c r="AZ540" i="3"/>
  <c r="BN541" i="3"/>
  <c r="BP541" i="3"/>
  <c r="BL541" i="3"/>
  <c r="AZ541" i="3"/>
  <c r="BN542" i="3"/>
  <c r="BP542" i="3"/>
  <c r="BL542" i="3"/>
  <c r="AZ542" i="3"/>
  <c r="BN543" i="3"/>
  <c r="BP543" i="3"/>
  <c r="BL543" i="3"/>
  <c r="AZ543" i="3"/>
  <c r="BN544" i="3"/>
  <c r="BP544" i="3"/>
  <c r="BL544" i="3"/>
  <c r="AZ544" i="3"/>
  <c r="BN545" i="3"/>
  <c r="BP545" i="3"/>
  <c r="BL545" i="3"/>
  <c r="AZ545" i="3"/>
  <c r="BN546" i="3"/>
  <c r="BP546" i="3"/>
  <c r="BL546" i="3"/>
  <c r="AZ546" i="3"/>
  <c r="BN547" i="3"/>
  <c r="BP547" i="3"/>
  <c r="BL547" i="3"/>
  <c r="AZ547" i="3"/>
  <c r="BN548" i="3"/>
  <c r="BP548" i="3"/>
  <c r="BL548" i="3"/>
  <c r="AZ548" i="3"/>
  <c r="BN549" i="3"/>
  <c r="BP549" i="3"/>
  <c r="BL549" i="3"/>
  <c r="AZ549" i="3"/>
  <c r="BN550" i="3"/>
  <c r="BP550" i="3"/>
  <c r="BL550" i="3"/>
  <c r="AZ550" i="3"/>
  <c r="BN551" i="3"/>
  <c r="BP551" i="3"/>
  <c r="BL551" i="3"/>
  <c r="AZ551" i="3"/>
  <c r="BN552" i="3"/>
  <c r="BP552" i="3"/>
  <c r="BL552" i="3"/>
  <c r="AZ552" i="3"/>
  <c r="BN553" i="3"/>
  <c r="BP553" i="3"/>
  <c r="BL553" i="3"/>
  <c r="AZ553" i="3"/>
  <c r="BN554" i="3"/>
  <c r="BP554" i="3"/>
  <c r="BL554" i="3"/>
  <c r="AZ554" i="3"/>
  <c r="BN555" i="3"/>
  <c r="BP555" i="3"/>
  <c r="BL555" i="3"/>
  <c r="AZ555" i="3"/>
  <c r="BN556" i="3"/>
  <c r="BP556" i="3"/>
  <c r="BL556" i="3"/>
  <c r="AZ556" i="3"/>
  <c r="BN557" i="3"/>
  <c r="BP557" i="3"/>
  <c r="BL557" i="3"/>
  <c r="AZ557" i="3"/>
  <c r="BN558" i="3"/>
  <c r="BP558" i="3"/>
  <c r="BL558" i="3"/>
  <c r="AZ558" i="3"/>
  <c r="BN559" i="3"/>
  <c r="BP559" i="3"/>
  <c r="BL559" i="3"/>
  <c r="AZ559" i="3"/>
  <c r="BN560" i="3"/>
  <c r="BP560" i="3"/>
  <c r="BL560" i="3"/>
  <c r="AZ560" i="3"/>
  <c r="BN561" i="3"/>
  <c r="BP561" i="3"/>
  <c r="BL561" i="3"/>
  <c r="AZ561" i="3"/>
  <c r="BN562" i="3"/>
  <c r="BP562" i="3"/>
  <c r="BL562" i="3"/>
  <c r="AZ562" i="3"/>
  <c r="BN563" i="3"/>
  <c r="BP563" i="3"/>
  <c r="BL563" i="3"/>
  <c r="AZ563" i="3"/>
  <c r="BN564" i="3"/>
  <c r="BP564" i="3"/>
  <c r="BL564" i="3"/>
  <c r="AZ564" i="3"/>
  <c r="BN565" i="3"/>
  <c r="BP565" i="3"/>
  <c r="BL565" i="3"/>
  <c r="AZ565" i="3"/>
  <c r="BN566" i="3"/>
  <c r="BP566" i="3"/>
  <c r="BL566" i="3"/>
  <c r="AZ566" i="3"/>
  <c r="BN567" i="3"/>
  <c r="BP567" i="3"/>
  <c r="BL567" i="3"/>
  <c r="AZ567" i="3"/>
  <c r="BN568" i="3"/>
  <c r="BP568" i="3"/>
  <c r="BL568" i="3"/>
  <c r="AZ568" i="3"/>
  <c r="BN569" i="3"/>
  <c r="BP569" i="3"/>
  <c r="BL569" i="3"/>
  <c r="AZ569" i="3"/>
  <c r="BN570" i="3"/>
  <c r="BP570" i="3"/>
  <c r="BL570" i="3"/>
  <c r="AZ570" i="3"/>
  <c r="BN571" i="3"/>
  <c r="BP571" i="3"/>
  <c r="BL571" i="3"/>
  <c r="AZ571" i="3"/>
  <c r="BN572" i="3"/>
  <c r="BP572" i="3"/>
  <c r="BL572" i="3"/>
  <c r="AZ572" i="3"/>
  <c r="BN573" i="3"/>
  <c r="BP573" i="3"/>
  <c r="BL573" i="3"/>
  <c r="AZ573" i="3"/>
  <c r="BN574" i="3"/>
  <c r="BP574" i="3"/>
  <c r="BL574" i="3"/>
  <c r="AZ574" i="3"/>
  <c r="BN575" i="3"/>
  <c r="BP575" i="3"/>
  <c r="BL575" i="3"/>
  <c r="AZ575" i="3"/>
  <c r="BN576" i="3"/>
  <c r="BP576" i="3"/>
  <c r="BL576" i="3"/>
  <c r="AZ576" i="3"/>
  <c r="BN577" i="3"/>
  <c r="BP577" i="3"/>
  <c r="BL577" i="3"/>
  <c r="AZ577" i="3"/>
  <c r="BN578" i="3"/>
  <c r="BP578" i="3"/>
  <c r="BL578" i="3"/>
  <c r="AZ578" i="3"/>
  <c r="BN579" i="3"/>
  <c r="BP579" i="3"/>
  <c r="BL579" i="3"/>
  <c r="AZ579" i="3"/>
  <c r="BN580" i="3"/>
  <c r="BP580" i="3"/>
  <c r="BL580" i="3"/>
  <c r="AZ580" i="3"/>
  <c r="BN581" i="3"/>
  <c r="BP581" i="3"/>
  <c r="BL581" i="3"/>
  <c r="AZ581" i="3"/>
  <c r="BN582" i="3"/>
  <c r="BP582" i="3"/>
  <c r="BL582" i="3"/>
  <c r="AZ582" i="3"/>
  <c r="BN583" i="3"/>
  <c r="BP583" i="3"/>
  <c r="BL583" i="3"/>
  <c r="AZ583" i="3"/>
  <c r="BN584" i="3"/>
  <c r="BP584" i="3"/>
  <c r="BL584" i="3"/>
  <c r="AZ584" i="3"/>
  <c r="BN585" i="3"/>
  <c r="BP585" i="3"/>
  <c r="BL585" i="3"/>
  <c r="AZ585" i="3"/>
  <c r="BN586" i="3"/>
  <c r="BP586" i="3"/>
  <c r="BL586" i="3"/>
  <c r="AZ586" i="3"/>
  <c r="BN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I22"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D20" i="6"/>
  <c r="D21" i="6"/>
  <c r="D22" i="6"/>
  <c r="D23" i="6"/>
  <c r="D24" i="6"/>
  <c r="D25" i="6"/>
  <c r="D26" i="6"/>
  <c r="D27" i="6"/>
  <c r="D28" i="6"/>
  <c r="BN5" i="3"/>
  <c r="BP5" i="3"/>
  <c r="G29" i="6"/>
  <c r="E29" i="6"/>
  <c r="D29" i="6"/>
  <c r="D30" i="6"/>
  <c r="D31" i="6"/>
  <c r="I6" i="6"/>
  <c r="I7" i="6"/>
  <c r="C11" i="39"/>
  <c r="E81" i="39"/>
  <c r="B82" i="39"/>
  <c r="F12" i="39"/>
  <c r="AA12" i="39"/>
  <c r="B84" i="39"/>
  <c r="F13" i="39"/>
  <c r="AA13" i="39"/>
  <c r="B86" i="39"/>
  <c r="F14" i="39"/>
  <c r="AA14" i="39"/>
  <c r="D89" i="39"/>
  <c r="E89" i="39"/>
  <c r="F15" i="39"/>
  <c r="AA15" i="39"/>
  <c r="F17" i="39"/>
  <c r="AA17" i="39"/>
  <c r="F19" i="39"/>
  <c r="AA19" i="39"/>
  <c r="D95" i="39"/>
  <c r="E95" i="39"/>
  <c r="F95" i="39"/>
  <c r="F21" i="39"/>
  <c r="AA21" i="39"/>
  <c r="D97" i="39"/>
  <c r="F23" i="39"/>
  <c r="AA23" i="39"/>
  <c r="D101" i="39"/>
  <c r="E101" i="39"/>
  <c r="F101" i="39"/>
  <c r="F27" i="39"/>
  <c r="AA27" i="39"/>
  <c r="F29" i="39"/>
  <c r="AA29" i="39"/>
  <c r="B104" i="39"/>
  <c r="D105" i="39"/>
  <c r="E105" i="39"/>
  <c r="F31" i="39"/>
  <c r="AA31" i="39"/>
  <c r="D107" i="39"/>
  <c r="E107" i="39"/>
  <c r="F107" i="39"/>
  <c r="G107" i="39"/>
  <c r="F32" i="39"/>
  <c r="AA32" i="39"/>
  <c r="F34" i="39"/>
  <c r="AA34" i="39"/>
  <c r="B110" i="39"/>
  <c r="F35" i="39"/>
  <c r="AA35" i="39"/>
  <c r="B112" i="39"/>
  <c r="F36" i="39"/>
  <c r="AA36" i="39"/>
  <c r="B114" i="39"/>
  <c r="F37" i="39"/>
  <c r="AA37" i="39"/>
  <c r="D118" i="39"/>
  <c r="E118" i="39"/>
  <c r="C38" i="39"/>
  <c r="F38" i="39"/>
  <c r="AA38" i="39"/>
  <c r="D120" i="39"/>
  <c r="F39" i="39"/>
  <c r="AA39" i="39"/>
  <c r="D122" i="39"/>
  <c r="F40" i="39"/>
  <c r="AA40" i="39"/>
  <c r="D124" i="39"/>
  <c r="F41" i="39"/>
  <c r="AA41" i="39"/>
  <c r="D126" i="39"/>
  <c r="F42" i="39"/>
  <c r="AA42" i="39"/>
  <c r="B127" i="39"/>
  <c r="F43" i="39"/>
  <c r="AA43" i="39"/>
  <c r="B129" i="39"/>
  <c r="F44" i="39"/>
  <c r="AA44" i="39"/>
  <c r="B131" i="39"/>
  <c r="F45" i="39"/>
  <c r="AA45" i="39"/>
  <c r="H25" i="39"/>
  <c r="AB25" i="39"/>
  <c r="H7" i="39"/>
  <c r="AB7" i="39"/>
  <c r="H8" i="39"/>
  <c r="AB8" i="39"/>
  <c r="H9" i="39"/>
  <c r="AB9" i="39"/>
  <c r="G11" i="39"/>
  <c r="H11" i="39"/>
  <c r="H12" i="39"/>
  <c r="AB12" i="39"/>
  <c r="H13" i="39"/>
  <c r="AB13" i="39"/>
  <c r="H14" i="39"/>
  <c r="AB14" i="39"/>
  <c r="H17" i="39"/>
  <c r="AB17" i="39"/>
  <c r="H19" i="39"/>
  <c r="AB19" i="39"/>
  <c r="H21" i="39"/>
  <c r="AB21" i="39"/>
  <c r="H23" i="39"/>
  <c r="AB23" i="39"/>
  <c r="H27" i="39"/>
  <c r="AB27" i="39"/>
  <c r="H29" i="39"/>
  <c r="AB29" i="39"/>
  <c r="H31" i="39"/>
  <c r="AB31" i="39"/>
  <c r="H32" i="39"/>
  <c r="AB32" i="39"/>
  <c r="H34" i="39"/>
  <c r="AB34" i="39"/>
  <c r="H35" i="39"/>
  <c r="AB35" i="39"/>
  <c r="H36" i="39"/>
  <c r="AB36" i="39"/>
  <c r="H37" i="39"/>
  <c r="AB37" i="39"/>
  <c r="H38" i="39"/>
  <c r="AB38" i="39"/>
  <c r="H39" i="39"/>
  <c r="AB39" i="39"/>
  <c r="H40" i="39"/>
  <c r="AB40" i="39"/>
  <c r="E124" i="39"/>
  <c r="F124" i="39"/>
  <c r="G124" i="39"/>
  <c r="H41" i="39"/>
  <c r="AB41" i="39"/>
  <c r="H42" i="39"/>
  <c r="AB42" i="39"/>
  <c r="H43" i="39"/>
  <c r="AB43" i="39"/>
  <c r="H44" i="39"/>
  <c r="AB44" i="39"/>
  <c r="H45" i="39"/>
  <c r="AB45" i="39"/>
  <c r="J25" i="39"/>
  <c r="AC25" i="39"/>
  <c r="V46" i="39"/>
  <c r="AC7" i="39"/>
  <c r="J8" i="39"/>
  <c r="AC8" i="39"/>
  <c r="J9" i="39"/>
  <c r="AC9" i="39"/>
  <c r="I11" i="39"/>
  <c r="J11" i="39"/>
  <c r="J12" i="39"/>
  <c r="AC12" i="39"/>
  <c r="J13" i="39"/>
  <c r="AC13" i="39"/>
  <c r="J14" i="39"/>
  <c r="AC14" i="39"/>
  <c r="J15" i="39"/>
  <c r="AC15" i="39"/>
  <c r="J17" i="39"/>
  <c r="AC17" i="39"/>
  <c r="J19" i="39"/>
  <c r="AC19" i="39"/>
  <c r="J21" i="39"/>
  <c r="AC21" i="39"/>
  <c r="J23" i="39"/>
  <c r="AC23" i="39"/>
  <c r="J27" i="39"/>
  <c r="AC27" i="39"/>
  <c r="J29" i="39"/>
  <c r="AC29" i="39"/>
  <c r="J31" i="39"/>
  <c r="AC31" i="39"/>
  <c r="J32" i="39"/>
  <c r="AC32" i="39"/>
  <c r="J34" i="39"/>
  <c r="AC34" i="39"/>
  <c r="J35" i="39"/>
  <c r="AC35" i="39"/>
  <c r="J36" i="39"/>
  <c r="AC36" i="39"/>
  <c r="J37" i="39"/>
  <c r="AC37" i="39"/>
  <c r="J38" i="39"/>
  <c r="J39" i="39"/>
  <c r="AC39" i="39"/>
  <c r="J40" i="39"/>
  <c r="AC40" i="39"/>
  <c r="J41" i="39"/>
  <c r="AC41" i="39"/>
  <c r="J42" i="39"/>
  <c r="AC42" i="39"/>
  <c r="J43" i="39"/>
  <c r="AC43" i="39"/>
  <c r="J44" i="39"/>
  <c r="AC44" i="39"/>
  <c r="J45" i="39"/>
  <c r="AC45" i="39"/>
  <c r="C1" i="73"/>
  <c r="J1" i="73"/>
  <c r="B22" i="1"/>
  <c r="E1" i="73"/>
  <c r="K1" i="73"/>
  <c r="C19" i="78"/>
  <c r="B21" i="1"/>
  <c r="F21" i="78"/>
  <c r="B23" i="1"/>
  <c r="C21" i="78"/>
  <c r="B24" i="1"/>
  <c r="F34" i="78"/>
  <c r="M8" i="1"/>
  <c r="T8" i="1"/>
  <c r="F35" i="78"/>
  <c r="B35" i="1"/>
  <c r="E37" i="78"/>
  <c r="F38" i="78"/>
  <c r="F20" i="78"/>
  <c r="C40" i="78"/>
  <c r="B43" i="1"/>
  <c r="B41" i="1"/>
  <c r="F30" i="78"/>
  <c r="C42" i="1"/>
  <c r="C48" i="78"/>
  <c r="K6" i="1"/>
  <c r="M6" i="1"/>
  <c r="K7" i="1"/>
  <c r="M7" i="1"/>
  <c r="A9" i="1"/>
  <c r="K9" i="1"/>
  <c r="M9" i="1"/>
  <c r="A10" i="1"/>
  <c r="K10" i="1"/>
  <c r="M10" i="1"/>
  <c r="A11" i="1"/>
  <c r="K11" i="1"/>
  <c r="M11" i="1"/>
  <c r="A12" i="1"/>
  <c r="K12" i="1"/>
  <c r="M12" i="1"/>
  <c r="A13" i="1"/>
  <c r="K13" i="1"/>
  <c r="M13" i="1"/>
  <c r="K14" i="1"/>
  <c r="M14" i="1"/>
  <c r="N7" i="1"/>
  <c r="N8" i="1"/>
  <c r="M16" i="1"/>
  <c r="N16" i="1"/>
  <c r="F50" i="78"/>
  <c r="G1" i="77"/>
  <c r="K20" i="6"/>
  <c r="S7" i="1"/>
  <c r="E10" i="77"/>
  <c r="C19" i="77"/>
  <c r="F21" i="77"/>
  <c r="C21" i="77"/>
  <c r="F34" i="77"/>
  <c r="T7" i="1"/>
  <c r="F35" i="77"/>
  <c r="E37" i="77"/>
  <c r="F38" i="77"/>
  <c r="F20" i="77"/>
  <c r="C40" i="77"/>
  <c r="F30" i="77"/>
  <c r="C48" i="77"/>
  <c r="F50" i="77"/>
  <c r="F118" i="39"/>
  <c r="G118" i="39"/>
  <c r="G1" i="68"/>
  <c r="E9" i="68"/>
  <c r="D3" i="39"/>
  <c r="I5" i="39"/>
  <c r="G5" i="39"/>
  <c r="E5" i="39"/>
  <c r="C11" i="21"/>
  <c r="I11" i="21"/>
  <c r="F36" i="78"/>
  <c r="Q16" i="1"/>
  <c r="F7" i="78"/>
  <c r="B31" i="1"/>
  <c r="E19" i="78"/>
  <c r="C30" i="78"/>
  <c r="G41" i="78"/>
  <c r="G22" i="78"/>
  <c r="E9" i="78"/>
  <c r="F36" i="77"/>
  <c r="F7" i="77"/>
  <c r="E19" i="77"/>
  <c r="C30" i="77"/>
  <c r="G41" i="77"/>
  <c r="G22" i="77"/>
  <c r="E9" i="77"/>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G2"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M47" i="67"/>
  <c r="J53" i="67"/>
  <c r="M47" i="15"/>
  <c r="J53" i="15"/>
  <c r="I5" i="3"/>
  <c r="O5" i="3"/>
  <c r="AD5" i="3"/>
  <c r="AL5" i="3"/>
  <c r="AH5" i="3"/>
  <c r="AP5" i="3"/>
  <c r="I4" i="6"/>
  <c r="G3" i="43"/>
  <c r="F33" i="43"/>
  <c r="C33" i="43"/>
  <c r="G33" i="43"/>
  <c r="H33" i="43"/>
  <c r="I33" i="43"/>
  <c r="E33" i="43"/>
  <c r="M19" i="9"/>
  <c r="C118" i="9"/>
  <c r="C14" i="74"/>
  <c r="M18" i="9"/>
  <c r="B118" i="9"/>
  <c r="B14" i="74"/>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H19" i="21"/>
  <c r="D83" i="21"/>
  <c r="F21" i="21"/>
  <c r="AA2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H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C18" i="43"/>
  <c r="F15" i="43"/>
  <c r="E15" i="43"/>
  <c r="D15" i="43"/>
  <c r="C15" i="43"/>
  <c r="C10" i="43"/>
  <c r="C11" i="43"/>
  <c r="C9" i="43"/>
  <c r="A7" i="43"/>
  <c r="F33" i="15"/>
  <c r="F61" i="15"/>
  <c r="M19" i="15"/>
  <c r="O10" i="1"/>
  <c r="D78" i="9"/>
  <c r="F23" i="15"/>
  <c r="D24" i="15"/>
  <c r="O8" i="1"/>
  <c r="P8"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H124" i="39"/>
  <c r="I124" i="39"/>
  <c r="J124" i="39"/>
  <c r="K124" i="39"/>
  <c r="L124" i="39"/>
  <c r="M124" i="39"/>
  <c r="E120" i="39"/>
  <c r="F120" i="39"/>
  <c r="G120" i="39"/>
  <c r="H120" i="39"/>
  <c r="I120" i="39"/>
  <c r="J120" i="39"/>
  <c r="K120" i="39"/>
  <c r="L120" i="39"/>
  <c r="M120" i="39"/>
  <c r="D109" i="39"/>
  <c r="F105" i="39"/>
  <c r="G105" i="39"/>
  <c r="H105" i="39"/>
  <c r="I105" i="39"/>
  <c r="J105" i="39"/>
  <c r="K105" i="39"/>
  <c r="L105" i="39"/>
  <c r="M105" i="39"/>
  <c r="G99" i="39"/>
  <c r="Q39" i="39"/>
  <c r="Z39" i="39"/>
  <c r="Q40" i="39"/>
  <c r="Z40" i="39"/>
  <c r="Q41" i="39"/>
  <c r="Z41" i="39"/>
  <c r="Q42" i="39"/>
  <c r="Z42" i="39"/>
  <c r="Q43" i="39"/>
  <c r="Z43" i="39"/>
  <c r="Q44" i="39"/>
  <c r="Z44" i="39"/>
  <c r="Q45" i="39"/>
  <c r="Z45" i="39"/>
  <c r="Q38" i="39"/>
  <c r="Z38" i="39"/>
  <c r="Q36" i="39"/>
  <c r="Z36" i="39"/>
  <c r="Q37" i="39"/>
  <c r="Z37" i="39"/>
  <c r="E126" i="39"/>
  <c r="F126" i="39"/>
  <c r="G126" i="39"/>
  <c r="H126" i="39"/>
  <c r="I126" i="39"/>
  <c r="J126" i="39"/>
  <c r="K126" i="39"/>
  <c r="L126" i="39"/>
  <c r="M126" i="39"/>
  <c r="E122" i="39"/>
  <c r="F122" i="39"/>
  <c r="G122" i="39"/>
  <c r="H122" i="39"/>
  <c r="I122" i="39"/>
  <c r="J122" i="39"/>
  <c r="K122" i="39"/>
  <c r="L122" i="39"/>
  <c r="M122" i="39"/>
  <c r="D93" i="39"/>
  <c r="E93" i="39"/>
  <c r="F93" i="39"/>
  <c r="G93" i="39"/>
  <c r="D91" i="39"/>
  <c r="E91" i="39"/>
  <c r="F91" i="39"/>
  <c r="G91"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4" i="39"/>
  <c r="U34" i="39"/>
  <c r="E109" i="39"/>
  <c r="J23" i="40"/>
  <c r="AC23" i="40"/>
  <c r="F21" i="40"/>
  <c r="AA21" i="40"/>
  <c r="J21" i="40"/>
  <c r="W21" i="40"/>
  <c r="F109" i="39"/>
  <c r="G109" i="39"/>
  <c r="H109" i="39"/>
  <c r="I109" i="39"/>
  <c r="J109" i="39"/>
  <c r="K109" i="39"/>
  <c r="L109" i="39"/>
  <c r="M109"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W43" i="39"/>
  <c r="U45" i="39"/>
  <c r="U44" i="39"/>
  <c r="G101" i="39"/>
  <c r="W37" i="39"/>
  <c r="W15" i="39"/>
  <c r="W27" i="39"/>
  <c r="U40"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C5" i="3"/>
  <c r="U36" i="40"/>
  <c r="N4" i="43"/>
  <c r="F81" i="43"/>
  <c r="H83" i="43"/>
  <c r="H113" i="43"/>
  <c r="F48" i="43"/>
  <c r="H52" i="43"/>
  <c r="N7" i="43"/>
  <c r="F70" i="43"/>
  <c r="H73" i="43"/>
  <c r="M6" i="43"/>
  <c r="M11" i="43"/>
  <c r="E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O9" i="1"/>
  <c r="P9" i="1"/>
  <c r="AE9" i="1"/>
  <c r="D93" i="9"/>
  <c r="E12" i="6"/>
  <c r="E15" i="6"/>
  <c r="E60" i="40"/>
  <c r="E13" i="6"/>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E85" i="21"/>
  <c r="F23" i="21"/>
  <c r="S23"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22" i="49"/>
  <c r="D23" i="15"/>
  <c r="D22" i="15"/>
  <c r="E21" i="49"/>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J23" i="21"/>
  <c r="AC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S21" i="6"/>
  <c r="L27" i="6"/>
  <c r="S26" i="6"/>
  <c r="S22" i="6"/>
  <c r="M20" i="6"/>
  <c r="I20" i="6"/>
  <c r="AP7" i="1"/>
  <c r="O7" i="1"/>
  <c r="F27" i="69"/>
  <c r="C29" i="69"/>
  <c r="D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C30" i="11"/>
  <c r="E6" i="70"/>
  <c r="K27" i="6"/>
  <c r="A18" i="62"/>
  <c r="B64" i="72"/>
  <c r="B1" i="74"/>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W23" i="21"/>
  <c r="T6" i="1"/>
  <c r="F7" i="36"/>
  <c r="S7" i="36"/>
  <c r="H7" i="37"/>
  <c r="U7" i="37"/>
  <c r="H6" i="3"/>
  <c r="AC6" i="3"/>
  <c r="E6" i="6"/>
  <c r="D19" i="11"/>
  <c r="C19" i="11"/>
  <c r="C20"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F27" i="11"/>
  <c r="F1" i="67"/>
  <c r="Q52" i="67"/>
  <c r="E37" i="43"/>
  <c r="AA7" i="36"/>
  <c r="R36" i="36"/>
  <c r="E36" i="36"/>
  <c r="E40" i="36"/>
  <c r="F40" i="36"/>
  <c r="AC11" i="37"/>
  <c r="W11" i="37"/>
  <c r="AB7" i="37"/>
  <c r="T42" i="37"/>
  <c r="G42" i="37"/>
  <c r="G46" i="37"/>
  <c r="H46" i="37"/>
  <c r="W11" i="34"/>
  <c r="AC11" i="34"/>
  <c r="H20" i="6"/>
  <c r="B2" i="74"/>
  <c r="AB7" i="36"/>
  <c r="T36" i="36"/>
  <c r="E38" i="43"/>
  <c r="E6" i="3"/>
  <c r="D10" i="11"/>
  <c r="C10" i="11"/>
  <c r="D20" i="12"/>
  <c r="C20" i="12"/>
  <c r="C18" i="12"/>
  <c r="D15" i="6"/>
  <c r="C18" i="4"/>
  <c r="D8" i="6"/>
  <c r="D14" i="6"/>
  <c r="R20" i="6"/>
  <c r="R7" i="1"/>
  <c r="D5" i="6"/>
  <c r="D6" i="6"/>
  <c r="D12" i="6"/>
  <c r="D9" i="6"/>
  <c r="D11" i="6"/>
  <c r="D10" i="6"/>
  <c r="D13" i="6"/>
  <c r="H19" i="6"/>
  <c r="L19" i="9"/>
  <c r="E61" i="40"/>
  <c r="H25" i="6"/>
  <c r="R25" i="6"/>
  <c r="H22" i="6"/>
  <c r="H23" i="6"/>
  <c r="H21" i="6"/>
  <c r="H26" i="6"/>
  <c r="H24" i="6"/>
  <c r="C13" i="12"/>
  <c r="P16" i="1"/>
  <c r="C11" i="12"/>
  <c r="C15" i="12"/>
  <c r="F34" i="11"/>
  <c r="C37" i="11"/>
  <c r="F11" i="12"/>
  <c r="C23" i="12"/>
  <c r="F34" i="68"/>
  <c r="I35" i="43"/>
  <c r="E35" i="43"/>
  <c r="I36" i="43"/>
  <c r="I34" i="43"/>
  <c r="E34" i="43"/>
  <c r="AC7"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AB7" i="21"/>
  <c r="H7" i="34"/>
  <c r="U7" i="34"/>
  <c r="W7" i="37"/>
  <c r="AC7" i="37"/>
  <c r="V42" i="37"/>
  <c r="I42" i="37"/>
  <c r="W7" i="34"/>
  <c r="AC7" i="34"/>
  <c r="V49" i="34"/>
  <c r="I49" i="34"/>
  <c r="I53" i="34"/>
  <c r="J53" i="34"/>
  <c r="AA7" i="34"/>
  <c r="R49" i="34"/>
  <c r="F63" i="40"/>
  <c r="E65" i="40"/>
  <c r="S19" i="6"/>
  <c r="S27" i="6"/>
  <c r="I27" i="6"/>
  <c r="F50" i="11"/>
  <c r="F50" i="69"/>
  <c r="F50" i="68"/>
  <c r="C47" i="11"/>
  <c r="D45" i="11"/>
  <c r="C29" i="11"/>
  <c r="D27" i="11"/>
  <c r="C28" i="11"/>
  <c r="C27" i="11"/>
  <c r="L16" i="1"/>
  <c r="C34" i="11"/>
  <c r="C36" i="11"/>
  <c r="G36" i="36"/>
  <c r="R37" i="36"/>
  <c r="AB7" i="34"/>
  <c r="T49" i="34"/>
  <c r="G49" i="34"/>
  <c r="G53" i="34"/>
  <c r="H53" i="34"/>
  <c r="AA7" i="21"/>
  <c r="R48" i="21"/>
  <c r="E48" i="21"/>
  <c r="E52" i="21"/>
  <c r="F52" i="21"/>
  <c r="R26" i="6"/>
  <c r="R23" i="6"/>
  <c r="R24" i="6"/>
  <c r="R21" i="6"/>
  <c r="R8" i="1"/>
  <c r="R22" i="6"/>
  <c r="D16" i="6"/>
  <c r="A7" i="51"/>
  <c r="B7" i="72"/>
  <c r="C4" i="52"/>
  <c r="B45" i="72"/>
  <c r="A10" i="51"/>
  <c r="B9" i="72"/>
  <c r="U7" i="21"/>
  <c r="I40" i="36"/>
  <c r="J40" i="36"/>
  <c r="R43" i="37"/>
  <c r="E42" i="37"/>
  <c r="I47" i="37"/>
  <c r="J47" i="37"/>
  <c r="G43" i="35"/>
  <c r="H43" i="35"/>
  <c r="I42" i="35"/>
  <c r="J42" i="35"/>
  <c r="R39" i="35"/>
  <c r="E38" i="35"/>
  <c r="I43" i="35"/>
  <c r="J43" i="35"/>
  <c r="G47" i="37"/>
  <c r="H47" i="37"/>
  <c r="I46" i="37"/>
  <c r="J46" i="37"/>
  <c r="G63" i="40"/>
  <c r="F65" i="40"/>
  <c r="R50" i="34"/>
  <c r="E49" i="34"/>
  <c r="H27" i="6"/>
  <c r="R19" i="6"/>
  <c r="C35" i="11"/>
  <c r="C38" i="11"/>
  <c r="G54" i="34"/>
  <c r="H54" i="34"/>
  <c r="C37" i="36"/>
  <c r="C36" i="36"/>
  <c r="G40" i="36"/>
  <c r="H40" i="36"/>
  <c r="E41" i="36"/>
  <c r="F41" i="36"/>
  <c r="G41" i="36"/>
  <c r="H41" i="36"/>
  <c r="C19" i="68"/>
  <c r="R27" i="6"/>
  <c r="R6" i="1"/>
  <c r="E47" i="37"/>
  <c r="F47" i="37"/>
  <c r="E46" i="37"/>
  <c r="F46" i="37"/>
  <c r="C43" i="37"/>
  <c r="C42" i="37"/>
  <c r="C39" i="35"/>
  <c r="C38" i="35"/>
  <c r="E43" i="35"/>
  <c r="F43" i="35"/>
  <c r="E42" i="35"/>
  <c r="F42" i="35"/>
  <c r="E54" i="34"/>
  <c r="F54" i="34"/>
  <c r="I54" i="34"/>
  <c r="J54" i="34"/>
  <c r="E53" i="34"/>
  <c r="F53" i="34"/>
  <c r="C49" i="34"/>
  <c r="C50" i="34"/>
  <c r="H63" i="40"/>
  <c r="G65" i="40"/>
  <c r="C33" i="11"/>
  <c r="I5" i="6"/>
  <c r="I63" i="40"/>
  <c r="H65" i="40"/>
  <c r="C39" i="11"/>
  <c r="J63" i="40"/>
  <c r="I65" i="40"/>
  <c r="C46" i="11"/>
  <c r="C45" i="11"/>
  <c r="K63" i="40"/>
  <c r="J65" i="40"/>
  <c r="L63" i="40"/>
  <c r="K65" i="40"/>
  <c r="E2" i="70"/>
  <c r="C34" i="69"/>
  <c r="C35" i="69"/>
  <c r="M63" i="40"/>
  <c r="L65" i="40"/>
  <c r="D10" i="69"/>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C30" i="43"/>
  <c r="E30" i="43"/>
  <c r="C27" i="43"/>
  <c r="G16" i="1"/>
  <c r="F10" i="39"/>
  <c r="AA10" i="39"/>
  <c r="H10" i="39"/>
  <c r="AB10" i="39"/>
  <c r="J10" i="39"/>
  <c r="AC10" i="39"/>
  <c r="U10" i="39"/>
  <c r="W10" i="39"/>
  <c r="F10" i="40"/>
  <c r="S10" i="40"/>
  <c r="J10" i="40"/>
  <c r="AC10" i="40"/>
  <c r="AA10" i="40"/>
  <c r="W10" i="40"/>
  <c r="S10" i="39"/>
  <c r="H10" i="40"/>
  <c r="AB10" i="40"/>
  <c r="U10" i="40"/>
  <c r="D9" i="68"/>
  <c r="M24" i="15"/>
  <c r="B12" i="76"/>
  <c r="F9" i="67"/>
  <c r="AO8" i="1"/>
  <c r="D7" i="73"/>
  <c r="D4" i="73"/>
  <c r="C14" i="15"/>
  <c r="D34" i="9"/>
  <c r="E2" i="77"/>
  <c r="F27" i="78"/>
  <c r="F43" i="67"/>
  <c r="M6" i="15"/>
  <c r="C36" i="68"/>
  <c r="E6" i="76"/>
  <c r="F35" i="67"/>
  <c r="E12" i="76"/>
  <c r="M22" i="15"/>
  <c r="C34" i="78"/>
  <c r="F4" i="73"/>
  <c r="C36" i="78"/>
  <c r="F8" i="15"/>
  <c r="D2" i="34"/>
  <c r="D3" i="73"/>
  <c r="F7" i="15"/>
  <c r="F7" i="73"/>
  <c r="E2" i="68"/>
  <c r="E2" i="78"/>
  <c r="C76" i="15"/>
  <c r="B8" i="76"/>
  <c r="B10" i="76"/>
  <c r="M22" i="67"/>
  <c r="F27" i="77"/>
  <c r="M9" i="15"/>
  <c r="AO7" i="1"/>
  <c r="E11" i="76"/>
  <c r="F42" i="15"/>
  <c r="F16" i="15"/>
  <c r="E8" i="76"/>
  <c r="D2" i="21"/>
  <c r="B11" i="76"/>
  <c r="M9" i="67"/>
  <c r="F26" i="67"/>
  <c r="M21" i="67"/>
  <c r="D9" i="78"/>
  <c r="F38" i="15"/>
  <c r="L47" i="15"/>
  <c r="F36" i="15"/>
  <c r="AO11" i="1"/>
  <c r="M8" i="15"/>
  <c r="F6" i="73"/>
  <c r="D6" i="73"/>
  <c r="F38" i="67"/>
  <c r="M27" i="15"/>
  <c r="M28" i="15"/>
  <c r="D35" i="9"/>
  <c r="F36" i="67"/>
  <c r="M23" i="67"/>
  <c r="E9" i="76"/>
  <c r="F8" i="67"/>
  <c r="AO9" i="1"/>
  <c r="D10" i="68"/>
  <c r="D5" i="73"/>
  <c r="B13" i="76"/>
  <c r="J15" i="15"/>
  <c r="M26" i="67"/>
  <c r="M21" i="15"/>
  <c r="E10" i="76"/>
  <c r="D10" i="78"/>
  <c r="B7" i="76"/>
  <c r="M6" i="67"/>
  <c r="L48" i="67"/>
  <c r="AO6" i="1"/>
  <c r="D9" i="77"/>
  <c r="AO10" i="1"/>
  <c r="D10" i="77"/>
  <c r="AO13" i="1"/>
  <c r="F40" i="15"/>
  <c r="F43" i="15"/>
  <c r="F41" i="67"/>
  <c r="F20" i="31"/>
  <c r="AO12" i="1"/>
  <c r="F37" i="67"/>
  <c r="M27" i="67"/>
  <c r="C76" i="67"/>
  <c r="F27" i="68"/>
  <c r="E2" i="69"/>
  <c r="F26" i="15"/>
  <c r="D2" i="36"/>
  <c r="C36" i="77"/>
  <c r="D2" i="35"/>
  <c r="E13" i="76"/>
  <c r="M24" i="67"/>
  <c r="C34" i="68"/>
  <c r="M23" i="15"/>
  <c r="F37" i="15"/>
  <c r="F42" i="67"/>
  <c r="B9" i="76"/>
  <c r="D2" i="37"/>
  <c r="M29" i="15"/>
  <c r="F7" i="67"/>
  <c r="F40" i="67"/>
  <c r="L48" i="15"/>
  <c r="F6" i="67"/>
  <c r="F5" i="73"/>
  <c r="D2" i="33"/>
  <c r="F9" i="15"/>
  <c r="F13" i="67"/>
  <c r="M26" i="15"/>
  <c r="B6" i="76"/>
  <c r="J15" i="67"/>
  <c r="M29" i="67"/>
  <c r="L47" i="67"/>
  <c r="F3" i="73"/>
  <c r="M8" i="67"/>
  <c r="F13" i="15"/>
  <c r="C34" i="77"/>
  <c r="E7" i="76"/>
  <c r="F16" i="67"/>
  <c r="M28" i="67"/>
  <c r="F6" i="15"/>
  <c r="F35" i="15"/>
  <c r="F41" i="15"/>
  <c r="B6" i="49"/>
  <c r="B9" i="49"/>
  <c r="C4" i="4"/>
  <c r="B4" i="62"/>
  <c r="B71" i="72"/>
  <c r="B7" i="49"/>
  <c r="E4" i="49"/>
  <c r="E9" i="49"/>
  <c r="E16" i="49"/>
  <c r="B5" i="49"/>
  <c r="B14" i="49"/>
  <c r="B22" i="49"/>
  <c r="F77" i="21"/>
  <c r="G77" i="21"/>
  <c r="H15" i="21"/>
  <c r="F89" i="39"/>
  <c r="G89" i="39"/>
  <c r="H15" i="39"/>
  <c r="AC15" i="21"/>
  <c r="V48" i="21"/>
  <c r="I48" i="21"/>
  <c r="W7" i="21"/>
  <c r="AC38" i="39"/>
  <c r="W38" i="39"/>
  <c r="D19" i="69"/>
  <c r="C19" i="69"/>
  <c r="C14" i="12"/>
  <c r="W11" i="39"/>
  <c r="AC11" i="39"/>
  <c r="U11" i="39"/>
  <c r="AB11" i="39"/>
  <c r="S11" i="39"/>
  <c r="AA11" i="39"/>
  <c r="R47" i="39"/>
  <c r="E47" i="39"/>
  <c r="E51" i="39"/>
  <c r="F51" i="39"/>
  <c r="S38" i="39"/>
  <c r="E11" i="49"/>
  <c r="B8" i="49"/>
  <c r="B4" i="49"/>
  <c r="E5" i="49"/>
  <c r="E10" i="49"/>
  <c r="E8" i="49"/>
  <c r="B13" i="49"/>
  <c r="B11" i="49"/>
  <c r="E4" i="4"/>
  <c r="B5" i="62"/>
  <c r="B73" i="72"/>
  <c r="E6" i="49"/>
  <c r="E7" i="49"/>
  <c r="B16" i="49"/>
  <c r="B10" i="49"/>
  <c r="R10" i="81"/>
  <c r="T9" i="81"/>
  <c r="R16" i="1"/>
  <c r="C10" i="69"/>
  <c r="C8" i="69"/>
  <c r="C5" i="69"/>
  <c r="C38" i="69"/>
  <c r="T9" i="82"/>
  <c r="R10" i="82"/>
  <c r="E2" i="76"/>
  <c r="B2" i="35"/>
  <c r="B3" i="35"/>
  <c r="B2" i="33"/>
  <c r="B3" i="33"/>
  <c r="B20" i="31"/>
  <c r="B2" i="36"/>
  <c r="B3" i="36"/>
  <c r="B8" i="70"/>
  <c r="F63" i="15"/>
  <c r="C62" i="15"/>
  <c r="C34" i="15"/>
  <c r="C38" i="68"/>
  <c r="C35" i="68"/>
  <c r="B2" i="76"/>
  <c r="B3" i="76"/>
  <c r="B2" i="34"/>
  <c r="B3" i="34"/>
  <c r="B2" i="37"/>
  <c r="B3" i="37"/>
  <c r="B7" i="70"/>
  <c r="B6" i="70"/>
  <c r="F69" i="67"/>
  <c r="F69" i="15"/>
  <c r="C18" i="15"/>
  <c r="C15" i="15"/>
  <c r="J20" i="67"/>
  <c r="F70" i="67"/>
  <c r="F64" i="67"/>
  <c r="I54" i="15"/>
  <c r="L56" i="15"/>
  <c r="J57" i="15"/>
  <c r="J55" i="15"/>
  <c r="J58" i="15"/>
  <c r="Q50" i="15"/>
  <c r="J20" i="15"/>
  <c r="F63" i="67"/>
  <c r="C62" i="67"/>
  <c r="C34" i="67"/>
  <c r="C10" i="68"/>
  <c r="C47" i="68"/>
  <c r="D45" i="68"/>
  <c r="C29" i="68"/>
  <c r="D27" i="68"/>
  <c r="F71" i="15"/>
  <c r="F65" i="67"/>
  <c r="Q71" i="15"/>
  <c r="F68" i="67"/>
  <c r="F66" i="67"/>
  <c r="C27" i="15"/>
  <c r="N59" i="67"/>
  <c r="M59" i="67"/>
  <c r="L58" i="67"/>
  <c r="L59" i="67"/>
  <c r="F51" i="15"/>
  <c r="F68" i="15"/>
  <c r="L58" i="15"/>
  <c r="N59" i="15"/>
  <c r="M59" i="15"/>
  <c r="L59" i="15"/>
  <c r="F64" i="15"/>
  <c r="F65" i="15"/>
  <c r="I54" i="67"/>
  <c r="L56" i="67"/>
  <c r="J57" i="67"/>
  <c r="J55" i="67"/>
  <c r="J58" i="67"/>
  <c r="Q50" i="67"/>
  <c r="C6" i="15"/>
  <c r="C27" i="67"/>
  <c r="Q71" i="67"/>
  <c r="B12" i="70"/>
  <c r="B13" i="70"/>
  <c r="B9" i="70"/>
  <c r="E20" i="43"/>
  <c r="C29" i="77"/>
  <c r="D27" i="77"/>
  <c r="C47" i="77"/>
  <c r="D45" i="77"/>
  <c r="C10" i="77"/>
  <c r="H9" i="77"/>
  <c r="C8" i="77"/>
  <c r="F71" i="67"/>
  <c r="F50" i="67"/>
  <c r="M7" i="67"/>
  <c r="J6" i="67"/>
  <c r="F66" i="15"/>
  <c r="F51" i="67"/>
  <c r="C6" i="67"/>
  <c r="M7" i="15"/>
  <c r="J6" i="15"/>
  <c r="F50" i="15"/>
  <c r="B10" i="70"/>
  <c r="B11" i="70"/>
  <c r="I1" i="73"/>
  <c r="B39" i="1"/>
  <c r="C9" i="68"/>
  <c r="D19" i="68"/>
  <c r="D37" i="68"/>
  <c r="C37" i="68"/>
  <c r="C9" i="77"/>
  <c r="D19" i="77"/>
  <c r="D37" i="77"/>
  <c r="C37" i="77"/>
  <c r="C35" i="77"/>
  <c r="C38" i="77"/>
  <c r="D19" i="78"/>
  <c r="D37" i="78"/>
  <c r="C37" i="78"/>
  <c r="C9" i="78"/>
  <c r="C35" i="78"/>
  <c r="C38" i="78"/>
  <c r="C29" i="78"/>
  <c r="D27" i="78"/>
  <c r="C47" i="78"/>
  <c r="D45" i="78"/>
  <c r="C10" i="78"/>
  <c r="H9" i="78"/>
  <c r="C8" i="78"/>
  <c r="C12" i="12"/>
  <c r="C17" i="15"/>
  <c r="G1" i="73"/>
  <c r="C17" i="67"/>
  <c r="C14" i="67"/>
  <c r="C16" i="67"/>
  <c r="C16" i="15"/>
  <c r="V47" i="39"/>
  <c r="I47" i="39"/>
  <c r="I51" i="39"/>
  <c r="J51" i="39"/>
  <c r="B40" i="1"/>
  <c r="F22" i="77"/>
  <c r="I53" i="21"/>
  <c r="J53" i="21"/>
  <c r="I52" i="21"/>
  <c r="J52" i="21"/>
  <c r="U15" i="39"/>
  <c r="AB15" i="39"/>
  <c r="U15" i="21"/>
  <c r="AB15" i="21"/>
  <c r="T48" i="21"/>
  <c r="C16" i="12"/>
  <c r="C21" i="12"/>
  <c r="C22" i="12"/>
  <c r="C30" i="12"/>
  <c r="C28" i="12"/>
  <c r="D37" i="69"/>
  <c r="C37" i="69"/>
  <c r="C33" i="69"/>
  <c r="C39" i="69"/>
  <c r="C20" i="69"/>
  <c r="C28" i="69"/>
  <c r="C27" i="69"/>
  <c r="I52" i="39"/>
  <c r="J52" i="39"/>
  <c r="K4" i="4"/>
  <c r="B46" i="48"/>
  <c r="B4" i="72"/>
  <c r="T46" i="39"/>
  <c r="T47" i="39"/>
  <c r="G53" i="39"/>
  <c r="H53" i="39"/>
  <c r="E53" i="39"/>
  <c r="F53" i="39"/>
  <c r="C33" i="68"/>
  <c r="C39" i="68"/>
  <c r="C46" i="68"/>
  <c r="C45" i="68"/>
  <c r="C33" i="78"/>
  <c r="C39" i="78"/>
  <c r="C33" i="77"/>
  <c r="C39" i="77"/>
  <c r="C15" i="67"/>
  <c r="C18" i="67"/>
  <c r="C19" i="15"/>
  <c r="M11" i="15"/>
  <c r="J10" i="15"/>
  <c r="J5" i="15"/>
  <c r="F11" i="67"/>
  <c r="M11" i="67"/>
  <c r="J10" i="67"/>
  <c r="J5" i="67"/>
  <c r="F11" i="15"/>
  <c r="C49" i="67"/>
  <c r="P17" i="43"/>
  <c r="N17" i="43"/>
  <c r="O17" i="43"/>
  <c r="M17" i="43"/>
  <c r="Q60" i="15"/>
  <c r="Q73" i="15"/>
  <c r="C49" i="15"/>
  <c r="Q73" i="67"/>
  <c r="Q60" i="67"/>
  <c r="F22" i="78"/>
  <c r="F22" i="68"/>
  <c r="Q74" i="15"/>
  <c r="Q61" i="15"/>
  <c r="Q61" i="67"/>
  <c r="Q74" i="67"/>
  <c r="B2" i="70"/>
  <c r="B3" i="70"/>
  <c r="F22" i="11"/>
  <c r="C24" i="11"/>
  <c r="F25" i="12"/>
  <c r="C26" i="12"/>
  <c r="D25" i="12"/>
  <c r="F22" i="69"/>
  <c r="C44" i="69"/>
  <c r="D41" i="69"/>
  <c r="F24" i="15"/>
  <c r="C24" i="15"/>
  <c r="F24" i="67"/>
  <c r="C24" i="67"/>
  <c r="R49" i="21"/>
  <c r="G48" i="21"/>
  <c r="C46" i="69"/>
  <c r="C45" i="69"/>
  <c r="G47" i="39"/>
  <c r="R48" i="39"/>
  <c r="C42" i="68"/>
  <c r="C19" i="67"/>
  <c r="C20" i="67"/>
  <c r="J24" i="15"/>
  <c r="J18" i="15"/>
  <c r="J26" i="15"/>
  <c r="J29" i="15"/>
  <c r="J24" i="67"/>
  <c r="J26" i="67"/>
  <c r="J29" i="67"/>
  <c r="J18" i="67"/>
  <c r="C26" i="69"/>
  <c r="D22" i="69"/>
  <c r="C24" i="77"/>
  <c r="C44" i="77"/>
  <c r="D41" i="77"/>
  <c r="C26" i="77"/>
  <c r="D22" i="77"/>
  <c r="C20" i="15"/>
  <c r="C43" i="78"/>
  <c r="C43" i="77"/>
  <c r="C42" i="77"/>
  <c r="C25" i="11"/>
  <c r="C24" i="68"/>
  <c r="C26" i="68"/>
  <c r="D22" i="68"/>
  <c r="C44" i="68"/>
  <c r="D41" i="68"/>
  <c r="C24" i="78"/>
  <c r="C26" i="78"/>
  <c r="D22" i="78"/>
  <c r="C44" i="78"/>
  <c r="D41" i="78"/>
  <c r="C53" i="15"/>
  <c r="C48" i="15"/>
  <c r="C10" i="15"/>
  <c r="C5" i="15"/>
  <c r="C53" i="67"/>
  <c r="C48" i="67"/>
  <c r="C10" i="67"/>
  <c r="C5" i="67"/>
  <c r="C27" i="12"/>
  <c r="C25" i="12"/>
  <c r="C32" i="12"/>
  <c r="B2" i="12"/>
  <c r="B3" i="12"/>
  <c r="C43" i="68"/>
  <c r="C42" i="78"/>
  <c r="C46" i="78"/>
  <c r="C45" i="78"/>
  <c r="C46" i="77"/>
  <c r="C45" i="77"/>
  <c r="C42" i="11"/>
  <c r="C41" i="78"/>
  <c r="C49" i="78"/>
  <c r="C51" i="78"/>
  <c r="C43" i="11"/>
  <c r="C26" i="11"/>
  <c r="D22" i="11"/>
  <c r="C23" i="69"/>
  <c r="C25" i="69"/>
  <c r="C23" i="11"/>
  <c r="C44" i="11"/>
  <c r="D41" i="11"/>
  <c r="C43" i="69"/>
  <c r="C24" i="69"/>
  <c r="C42" i="69"/>
  <c r="C23" i="67"/>
  <c r="G52" i="21"/>
  <c r="H52" i="21"/>
  <c r="E53" i="21"/>
  <c r="F53" i="21"/>
  <c r="G53" i="21"/>
  <c r="H53" i="21"/>
  <c r="C48" i="21"/>
  <c r="C49" i="21"/>
  <c r="C48" i="39"/>
  <c r="C47" i="39"/>
  <c r="C41" i="68"/>
  <c r="G52" i="39"/>
  <c r="H52" i="39"/>
  <c r="E52" i="39"/>
  <c r="F52" i="39"/>
  <c r="G51" i="39"/>
  <c r="H51" i="39"/>
  <c r="C49" i="68"/>
  <c r="C51" i="68"/>
  <c r="C22" i="11"/>
  <c r="C31" i="11"/>
  <c r="C41" i="77"/>
  <c r="C49" i="77"/>
  <c r="C51" i="77"/>
  <c r="C26" i="67"/>
  <c r="C66" i="67"/>
  <c r="C60" i="67"/>
  <c r="C32" i="67"/>
  <c r="C38" i="67"/>
  <c r="C32" i="15"/>
  <c r="C38" i="15"/>
  <c r="C60" i="15"/>
  <c r="C66" i="15"/>
  <c r="C26" i="15"/>
  <c r="C23" i="15"/>
  <c r="C29" i="67"/>
  <c r="C13" i="67"/>
  <c r="Q70" i="67"/>
  <c r="C41" i="69"/>
  <c r="C49" i="69"/>
  <c r="C51" i="69"/>
  <c r="C22" i="69"/>
  <c r="C31" i="69"/>
  <c r="C41" i="11"/>
  <c r="C49" i="11"/>
  <c r="C51" i="11"/>
  <c r="C52" i="11"/>
  <c r="B2" i="11"/>
  <c r="B3" i="11"/>
  <c r="B3" i="21"/>
  <c r="B2" i="21"/>
  <c r="B56" i="39"/>
  <c r="F56" i="39"/>
  <c r="B57" i="39"/>
  <c r="F57" i="39"/>
  <c r="B58" i="39"/>
  <c r="F58" i="39"/>
  <c r="B59" i="39"/>
  <c r="F59" i="39"/>
  <c r="B60" i="39"/>
  <c r="F60" i="39"/>
  <c r="B61" i="39"/>
  <c r="F61" i="39"/>
  <c r="B62" i="39"/>
  <c r="F62" i="39"/>
  <c r="C6" i="78"/>
  <c r="B63" i="39"/>
  <c r="F63" i="39"/>
  <c r="C6" i="77"/>
  <c r="B64" i="39"/>
  <c r="F64" i="39"/>
  <c r="B65" i="39"/>
  <c r="F65" i="39"/>
  <c r="C29" i="15"/>
  <c r="J19" i="15"/>
  <c r="J17" i="15"/>
  <c r="J59" i="67"/>
  <c r="J60" i="67"/>
  <c r="L46" i="67"/>
  <c r="D19" i="9"/>
  <c r="D20" i="9"/>
  <c r="J14" i="67"/>
  <c r="J22" i="67"/>
  <c r="C33" i="67"/>
  <c r="C31" i="67"/>
  <c r="C36" i="67"/>
  <c r="Q49" i="67"/>
  <c r="J19" i="67"/>
  <c r="J17" i="67"/>
  <c r="C57" i="67"/>
  <c r="C61" i="67"/>
  <c r="C59" i="67"/>
  <c r="C52" i="69"/>
  <c r="B2" i="69"/>
  <c r="B3" i="69"/>
  <c r="D103" i="9"/>
  <c r="D21" i="9"/>
  <c r="D102" i="9"/>
  <c r="J13" i="67"/>
  <c r="J23" i="67"/>
  <c r="J16" i="67"/>
  <c r="J25" i="67"/>
  <c r="J59" i="15"/>
  <c r="J60" i="15"/>
  <c r="L46" i="15"/>
  <c r="C7" i="77"/>
  <c r="C5" i="77"/>
  <c r="C75" i="67"/>
  <c r="C7" i="78"/>
  <c r="C5" i="78"/>
  <c r="C6" i="68"/>
  <c r="F66" i="39"/>
  <c r="B2" i="39"/>
  <c r="B3" i="39"/>
  <c r="Q48" i="67"/>
  <c r="C57" i="15"/>
  <c r="C61" i="15"/>
  <c r="C59" i="15"/>
  <c r="C13" i="15"/>
  <c r="C37" i="15"/>
  <c r="Q49" i="15"/>
  <c r="C36" i="15"/>
  <c r="C33" i="15"/>
  <c r="C31" i="15"/>
  <c r="J14" i="15"/>
  <c r="J13" i="15"/>
  <c r="J23" i="15"/>
  <c r="C56" i="67"/>
  <c r="C65" i="67"/>
  <c r="C64" i="67"/>
  <c r="C37" i="67"/>
  <c r="C56" i="11"/>
  <c r="C57" i="11"/>
  <c r="C30" i="67"/>
  <c r="C39" i="67"/>
  <c r="Q69" i="67"/>
  <c r="Q68" i="67"/>
  <c r="C57" i="69"/>
  <c r="C56" i="69"/>
  <c r="Q48" i="15"/>
  <c r="C20" i="77"/>
  <c r="C25" i="77"/>
  <c r="C23" i="77"/>
  <c r="C20" i="78"/>
  <c r="C23" i="78"/>
  <c r="Q70" i="15"/>
  <c r="C7" i="68"/>
  <c r="C5" i="68"/>
  <c r="C64" i="15"/>
  <c r="C75" i="15"/>
  <c r="J22" i="15"/>
  <c r="C30" i="15"/>
  <c r="C39" i="15"/>
  <c r="Q69" i="15"/>
  <c r="C56" i="15"/>
  <c r="C65" i="15"/>
  <c r="C58" i="15"/>
  <c r="C67" i="15"/>
  <c r="C68" i="15"/>
  <c r="C71" i="15"/>
  <c r="C58" i="67"/>
  <c r="C67" i="67"/>
  <c r="C68" i="67"/>
  <c r="C71" i="67"/>
  <c r="J16" i="15"/>
  <c r="J25" i="15"/>
  <c r="L51" i="67"/>
  <c r="C80" i="67"/>
  <c r="C79" i="67"/>
  <c r="C40" i="67"/>
  <c r="C43" i="67"/>
  <c r="L57" i="67"/>
  <c r="L60" i="67"/>
  <c r="Q57" i="67"/>
  <c r="Q67" i="67"/>
  <c r="C83" i="67"/>
  <c r="C82" i="67"/>
  <c r="D2" i="67"/>
  <c r="B3" i="67"/>
  <c r="Q68" i="15"/>
  <c r="C22" i="77"/>
  <c r="C20" i="68"/>
  <c r="C25" i="68"/>
  <c r="C23" i="68"/>
  <c r="C28" i="78"/>
  <c r="C27" i="78"/>
  <c r="C25" i="78"/>
  <c r="C22" i="78"/>
  <c r="C28" i="77"/>
  <c r="C27" i="77"/>
  <c r="C40" i="15"/>
  <c r="C46" i="15"/>
  <c r="C80" i="15"/>
  <c r="C79" i="15"/>
  <c r="B2" i="67"/>
  <c r="L51" i="15"/>
  <c r="C45" i="67"/>
  <c r="C46" i="67"/>
  <c r="Q56" i="67"/>
  <c r="Q65" i="67"/>
  <c r="Q47" i="67"/>
  <c r="Q53" i="67"/>
  <c r="Q66" i="67"/>
  <c r="Q62" i="67"/>
  <c r="L57" i="15"/>
  <c r="L60" i="15"/>
  <c r="Q57" i="15"/>
  <c r="Q67" i="15"/>
  <c r="Q75" i="67"/>
  <c r="C31" i="77"/>
  <c r="C52" i="77"/>
  <c r="C57" i="77"/>
  <c r="C56" i="77"/>
  <c r="C31" i="78"/>
  <c r="C52" i="78"/>
  <c r="B2" i="78"/>
  <c r="Q65" i="15"/>
  <c r="C22" i="68"/>
  <c r="B2" i="77"/>
  <c r="C83" i="15"/>
  <c r="C82" i="15"/>
  <c r="C28" i="68"/>
  <c r="C27" i="68"/>
  <c r="Q56" i="15"/>
  <c r="B2" i="15"/>
  <c r="B3" i="15"/>
  <c r="Q47" i="15"/>
  <c r="Q53" i="15"/>
  <c r="C43" i="15"/>
  <c r="Q66" i="15"/>
  <c r="B3" i="77"/>
  <c r="B3" i="78"/>
  <c r="C31" i="68"/>
  <c r="C52" i="68"/>
  <c r="B2" i="68"/>
  <c r="Q62" i="15"/>
  <c r="C57" i="78"/>
  <c r="C56" i="78"/>
  <c r="E56" i="78"/>
  <c r="E57" i="78"/>
  <c r="Q75" i="15"/>
  <c r="E56" i="77"/>
  <c r="E57" i="77"/>
  <c r="C19" i="9"/>
  <c r="B3" i="68"/>
  <c r="C57" i="68"/>
  <c r="C56" i="68"/>
  <c r="C21" i="9"/>
  <c r="C102" i="9"/>
  <c r="G19" i="9"/>
  <c r="D22" i="9"/>
  <c r="C20" i="9"/>
  <c r="C103" i="9"/>
  <c r="G20" i="9"/>
  <c r="C32" i="9"/>
  <c r="G21" i="9"/>
  <c r="C35" i="9"/>
  <c r="F118" i="9"/>
  <c r="H118" i="9"/>
  <c r="C34" i="9"/>
  <c r="D118" i="9"/>
  <c r="H101" i="9"/>
  <c r="D14" i="74"/>
  <c r="H119" i="9"/>
  <c r="H5" i="52"/>
  <c r="I118" i="9"/>
  <c r="H4" i="52"/>
  <c r="C104" i="9"/>
  <c r="F119" i="9"/>
  <c r="F5" i="52"/>
  <c r="B53" i="72"/>
  <c r="F4" i="52"/>
  <c r="B51" i="72"/>
  <c r="G118" i="9"/>
  <c r="G4" i="52"/>
  <c r="B52" i="72"/>
  <c r="H107" i="9"/>
  <c r="D5" i="53"/>
  <c r="D45" i="9"/>
  <c r="M48" i="9"/>
  <c r="E118" i="9"/>
  <c r="E4" i="52"/>
  <c r="B48" i="72"/>
  <c r="I4" i="52"/>
  <c r="H102" i="9"/>
  <c r="D7" i="53"/>
  <c r="B21" i="72"/>
  <c r="C105" i="9"/>
  <c r="B5" i="74"/>
  <c r="F14" i="74"/>
  <c r="E14" i="74"/>
  <c r="D4" i="52"/>
  <c r="B47" i="72"/>
  <c r="D119" i="9"/>
  <c r="D5" i="52"/>
  <c r="B49" i="72"/>
  <c r="C5" i="74"/>
  <c r="D5" i="74"/>
  <c r="C85" i="9"/>
  <c r="D52" i="9"/>
  <c r="C93" i="9"/>
  <c r="C86" i="9"/>
  <c r="C64" i="9"/>
  <c r="C63" i="9"/>
  <c r="C67" i="9"/>
  <c r="C68" i="9"/>
  <c r="D54" i="9"/>
  <c r="D55" i="9"/>
  <c r="M53" i="9"/>
  <c r="C78" i="9"/>
  <c r="C73" i="9"/>
  <c r="D53" i="9"/>
  <c r="C72" i="9"/>
  <c r="B20" i="72"/>
  <c r="D6" i="53"/>
  <c r="B22" i="72"/>
  <c r="D13" i="53"/>
  <c r="D122" i="9"/>
  <c r="H108" i="9"/>
  <c r="D15" i="53"/>
  <c r="B31" i="72"/>
  <c r="C79" i="9"/>
  <c r="C80" i="9"/>
  <c r="E80" i="9"/>
  <c r="E81" i="9"/>
  <c r="D14" i="53"/>
  <c r="B32" i="72"/>
  <c r="B30" i="72"/>
  <c r="C95" i="9"/>
  <c r="G14" i="74"/>
  <c r="B6" i="74"/>
  <c r="D123" i="9"/>
  <c r="D9" i="52"/>
  <c r="D8" i="52"/>
  <c r="C96" i="9"/>
  <c r="E96" i="9"/>
  <c r="E97" i="9"/>
  <c r="C81" i="9"/>
  <c r="D6" i="74"/>
  <c r="C6" i="74"/>
  <c r="C97" i="9"/>
  <c r="D58" i="9"/>
  <c r="D56" i="9"/>
  <c r="M54" i="9"/>
  <c r="N57" i="9"/>
  <c r="N59" i="9"/>
  <c r="P57"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<sst xmlns="http://schemas.openxmlformats.org/spreadsheetml/2006/main" count="8899" uniqueCount="3349">
  <si>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</si>
  <si>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</si>
  <si>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</si>
  <si>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</si>
  <si>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</si>
  <si>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</si>
  <si>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</si>
  <si>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</si>
  <si>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</si>
  <si>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</si>
  <si>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</si>
  <si>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</si>
  <si>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</si>
  <si>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</si>
  <si>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</si>
  <si>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</si>
  <si>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</si>
  <si>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</si>
  <si>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</si>
  <si>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</si>
  <si>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</si>
  <si>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</si>
  <si>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</si>
  <si>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</si>
  <si>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</si>
  <si>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</si>
  <si>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</si>
  <si>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</si>
  <si>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</si>
  <si>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</si>
  <si>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</si>
  <si>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</si>
  <si>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</si>
  <si>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</si>
  <si>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</si>
  <si>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</si>
  <si>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</si>
  <si>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</si>
  <si>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</si>
  <si>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</si>
  <si>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</si>
  <si>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</si>
  <si>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</si>
  <si>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</si>
  <si>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</si>
  <si>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</si>
  <si>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</si>
  <si>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</si>
  <si>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</si>
  <si>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</si>
  <si>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</si>
  <si>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</si>
  <si>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</si>
  <si>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</si>
  <si>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</si>
  <si>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</si>
  <si>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</si>
  <si>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</si>
  <si>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</si>
  <si>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</si>
  <si>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</si>
  <si>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</si>
  <si>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</si>
  <si>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</si>
  <si>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</si>
  <si>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</si>
  <si>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</si>
  <si>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</si>
  <si>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</si>
  <si>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</si>
  <si>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</si>
  <si>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</si>
  <si>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</si>
  <si>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</si>
  <si>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</si>
  <si>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</si>
  <si>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</si>
  <si>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</si>
  <si>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</si>
  <si>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</si>
  <si>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</si>
  <si>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</si>
  <si>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</si>
  <si>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</si>
  <si>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</si>
  <si>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</si>
  <si>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</si>
  <si>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</si>
  <si>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</si>
  <si>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</si>
  <si>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</si>
  <si>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</si>
  <si>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</si>
  <si>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</si>
  <si>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</si>
  <si>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</si>
  <si>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</si>
  <si>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</si>
  <si>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</si>
  <si>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</si>
  <si>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</si>
  <si>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</si>
  <si>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</si>
  <si>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</si>
  <si>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</si>
  <si>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</si>
  <si>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</si>
  <si>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</si>
  <si>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</si>
  <si>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</si>
  <si>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</si>
  <si>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</si>
  <si>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</si>
  <si>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</si>
  <si>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</si>
  <si>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</si>
  <si>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</si>
  <si>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</si>
  <si>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</si>
  <si>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</si>
  <si>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</si>
  <si>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</si>
  <si>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</si>
  <si>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</si>
  <si>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</si>
  <si>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</si>
  <si>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</si>
  <si>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</si>
  <si>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</si>
  <si>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</si>
  <si>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</si>
  <si>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</si>
  <si>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</si>
  <si>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</si>
  <si>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</si>
  <si>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</si>
  <si>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</si>
  <si>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</si>
  <si>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</si>
  <si>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</si>
  <si>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</si>
  <si>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</si>
  <si>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</si>
  <si>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</si>
  <si>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</si>
  <si>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</si>
  <si>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</si>
  <si>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</si>
  <si>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</si>
  <si>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</si>
  <si>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</si>
  <si>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</si>
  <si>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</si>
  <si>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</si>
  <si>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</si>
  <si>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</si>
  <si>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</si>
  <si>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</si>
  <si>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</si>
  <si>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</si>
  <si>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</si>
  <si>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</si>
  <si>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</si>
  <si>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</si>
  <si>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</si>
  <si>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</si>
  <si>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</si>
  <si>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</si>
  <si>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</si>
  <si>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</si>
  <si>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</si>
  <si>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</si>
  <si>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</si>
  <si>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</si>
  <si>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</si>
  <si>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</si>
  <si>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</si>
  <si>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</si>
  <si>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</si>
  <si>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</si>
  <si>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</si>
  <si>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</si>
  <si>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</si>
  <si>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</si>
  <si>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</si>
  <si>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</si>
  <si>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</si>
  <si>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</si>
  <si>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</si>
  <si>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</si>
  <si>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</si>
  <si>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</si>
  <si>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</si>
  <si>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</si>
  <si>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</si>
  <si>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</si>
  <si>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</si>
  <si>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</si>
  <si>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</si>
  <si>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</si>
  <si>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</si>
  <si>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</si>
  <si>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</si>
  <si>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</si>
  <si>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</si>
  <si>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</si>
  <si>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</si>
  <si>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</si>
  <si>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</si>
  <si>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</si>
  <si>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</si>
  <si>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</si>
  <si>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</si>
  <si>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</si>
  <si>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</si>
  <si>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</si>
  <si>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</si>
  <si>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</si>
  <si>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</si>
  <si>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</si>
  <si>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</si>
  <si>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</si>
  <si>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</si>
  <si>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</si>
  <si>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</si>
  <si>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</si>
  <si>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</si>
  <si>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</si>
  <si>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</si>
  <si>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</si>
  <si>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</si>
  <si>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</si>
  <si>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</si>
  <si>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</si>
  <si>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</si>
  <si>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</si>
  <si>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</si>
  <si>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</si>
  <si>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</si>
  <si>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</si>
  <si>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</si>
  <si>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</si>
  <si>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</si>
  <si>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</si>
  <si>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</si>
  <si>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</si>
  <si>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</si>
  <si>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</si>
  <si>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</si>
  <si>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</si>
  <si>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</si>
  <si>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</si>
  <si>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</si>
  <si>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</si>
  <si>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</si>
  <si>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</si>
  <si>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</si>
  <si>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</si>
  <si>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</si>
  <si>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</si>
  <si>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</si>
  <si>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</si>
  <si>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</si>
  <si>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</si>
  <si>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</si>
  <si>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</si>
  <si>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</si>
  <si>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</si>
  <si>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</si>
  <si>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</si>
  <si>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</si>
  <si>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</si>
  <si>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</si>
  <si>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</si>
  <si>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</si>
  <si>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</si>
  <si>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</si>
  <si>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</si>
  <si>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</si>
  <si>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</si>
  <si>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</si>
  <si>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</si>
  <si>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</si>
  <si>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</si>
  <si>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</si>
  <si>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</si>
  <si>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</si>
  <si>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</si>
  <si>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</si>
  <si>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</si>
  <si>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</si>
  <si>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</si>
  <si>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</si>
  <si>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</si>
  <si>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</si>
  <si>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</si>
  <si>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</si>
  <si>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</si>
  <si>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</si>
  <si>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</si>
  <si>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</si>
  <si>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</si>
  <si>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</si>
  <si>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</si>
  <si>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</si>
  <si>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</si>
  <si>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</si>
  <si>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</si>
  <si>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</si>
  <si>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</si>
  <si>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</si>
  <si>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</si>
  <si>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</si>
  <si>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</si>
  <si>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</si>
  <si>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</si>
  <si>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</si>
  <si>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</si>
  <si>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</si>
  <si>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</si>
  <si>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</si>
  <si>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</si>
  <si>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</si>
  <si>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</si>
  <si>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</si>
  <si>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</si>
  <si>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</si>
  <si>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</si>
  <si>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</si>
  <si>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</si>
  <si>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</si>
  <si>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</si>
  <si>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</si>
  <si>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</si>
  <si>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</si>
  <si>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</si>
  <si>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</si>
  <si>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</si>
  <si>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</si>
  <si>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</si>
  <si>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</si>
  <si>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</si>
  <si>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</si>
  <si>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</si>
  <si>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</si>
  <si>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</si>
  <si>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</si>
  <si>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</si>
  <si>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</si>
  <si>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</si>
  <si>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</si>
  <si>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</si>
  <si>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</si>
  <si>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</si>
  <si>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</si>
  <si>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</si>
  <si>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</si>
  <si>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</si>
  <si>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</si>
  <si>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</si>
  <si>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</si>
  <si>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</si>
  <si>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</si>
  <si>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</si>
  <si>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</si>
  <si>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</si>
  <si>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</si>
  <si>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</si>
  <si>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</si>
  <si>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</si>
  <si>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</si>
  <si>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</si>
  <si>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</si>
  <si>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</si>
  <si>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</si>
  <si>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</si>
  <si>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</si>
  <si>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</si>
  <si>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</si>
  <si>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</si>
  <si>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</si>
  <si>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</si>
  <si>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</si>
  <si>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</si>
  <si>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</si>
  <si>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</si>
  <si>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</si>
  <si>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</si>
  <si>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</si>
  <si>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</si>
  <si>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</si>
  <si>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</si>
  <si>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</si>
  <si>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</si>
  <si>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</si>
  <si>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</si>
  <si>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</si>
  <si>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</si>
  <si>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</si>
  <si>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</si>
  <si>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</si>
  <si>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</si>
  <si>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</si>
  <si>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</si>
  <si>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</si>
  <si>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</si>
  <si>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</si>
  <si>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</si>
  <si>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</si>
  <si>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</si>
  <si>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</si>
  <si>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</si>
  <si>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</si>
  <si>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</si>
  <si>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</si>
  <si>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</si>
  <si>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</si>
  <si>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</si>
  <si>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</si>
  <si>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</si>
  <si>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</si>
  <si>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</si>
  <si>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</si>
  <si>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</si>
  <si>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</si>
  <si>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</si>
  <si>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</si>
  <si>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</si>
  <si>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</si>
  <si>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</si>
  <si>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</si>
  <si>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</si>
  <si>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</si>
  <si>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</si>
  <si>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</si>
  <si>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</si>
  <si>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</si>
  <si>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</si>
  <si>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</si>
  <si>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</si>
  <si>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</si>
  <si>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</si>
  <si>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</si>
  <si>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</si>
  <si>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</si>
  <si>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</si>
  <si>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</si>
  <si>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</si>
  <si>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</si>
  <si>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</si>
  <si>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</si>
  <si>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</si>
  <si>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</si>
  <si>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</si>
  <si>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</si>
  <si>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</si>
  <si>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</si>
  <si>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</si>
  <si>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</si>
  <si>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</si>
  <si>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</si>
  <si>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</si>
  <si>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</si>
  <si>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</si>
  <si>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</si>
  <si>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</si>
  <si>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</si>
  <si>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</si>
  <si>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</si>
  <si>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</si>
  <si>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</si>
  <si>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</si>
  <si>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</si>
  <si>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</si>
  <si>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</si>
  <si>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</si>
  <si>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</si>
  <si>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</si>
  <si>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</si>
  <si>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</si>
  <si>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</si>
  <si>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</si>
  <si>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</si>
  <si>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</si>
  <si>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</si>
  <si>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</si>
  <si>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</si>
  <si>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</si>
  <si>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</si>
  <si>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</si>
  <si>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</si>
  <si>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</si>
  <si>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</si>
  <si>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</si>
  <si>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</si>
  <si>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</si>
  <si>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</si>
  <si>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</si>
  <si>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</si>
  <si>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</si>
  <si>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</si>
  <si>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</si>
  <si>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</si>
  <si>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</si>
  <si>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</si>
  <si>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</si>
  <si>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</si>
  <si>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</si>
  <si>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</si>
  <si>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</si>
  <si>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</si>
  <si>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</si>
  <si>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</si>
  <si>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</si>
  <si>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</si>
  <si>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</si>
  <si>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</si>
  <si>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</si>
  <si>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</si>
  <si>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</si>
  <si>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</si>
  <si>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</si>
  <si>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</si>
  <si>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</si>
  <si>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</si>
  <si>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</si>
  <si>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</si>
  <si>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</si>
  <si>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</si>
  <si>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</si>
  <si>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</si>
  <si>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</si>
  <si>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</si>
  <si>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</si>
  <si>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</si>
  <si>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</si>
  <si>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</si>
  <si>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</si>
  <si>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</si>
  <si>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</si>
  <si>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</si>
  <si>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</si>
  <si>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</si>
  <si>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</si>
  <si>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</si>
  <si>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</si>
  <si>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</si>
  <si>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</si>
  <si>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</si>
  <si>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</si>
  <si>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</si>
  <si>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</si>
  <si>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</si>
  <si>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</si>
  <si>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</si>
  <si>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</si>
  <si>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</si>
  <si>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</si>
  <si>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</si>
  <si>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</si>
  <si>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</si>
  <si>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</si>
  <si>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</si>
  <si>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</si>
  <si>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</si>
  <si>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</si>
  <si>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</si>
  <si>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</si>
  <si>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</si>
  <si>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</si>
  <si>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</si>
  <si>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</si>
  <si>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</si>
  <si>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</si>
  <si>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</si>
  <si>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</si>
  <si>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</si>
  <si>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</si>
  <si>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</si>
  <si>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</si>
  <si>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</si>
  <si>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</si>
  <si>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</si>
  <si>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</si>
  <si>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</si>
  <si>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</si>
  <si>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</si>
  <si>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</si>
  <si>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</si>
  <si>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</si>
  <si>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</si>
  <si>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</si>
  <si>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</si>
  <si>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</si>
  <si>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</si>
  <si>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</si>
  <si>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</si>
  <si>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</si>
  <si>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</si>
  <si>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</si>
  <si>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</si>
  <si>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</si>
  <si>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</si>
  <si>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</si>
  <si>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</si>
  <si>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</si>
  <si>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</si>
  <si>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</si>
  <si>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</si>
  <si>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</si>
  <si>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</si>
  <si>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</si>
  <si>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</si>
  <si>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</si>
  <si>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</si>
  <si>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</si>
  <si>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</si>
  <si>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</si>
  <si>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</si>
  <si>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</si>
  <si>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</si>
  <si>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</si>
  <si>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</si>
  <si>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</si>
  <si>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</si>
  <si>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</si>
  <si>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</si>
  <si>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</si>
  <si>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</si>
  <si>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</si>
  <si>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</si>
  <si>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</si>
  <si>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</si>
  <si>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</si>
  <si>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</si>
  <si>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</si>
  <si>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</si>
  <si>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</si>
  <si>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</si>
  <si>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</si>
  <si>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</si>
  <si>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</si>
  <si>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</si>
  <si>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</si>
  <si>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</si>
  <si>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</si>
  <si>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</si>
  <si>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</si>
  <si>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</si>
  <si>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</si>
  <si>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</si>
  <si>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</si>
  <si>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</si>
  <si>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</si>
  <si>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</si>
  <si>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</si>
  <si>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</si>
  <si>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</si>
  <si>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</si>
  <si>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</si>
  <si>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</si>
  <si>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</si>
  <si>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</si>
  <si>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</si>
  <si>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</si>
  <si>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</si>
  <si>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</si>
  <si>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</si>
  <si>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</si>
  <si>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</si>
  <si>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</si>
  <si>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</si>
  <si>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</si>
  <si>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</si>
  <si>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</si>
  <si>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</si>
  <si>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</si>
  <si>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</si>
  <si>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</si>
  <si>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</si>
  <si>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</si>
  <si>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</si>
  <si>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</si>
  <si>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</si>
  <si>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</si>
  <si>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</si>
  <si>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</si>
  <si>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</si>
  <si>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</si>
  <si>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</si>
  <si>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</si>
  <si>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</si>
  <si>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</si>
  <si>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</si>
  <si>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</si>
  <si>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</si>
  <si>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</si>
  <si>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</si>
  <si>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</si>
  <si>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</si>
  <si>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</si>
  <si>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</si>
  <si>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</si>
  <si>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</si>
  <si>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</si>
  <si>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</si>
  <si>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</si>
  <si>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</si>
  <si>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</si>
  <si>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</si>
  <si>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</si>
  <si>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</si>
  <si>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</si>
  <si>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</si>
  <si>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</si>
  <si>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</si>
  <si>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</si>
  <si>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</si>
  <si>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</si>
  <si>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</si>
  <si>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</si>
  <si>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</si>
  <si>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</si>
  <si>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</si>
  <si>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</si>
  <si>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</si>
  <si>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</si>
  <si>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</si>
  <si>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</si>
  <si>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</si>
  <si>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</si>
  <si>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</si>
  <si>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</si>
  <si>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</si>
  <si>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</si>
  <si>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</si>
  <si>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</si>
  <si>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</si>
  <si>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</si>
  <si>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</si>
  <si>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</si>
  <si>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</si>
  <si>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</si>
  <si>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</si>
  <si>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</si>
  <si>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</si>
  <si>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</si>
  <si>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</si>
  <si>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</si>
  <si>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</si>
  <si>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</si>
  <si>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</si>
  <si>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</si>
  <si>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</si>
  <si>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</si>
  <si>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</si>
  <si>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</si>
  <si>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</si>
  <si>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</si>
  <si>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</si>
  <si>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</si>
  <si>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</si>
  <si>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</si>
  <si>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</si>
  <si>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</si>
  <si>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</si>
  <si>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</si>
  <si>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</si>
  <si>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</si>
  <si>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</si>
  <si>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</si>
  <si>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</si>
  <si>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</si>
  <si>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</si>
  <si>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</si>
  <si>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</si>
  <si>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</si>
  <si>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</si>
  <si>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</si>
  <si>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</si>
  <si>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</si>
  <si>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</si>
  <si>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</si>
  <si>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</si>
  <si>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</si>
  <si>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</si>
  <si>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</si>
  <si>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</si>
  <si>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</si>
  <si>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</si>
  <si>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</si>
  <si>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</si>
  <si>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</si>
  <si>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</si>
  <si>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</si>
  <si>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</si>
  <si>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</si>
  <si>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</si>
  <si>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</si>
  <si>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</si>
  <si>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</si>
  <si>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</si>
  <si>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</si>
  <si>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</si>
  <si>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</si>
  <si>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</si>
  <si>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</si>
  <si>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</si>
  <si>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</si>
  <si>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</si>
  <si>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</si>
  <si>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</si>
  <si>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</si>
  <si>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</si>
  <si>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</si>
  <si>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</si>
  <si>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</si>
  <si>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</si>
  <si>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</si>
  <si>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</si>
  <si>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</si>
  <si>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</si>
  <si>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</si>
  <si>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</si>
  <si>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</si>
  <si>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</si>
  <si>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</si>
  <si>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</si>
  <si>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</si>
  <si>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</si>
  <si>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</si>
  <si>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</si>
  <si>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</si>
  <si>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</si>
  <si>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</si>
  <si>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</si>
  <si>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</si>
  <si>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</si>
  <si>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</si>
  <si>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</si>
  <si>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</si>
  <si>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</si>
  <si>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</si>
  <si>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</si>
  <si>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</si>
  <si>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</si>
  <si>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</si>
  <si>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</si>
  <si>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</si>
  <si>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</si>
  <si>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</si>
  <si>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</si>
  <si>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</si>
  <si>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</si>
  <si>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</si>
  <si>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</si>
  <si>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</si>
  <si>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</si>
  <si>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</si>
  <si>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</si>
  <si>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</si>
  <si>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</si>
  <si>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</si>
  <si>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</si>
  <si>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</si>
  <si>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</si>
  <si>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</si>
  <si>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</si>
  <si>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</si>
  <si>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</si>
  <si>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</si>
  <si>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</si>
  <si>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</si>
  <si>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</si>
  <si>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</si>
  <si>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</si>
  <si>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</si>
  <si>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</si>
  <si>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</si>
  <si>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</si>
  <si>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</si>
  <si>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</si>
  <si>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</si>
  <si>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</si>
  <si>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</si>
  <si>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</si>
  <si>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</si>
  <si>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</si>
  <si>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</si>
  <si>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</si>
  <si>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</si>
  <si>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</si>
  <si>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</si>
  <si>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</si>
  <si>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</si>
  <si>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</si>
  <si>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</si>
  <si>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</si>
  <si>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</si>
  <si>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</si>
  <si>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</si>
  <si>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</si>
  <si>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</si>
  <si>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</si>
  <si>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</si>
  <si>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</si>
  <si>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</si>
  <si>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</si>
  <si>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</si>
  <si>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</si>
  <si>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</si>
  <si>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</si>
  <si>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</si>
  <si>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</si>
  <si>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</si>
  <si>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</si>
  <si>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</si>
  <si>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</si>
  <si>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</si>
  <si>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</si>
  <si>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</si>
  <si>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</si>
  <si>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</si>
  <si>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</si>
  <si>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</si>
  <si>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</si>
  <si>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</si>
  <si>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</si>
  <si>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</si>
  <si>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</si>
  <si>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</si>
  <si>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</si>
  <si>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</si>
  <si>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</si>
  <si>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</si>
  <si>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</si>
  <si>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</si>
  <si>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</si>
  <si>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</si>
  <si>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</si>
  <si>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</si>
  <si>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</si>
  <si>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</si>
  <si>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</si>
  <si>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</si>
  <si>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</si>
  <si>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</si>
  <si>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</si>
  <si>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</si>
  <si>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</si>
  <si>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</si>
  <si>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</si>
  <si>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</si>
  <si>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</si>
  <si>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</si>
  <si>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</si>
  <si>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</si>
  <si>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</si>
  <si>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</si>
  <si>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</si>
  <si>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</si>
  <si>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</si>
  <si>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</si>
  <si>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</si>
  <si>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</si>
  <si>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</si>
  <si>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</si>
  <si>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</si>
  <si>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</si>
  <si>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</si>
  <si>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</si>
  <si>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</si>
  <si>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</si>
  <si>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</si>
  <si>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</si>
  <si>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</si>
  <si>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</si>
  <si>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</si>
  <si>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</si>
  <si>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</si>
  <si>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</si>
  <si>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</si>
  <si>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</si>
  <si>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</si>
  <si>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</si>
  <si>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</si>
  <si>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</si>
  <si>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</si>
  <si>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</si>
  <si>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</si>
  <si>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</si>
  <si>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</si>
  <si>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</si>
  <si>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</si>
  <si>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</si>
  <si>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</si>
  <si>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</si>
  <si>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</si>
  <si>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</si>
  <si>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</si>
  <si>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</si>
  <si>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</si>
  <si>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</si>
  <si>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</si>
  <si>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</si>
  <si>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</si>
  <si>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</si>
  <si>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</si>
  <si>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</si>
  <si>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</si>
  <si>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</si>
  <si>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</si>
  <si>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</si>
  <si>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</si>
  <si>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</si>
  <si>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</si>
  <si>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</si>
  <si>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</si>
  <si>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</si>
  <si>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</si>
  <si>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</si>
  <si>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</si>
  <si>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</si>
  <si>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</si>
  <si>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</si>
  <si>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</si>
  <si>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</si>
  <si>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</si>
  <si>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</si>
  <si>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</si>
  <si>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</si>
  <si>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</si>
  <si>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</si>
  <si>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</si>
  <si>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</si>
  <si>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</si>
  <si>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</si>
  <si>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</si>
  <si>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</si>
  <si>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</si>
  <si>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</si>
  <si>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</si>
  <si>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</si>
  <si>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</si>
  <si>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</si>
  <si>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</si>
  <si>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</si>
  <si>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</si>
  <si>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</si>
  <si>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</si>
  <si>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</si>
  <si>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</si>
  <si>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</si>
  <si>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</si>
  <si>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</si>
  <si>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</si>
  <si>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</si>
  <si>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</si>
  <si>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</si>
  <si>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</si>
  <si>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</si>
  <si>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</si>
  <si>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</si>
  <si>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</si>
  <si>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</si>
  <si>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</si>
  <si>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</si>
  <si>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</si>
  <si>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</si>
  <si>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</si>
  <si>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</si>
  <si>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</si>
  <si>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</si>
  <si>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</si>
  <si>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</si>
  <si>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</si>
  <si>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</si>
  <si>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</si>
  <si>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</si>
  <si>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</si>
  <si>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</si>
  <si>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</si>
  <si>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</si>
  <si>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</si>
  <si>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</si>
  <si>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</si>
  <si>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</si>
  <si>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</si>
  <si>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</si>
  <si>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</si>
  <si>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</si>
  <si>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</si>
  <si>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</si>
  <si>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</si>
  <si>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</si>
  <si>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</si>
  <si>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</si>
  <si>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</si>
  <si>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</si>
  <si>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</si>
  <si>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</si>
  <si>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</si>
  <si>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</si>
  <si>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</si>
  <si>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</si>
  <si>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</si>
  <si>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</si>
  <si>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</si>
  <si>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</si>
  <si>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</si>
  <si>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</si>
  <si>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</si>
  <si>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</si>
  <si>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</si>
  <si>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</si>
  <si>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</si>
  <si>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</si>
  <si>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</si>
  <si>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</si>
  <si>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</si>
  <si>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</si>
  <si>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</si>
  <si>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</si>
  <si>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</si>
  <si>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</si>
  <si>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</si>
  <si>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</si>
  <si>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</si>
  <si>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</si>
  <si>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</si>
  <si>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</si>
  <si>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</si>
  <si>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</si>
  <si>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</si>
  <si>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</si>
  <si>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</si>
  <si>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</si>
  <si>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</si>
  <si>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</si>
  <si>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</si>
  <si>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</si>
  <si>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</si>
  <si>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</si>
  <si>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</si>
  <si>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</si>
  <si>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</si>
  <si>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</si>
  <si>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</si>
  <si>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</si>
  <si>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</si>
  <si>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</si>
  <si>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</si>
  <si>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</si>
  <si>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</si>
  <si>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</si>
  <si>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</si>
  <si>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</si>
  <si>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</si>
  <si>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</si>
  <si>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</si>
  <si>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</si>
  <si>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</si>
  <si>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</si>
  <si>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</si>
  <si>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</si>
  <si>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</si>
  <si>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</si>
  <si>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</si>
  <si>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</si>
  <si>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</si>
  <si>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</si>
  <si>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</si>
  <si>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</si>
  <si>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</si>
  <si>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</si>
  <si>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</si>
  <si>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</si>
  <si>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</si>
  <si>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</si>
  <si>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</si>
  <si>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</si>
  <si>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</si>
  <si>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</si>
  <si>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</si>
  <si>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</si>
  <si>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</si>
  <si>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</si>
  <si>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</si>
  <si>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</si>
  <si>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</si>
  <si>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</si>
  <si>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</si>
  <si>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</si>
  <si>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</si>
  <si>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</si>
  <si>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</si>
  <si>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</si>
  <si>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</si>
  <si>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</si>
  <si>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</si>
  <si>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</si>
  <si>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</si>
  <si>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</si>
  <si>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</si>
  <si>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</si>
  <si>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</si>
  <si>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</si>
  <si>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</si>
  <si>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</si>
  <si>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</si>
  <si>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</si>
  <si>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</si>
  <si>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</si>
  <si>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</si>
  <si>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</si>
  <si>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</si>
  <si>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</si>
  <si>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</si>
  <si>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</si>
  <si>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</si>
  <si>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</si>
  <si>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</si>
  <si>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</si>
  <si>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</si>
  <si>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</si>
  <si>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</si>
  <si>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</si>
  <si>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</si>
  <si>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</si>
  <si>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</si>
  <si>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</si>
  <si>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</si>
  <si>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</si>
  <si>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</si>
  <si>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</si>
  <si>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</si>
  <si>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</si>
  <si>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</si>
  <si>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</si>
  <si>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</si>
  <si>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</si>
  <si>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</si>
  <si>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</si>
  <si>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</si>
  <si>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</si>
  <si>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</si>
  <si>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</si>
  <si>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</si>
  <si>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</si>
  <si>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</si>
  <si>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</si>
  <si>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</si>
  <si>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</si>
  <si>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</si>
  <si>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</si>
  <si>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</si>
  <si>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</si>
  <si>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</si>
  <si>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</si>
  <si>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</si>
  <si>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</si>
  <si>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</si>
  <si>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</si>
  <si>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</si>
  <si>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</si>
  <si>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</si>
  <si>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</si>
  <si>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</si>
  <si>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</si>
  <si>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</si>
  <si>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</si>
  <si>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</si>
  <si>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</si>
  <si>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</si>
  <si>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</si>
  <si>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</si>
  <si>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</si>
  <si>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</si>
  <si>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</si>
  <si>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</si>
  <si>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</si>
  <si>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</si>
  <si>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</si>
  <si>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</si>
  <si>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</si>
  <si>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</si>
  <si>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</si>
  <si>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</si>
  <si>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</si>
  <si>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</si>
  <si>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</si>
  <si>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</si>
  <si>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</si>
  <si>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</si>
  <si>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</si>
  <si>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</si>
  <si>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</si>
  <si>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</si>
  <si>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</si>
  <si>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</si>
  <si>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</si>
  <si>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</si>
  <si>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</si>
  <si>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</si>
  <si>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</si>
  <si>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</si>
  <si>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</si>
  <si>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</si>
  <si>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</si>
  <si>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</si>
  <si>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</si>
  <si>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</si>
  <si>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</si>
  <si>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</si>
  <si>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</si>
  <si>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</si>
  <si>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</si>
  <si>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</si>
  <si>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</si>
  <si>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</si>
  <si>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</si>
  <si>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</si>
  <si>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</si>
  <si>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</si>
  <si>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</si>
  <si>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</si>
  <si>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</si>
  <si>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</si>
  <si>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</si>
  <si>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</si>
  <si>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</si>
  <si>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</si>
  <si>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</si>
  <si>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</si>
  <si>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</si>
  <si>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</si>
  <si>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</si>
  <si>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</si>
  <si>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</si>
  <si>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</si>
  <si>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</si>
  <si>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</si>
  <si>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</si>
  <si>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</si>
  <si>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</si>
  <si>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</si>
  <si>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</si>
  <si>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</si>
  <si>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</si>
  <si>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</si>
  <si>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</si>
  <si>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</si>
  <si>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</si>
  <si>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</si>
  <si>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</si>
  <si>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</si>
  <si>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</si>
  <si>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</si>
  <si>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</si>
  <si>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</si>
  <si>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</si>
  <si>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</si>
  <si>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</si>
  <si>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</si>
  <si>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</si>
  <si>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</si>
  <si>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</si>
  <si>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</si>
  <si>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</si>
  <si>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</si>
  <si>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</si>
  <si>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</si>
  <si>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</si>
  <si>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</si>
  <si>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</si>
  <si>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</si>
  <si>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</si>
  <si>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</si>
  <si>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</si>
  <si>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</si>
  <si>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</si>
  <si>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</si>
  <si>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</si>
  <si>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</si>
  <si>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</si>
  <si>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</si>
  <si>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</si>
  <si>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</si>
  <si>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</si>
  <si>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</si>
  <si>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</si>
  <si>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</si>
  <si>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</si>
  <si>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</si>
  <si>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</si>
  <si>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</si>
  <si>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</si>
  <si>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</si>
  <si>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</si>
  <si>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</si>
  <si>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</si>
  <si>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</si>
  <si>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</si>
  <si>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</si>
  <si>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</si>
  <si>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</si>
  <si>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</si>
  <si>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</si>
  <si>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</si>
  <si>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</si>
  <si>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</si>
  <si>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</si>
  <si>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</si>
  <si>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</si>
  <si>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</si>
  <si>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</si>
  <si>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</si>
  <si>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</si>
  <si>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</si>
  <si>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</si>
  <si>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</si>
  <si>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</si>
  <si>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</si>
  <si>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</si>
  <si>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</si>
  <si>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</si>
  <si>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</si>
  <si>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</si>
  <si>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</si>
  <si>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</si>
  <si>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</si>
  <si>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</si>
  <si>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</si>
  <si>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</si>
  <si>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</si>
  <si>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</si>
  <si>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</si>
  <si>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</si>
  <si>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</si>
  <si>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</si>
  <si>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</si>
  <si>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</si>
  <si>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</si>
  <si>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</si>
  <si>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</si>
  <si>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</si>
  <si>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</si>
  <si>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</si>
  <si>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</si>
  <si>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</si>
  <si>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</si>
  <si>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</si>
  <si>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</si>
  <si>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</si>
  <si>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</si>
  <si>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</si>
  <si>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</si>
  <si>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</si>
  <si>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</si>
  <si>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</si>
  <si>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</si>
  <si>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</si>
  <si>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</si>
  <si>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</si>
  <si>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</si>
  <si>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</si>
  <si>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</si>
  <si>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</si>
  <si>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</si>
  <si>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</si>
  <si>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</si>
  <si>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</si>
  <si>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</si>
  <si>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</si>
  <si>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</si>
  <si>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</si>
  <si>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</si>
  <si>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</si>
  <si>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</si>
  <si>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</si>
  <si>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</si>
  <si>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</si>
  <si>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</si>
  <si>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</si>
  <si>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</si>
  <si>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</si>
  <si>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</si>
  <si>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</si>
  <si>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</si>
  <si>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</si>
  <si>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</si>
  <si>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</si>
  <si>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</si>
  <si>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</si>
  <si>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</si>
  <si>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</si>
  <si>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</si>
  <si>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</si>
  <si>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</si>
  <si>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</si>
  <si>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</si>
  <si>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</si>
  <si>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</si>
  <si>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</si>
  <si>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</si>
  <si>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</si>
  <si>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</si>
  <si>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</si>
  <si>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</si>
  <si>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</si>
  <si>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</si>
  <si>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</si>
  <si>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</si>
  <si>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</si>
  <si>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</si>
  <si>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</si>
  <si>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</si>
  <si>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</si>
  <si>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</si>
  <si>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</si>
  <si>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</si>
  <si>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</si>
  <si>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</si>
  <si>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</si>
  <si>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</si>
  <si>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</si>
  <si>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</si>
  <si>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</si>
  <si>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</si>
  <si>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</si>
  <si>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</si>
  <si>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</si>
  <si>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</si>
  <si>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</si>
  <si>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</si>
  <si>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</si>
  <si>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</si>
  <si>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</si>
  <si>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</si>
  <si>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</si>
  <si>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</si>
  <si>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</si>
  <si>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</si>
  <si>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</si>
  <si>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</si>
  <si>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</si>
  <si>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</si>
  <si>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</si>
  <si>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</si>
  <si>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</si>
  <si>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</si>
  <si>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</si>
  <si>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</si>
  <si>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</si>
  <si>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</si>
  <si>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</si>
  <si>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</si>
  <si>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</si>
  <si>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</si>
  <si>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</si>
  <si>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</si>
  <si>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</si>
  <si>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</si>
  <si>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</si>
  <si>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</si>
  <si>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</si>
  <si>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</si>
  <si>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</si>
  <si>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</si>
  <si>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</si>
  <si>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</si>
  <si>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</si>
  <si>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</si>
  <si>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</si>
  <si>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</si>
  <si>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</si>
  <si>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</si>
  <si>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</si>
  <si>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</si>
  <si>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</si>
  <si>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</si>
  <si>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</si>
  <si>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</si>
  <si>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</si>
  <si>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</si>
  <si>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</si>
  <si>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</si>
  <si>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</si>
  <si>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</si>
  <si>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</si>
  <si>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</si>
  <si>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</si>
  <si>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</si>
  <si>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</si>
  <si>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</si>
  <si>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</si>
  <si>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</si>
  <si>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</si>
  <si>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</si>
  <si>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</si>
  <si>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</si>
  <si>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</si>
  <si>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</si>
  <si>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</si>
  <si>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</si>
  <si>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</si>
  <si>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</si>
  <si>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</si>
  <si>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</si>
  <si>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</si>
  <si>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</si>
  <si>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</si>
  <si>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</si>
  <si>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</si>
  <si>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</si>
  <si>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</si>
  <si>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</si>
  <si>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</si>
  <si>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</si>
  <si>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</si>
  <si>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</si>
  <si>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</si>
  <si>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</si>
  <si>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</si>
  <si>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</si>
  <si>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</si>
  <si>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</si>
  <si>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</si>
  <si>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</si>
  <si>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</si>
  <si>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</si>
  <si>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</si>
  <si>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</si>
  <si>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</si>
  <si>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</si>
  <si>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</si>
  <si>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</si>
  <si>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</si>
  <si>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</si>
  <si>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</si>
  <si>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</si>
  <si>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</si>
  <si>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</si>
  <si>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</si>
  <si>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</si>
  <si>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</si>
  <si>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</si>
  <si>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</si>
  <si>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</si>
  <si>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</si>
  <si>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</si>
  <si>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</si>
  <si>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</si>
  <si>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</si>
  <si>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</si>
  <si>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</si>
  <si>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</si>
  <si>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</si>
  <si>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</si>
  <si>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</si>
  <si>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</si>
  <si>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</si>
  <si>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</si>
  <si>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</si>
  <si>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</si>
  <si>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</si>
  <si>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</si>
  <si>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</si>
  <si>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</si>
  <si>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</si>
  <si>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</si>
  <si>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</si>
  <si>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</si>
  <si>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</si>
  <si>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</si>
  <si>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</si>
  <si>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</si>
  <si>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</si>
  <si>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</si>
  <si>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</si>
  <si>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</si>
  <si>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</si>
  <si>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</si>
  <si>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</si>
  <si>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</si>
  <si>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</si>
  <si>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</si>
  <si>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</si>
  <si>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</si>
  <si>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</si>
  <si>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</si>
  <si>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</si>
  <si>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</si>
  <si>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</si>
  <si>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</si>
  <si>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</si>
  <si>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</si>
  <si>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</si>
  <si>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</si>
  <si>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</si>
  <si>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</si>
  <si>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</si>
  <si>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</si>
  <si>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</si>
  <si>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</si>
  <si>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</si>
  <si>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</si>
  <si>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</si>
  <si>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</si>
  <si>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</si>
  <si>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</si>
  <si>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</si>
  <si>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</si>
  <si>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</si>
  <si>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</si>
  <si>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</si>
  <si>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</si>
  <si>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</si>
  <si>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</si>
  <si>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</si>
  <si>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</si>
  <si>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</si>
  <si>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</si>
  <si>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</si>
  <si>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</si>
  <si>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</si>
  <si>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</si>
  <si>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</si>
  <si>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</si>
  <si>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</si>
  <si>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</si>
  <si>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</si>
  <si>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</si>
  <si>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</si>
  <si>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</si>
  <si>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</si>
  <si>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</si>
  <si>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</si>
  <si>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</si>
  <si>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</si>
  <si>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</si>
  <si>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</si>
  <si>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</si>
  <si>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</si>
  <si>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</si>
  <si>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</si>
  <si>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</si>
  <si>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</si>
  <si>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</si>
  <si>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</si>
  <si>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</si>
  <si>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</si>
  <si>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</si>
  <si>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</si>
  <si>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</si>
  <si>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</si>
  <si>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</si>
  <si>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</si>
  <si>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</si>
  <si>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</si>
  <si>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</si>
  <si>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</si>
  <si>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</si>
  <si>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</si>
  <si>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</si>
  <si>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</si>
  <si>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</si>
  <si>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</si>
  <si>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</si>
  <si>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</si>
  <si>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</si>
  <si>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</si>
  <si>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</si>
  <si>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</si>
  <si>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</si>
  <si>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</si>
  <si>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</si>
  <si>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</si>
  <si>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</si>
  <si>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</si>
  <si>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</si>
  <si>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</si>
  <si>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</si>
  <si>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</si>
  <si>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</si>
  <si>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</si>
  <si>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</si>
  <si>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</si>
  <si>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</si>
  <si>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</si>
  <si>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</si>
  <si>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</si>
  <si>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</si>
  <si>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</si>
  <si>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</si>
  <si>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</si>
  <si>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</si>
  <si>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</si>
  <si>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</si>
  <si>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</si>
  <si>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</si>
  <si>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</si>
  <si>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</si>
  <si>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</si>
  <si>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</si>
  <si>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</si>
  <si>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</si>
  <si>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</si>
  <si>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</si>
  <si>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</si>
  <si>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</si>
  <si>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</si>
  <si>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</si>
  <si>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</si>
  <si>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</si>
  <si>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</si>
  <si>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</si>
  <si>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</si>
  <si>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</si>
  <si>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</si>
  <si>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</si>
  <si>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</si>
  <si>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</si>
  <si>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</si>
  <si>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</si>
  <si>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</si>
  <si>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</si>
  <si>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</si>
  <si>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</si>
  <si>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</si>
  <si>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</si>
  <si>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</si>
  <si>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</si>
  <si>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</si>
  <si>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</si>
  <si>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</si>
  <si>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</si>
  <si>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</si>
  <si>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</si>
  <si>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</si>
  <si>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</si>
  <si>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</si>
  <si>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</si>
  <si>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</si>
  <si>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</si>
  <si>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</si>
  <si>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</si>
  <si>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</si>
  <si>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</si>
  <si>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</si>
  <si>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</si>
  <si>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</si>
  <si>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</si>
  <si>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</si>
  <si>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</si>
  <si>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</si>
  <si>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</si>
  <si>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</si>
  <si>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</si>
  <si>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</si>
  <si>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</si>
  <si>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</si>
  <si>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</si>
  <si>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</si>
  <si>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</si>
  <si>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</si>
  <si>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</si>
  <si>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</si>
  <si>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</si>
  <si>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</si>
  <si>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</si>
  <si>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</si>
  <si>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</si>
  <si>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</si>
  <si>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</si>
  <si>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</si>
  <si>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</si>
  <si>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</si>
  <si>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</si>
  <si>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</si>
  <si>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</si>
  <si>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</si>
  <si>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</si>
  <si>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</si>
  <si>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</si>
  <si>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</si>
  <si>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</si>
  <si>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</si>
  <si>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</si>
  <si>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</si>
  <si>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</si>
  <si>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</si>
  <si>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</si>
  <si>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</si>
  <si>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</si>
  <si>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</si>
  <si>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</si>
  <si>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</si>
  <si>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</si>
  <si>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</si>
  <si>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</si>
  <si>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</si>
  <si>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</si>
  <si>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</si>
  <si>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</si>
  <si>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</si>
  <si>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</si>
  <si>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</si>
  <si>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</si>
  <si>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</si>
  <si>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</si>
  <si>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</si>
  <si>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</si>
  <si>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</si>
  <si>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</si>
  <si>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</si>
  <si>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</si>
  <si>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</si>
  <si>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</si>
  <si>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</si>
  <si>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</si>
  <si>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</si>
  <si>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</si>
  <si>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</si>
  <si>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</si>
  <si>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</si>
  <si>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</si>
  <si>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</si>
  <si>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</si>
  <si>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</si>
  <si>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</si>
  <si>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</si>
  <si>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</si>
  <si>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</si>
  <si>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</si>
  <si>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</si>
  <si>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</si>
  <si>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</si>
  <si>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</si>
  <si>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</si>
  <si>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</si>
  <si>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</si>
  <si>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</si>
  <si>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</si>
  <si>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</si>
  <si>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</si>
  <si>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</si>
  <si>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</si>
  <si>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</si>
  <si>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</si>
  <si>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</si>
  <si>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</si>
  <si>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</si>
  <si>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</si>
  <si>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</si>
  <si>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</si>
  <si>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</si>
  <si>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</si>
  <si>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</si>
  <si>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</si>
  <si>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</si>
  <si>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</si>
  <si>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</si>
  <si>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</si>
  <si>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</si>
  <si>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</si>
  <si>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</si>
  <si>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</si>
  <si>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</si>
  <si>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</si>
  <si>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</si>
  <si>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</si>
  <si>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</si>
  <si>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</si>
  <si>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</si>
  <si>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</si>
  <si>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</si>
  <si>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</si>
  <si>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</si>
  <si>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</si>
  <si>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</si>
  <si>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</si>
  <si>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</si>
  <si>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</si>
  <si>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</si>
  <si>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</si>
  <si>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</si>
  <si>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</si>
  <si>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</si>
  <si>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</si>
  <si>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</si>
  <si>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</si>
  <si>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</si>
  <si>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</si>
  <si>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</si>
  <si>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</si>
  <si>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</si>
  <si>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</si>
  <si>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</si>
  <si>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</si>
  <si>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</si>
  <si>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</si>
  <si>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</si>
  <si>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</si>
  <si>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</si>
  <si>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</si>
  <si>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</si>
  <si>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</si>
  <si>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</si>
  <si>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</si>
  <si>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</si>
  <si>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</si>
  <si>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</si>
  <si>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</si>
  <si>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</si>
  <si>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</si>
  <si>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</si>
  <si>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</si>
  <si>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</si>
  <si>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</si>
  <si>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</si>
  <si>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</si>
  <si>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</si>
  <si>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</si>
  <si>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</si>
  <si>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</si>
  <si>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</si>
  <si>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</si>
  <si>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</si>
  <si>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</si>
  <si>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</si>
  <si>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</si>
  <si>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</si>
  <si>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</si>
  <si>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</si>
  <si>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</si>
  <si>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</si>
  <si>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</si>
  <si>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</si>
  <si>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</si>
  <si>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</si>
  <si>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</si>
  <si>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</si>
  <si>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</si>
  <si>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</si>
  <si>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</si>
  <si>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</si>
  <si>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</si>
  <si>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</si>
  <si>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</si>
  <si>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</si>
  <si>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</si>
  <si>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</si>
  <si>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</si>
  <si>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</si>
  <si>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</si>
  <si>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</si>
  <si>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</si>
  <si>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</si>
  <si>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</si>
  <si>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</si>
  <si>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</si>
  <si>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</si>
  <si>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</si>
  <si>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</si>
  <si>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</si>
  <si>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</si>
  <si>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</si>
  <si>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</si>
  <si>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</si>
  <si>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</si>
  <si>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</si>
  <si>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</si>
  <si>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</si>
  <si>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</si>
  <si>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</si>
  <si>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</si>
  <si>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</si>
  <si>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</si>
  <si>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</si>
  <si>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</si>
  <si>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</si>
  <si>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</si>
  <si>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</si>
  <si>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</si>
  <si>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</si>
  <si>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</si>
  <si>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</si>
  <si>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</si>
  <si>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</si>
  <si>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</si>
  <si>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</si>
  <si>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</si>
  <si>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</si>
  <si>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</si>
  <si>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</si>
  <si>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</si>
  <si>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</si>
  <si>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</si>
  <si>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</si>
  <si>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</si>
  <si>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</si>
  <si>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</si>
  <si>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</si>
  <si>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</si>
  <si>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</si>
  <si>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</si>
  <si>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</si>
  <si>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</si>
  <si>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</si>
  <si>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</si>
  <si>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</si>
  <si>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</si>
  <si>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</si>
  <si>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</si>
  <si>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</si>
  <si>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</si>
  <si>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</si>
  <si>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</si>
  <si>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</si>
  <si>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</si>
  <si>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</si>
  <si>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</si>
  <si>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</si>
  <si>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</si>
  <si>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</si>
  <si>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</si>
  <si>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</si>
  <si>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</si>
  <si>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</si>
  <si>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</si>
  <si>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</si>
  <si>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</si>
  <si>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</si>
  <si>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</si>
  <si>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</si>
  <si>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</si>
  <si>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</si>
  <si>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</si>
  <si>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</si>
  <si>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</si>
  <si>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</si>
  <si>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</si>
  <si>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</si>
  <si>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</si>
  <si>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</si>
  <si>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</si>
  <si>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</si>
  <si>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</si>
  <si>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</si>
  <si>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</si>
  <si>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</si>
  <si>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</si>
  <si>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</si>
  <si>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</si>
  <si>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</si>
  <si>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</si>
  <si>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</si>
  <si>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</si>
  <si>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</si>
  <si>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</si>
  <si>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</si>
  <si>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</si>
  <si>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</si>
  <si>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</si>
  <si>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</si>
  <si>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</si>
  <si>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</si>
  <si>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</si>
  <si>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</si>
  <si>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</si>
  <si>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</si>
  <si>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</si>
  <si>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</si>
  <si>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</si>
  <si>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</si>
  <si>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</si>
  <si>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</si>
  <si>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</si>
  <si>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</si>
  <si>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</si>
  <si>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</si>
  <si>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</si>
  <si>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</si>
  <si>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</si>
  <si>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</si>
  <si>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</si>
  <si>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</si>
  <si>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</si>
  <si>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</si>
  <si>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</si>
  <si>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</si>
  <si>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</si>
  <si>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</si>
  <si>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</si>
  <si>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</si>
  <si>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</si>
  <si>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</si>
  <si>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</si>
  <si>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</si>
  <si>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</si>
  <si>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</si>
  <si>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</si>
  <si>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</si>
  <si>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</si>
  <si>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</si>
  <si>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</si>
  <si>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</si>
  <si>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</si>
  <si>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</si>
  <si>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</si>
  <si>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</si>
  <si>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</si>
  <si>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</si>
  <si>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</si>
  <si>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</si>
  <si>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</si>
  <si>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</si>
  <si>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</si>
  <si>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</si>
  <si>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</si>
  <si>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</si>
  <si>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</si>
  <si>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</si>
  <si>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</si>
  <si>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</si>
  <si>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</si>
  <si>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</si>
  <si>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</si>
  <si>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</si>
  <si>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</si>
  <si>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</si>
  <si>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</si>
  <si>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</si>
  <si>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</si>
  <si>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</si>
  <si>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</si>
  <si>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</si>
  <si>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</si>
  <si>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</si>
  <si>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</si>
  <si>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</si>
  <si>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</si>
  <si>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</si>
  <si>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</si>
  <si>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</si>
  <si>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</si>
  <si>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</si>
  <si>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</si>
  <si>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</si>
  <si>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</si>
  <si>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</si>
  <si>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</si>
  <si>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</si>
  <si>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</si>
  <si>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</si>
  <si>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</si>
  <si>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</si>
  <si>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</si>
  <si>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</si>
  <si>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</si>
  <si>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</si>
  <si>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</si>
  <si>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</si>
  <si>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</si>
  <si>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</si>
  <si>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</si>
  <si>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</si>
  <si>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</si>
  <si>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</si>
  <si>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</si>
  <si>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</si>
  <si>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</si>
  <si>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</si>
  <si>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</si>
  <si>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</si>
  <si>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</si>
  <si>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</si>
  <si>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</si>
  <si>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</si>
  <si>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</si>
  <si>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</si>
  <si>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</si>
  <si>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</si>
  <si>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</si>
  <si>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</si>
  <si>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</si>
  <si>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</si>
  <si>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</si>
  <si>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</si>
  <si>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</si>
  <si>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</si>
  <si>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</si>
  <si>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</si>
  <si>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</si>
  <si>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</si>
  <si>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</si>
  <si>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</si>
  <si>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</si>
  <si>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</si>
  <si>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</si>
  <si>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</si>
  <si>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</si>
  <si>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</si>
  <si>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</si>
  <si>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</si>
  <si>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</si>
  <si>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</si>
  <si>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</si>
  <si>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</si>
  <si>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</si>
  <si>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</si>
  <si>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</si>
  <si>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</si>
  <si>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</si>
  <si>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</si>
  <si>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</si>
  <si>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</si>
  <si>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</si>
  <si>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</si>
  <si>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</si>
  <si>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</si>
  <si>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</si>
  <si>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</si>
  <si>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</si>
  <si>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</si>
  <si>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</si>
  <si>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</si>
  <si>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</si>
  <si>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</si>
  <si>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</si>
  <si>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</si>
  <si>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</si>
  <si>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</si>
  <si>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</si>
  <si>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</si>
  <si>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</si>
  <si>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</si>
  <si>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</si>
  <si>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</si>
  <si>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</si>
  <si>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</si>
  <si>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</si>
  <si>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</si>
  <si>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</si>
  <si>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</si>
  <si>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</si>
  <si>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</si>
  <si>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</si>
  <si>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</si>
  <si>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</si>
  <si>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</si>
  <si>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</si>
  <si>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</si>
  <si>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</si>
  <si>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</si>
  <si>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</si>
  <si>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</si>
  <si>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</si>
  <si>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</si>
  <si>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</si>
  <si>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</si>
  <si>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</si>
  <si>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</si>
  <si>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</si>
  <si>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</si>
  <si>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</si>
  <si>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</si>
  <si>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</si>
  <si>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</si>
  <si>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</si>
  <si>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</si>
  <si>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</si>
  <si>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</si>
  <si>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</si>
  <si>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</si>
  <si>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</si>
  <si>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</si>
  <si>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</si>
  <si>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</si>
  <si>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</si>
  <si>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</si>
  <si>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</si>
  <si>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</si>
  <si>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</si>
  <si>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</si>
  <si>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</si>
  <si>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</si>
  <si>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</si>
  <si>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</si>
  <si>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</si>
  <si>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</si>
  <si>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</si>
  <si>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</si>
  <si>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</si>
  <si>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</si>
  <si>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</si>
  <si>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</si>
  <si>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</si>
  <si>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</si>
  <si>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</si>
  <si>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</si>
  <si>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</si>
  <si>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</si>
  <si>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</si>
  <si>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</si>
  <si>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</si>
  <si>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</si>
  <si>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</si>
  <si>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</si>
  <si>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</si>
  <si>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</si>
  <si>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</si>
  <si>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</si>
  <si>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</si>
  <si>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</si>
  <si>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</si>
  <si>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</si>
  <si>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</si>
  <si>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</si>
  <si>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</si>
  <si>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</si>
  <si>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</si>
  <si>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</si>
  <si>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</si>
  <si>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</si>
  <si>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</si>
  <si>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</si>
  <si>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</si>
  <si>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</si>
  <si>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</si>
  <si>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</si>
  <si>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</si>
  <si>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</si>
  <si>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</si>
  <si>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</si>
  <si>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</si>
  <si>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</si>
  <si>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</si>
  <si>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</si>
  <si>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</si>
  <si>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</si>
  <si>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</si>
  <si>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</si>
  <si>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</si>
  <si>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</si>
  <si>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</si>
  <si>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</si>
  <si>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</si>
  <si>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</si>
  <si>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</si>
  <si>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</si>
  <si>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</si>
  <si>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</si>
  <si>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</si>
  <si>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</si>
  <si>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</si>
  <si>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</si>
  <si>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</si>
  <si>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</si>
  <si>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</si>
  <si>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</si>
  <si>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</si>
  <si>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</si>
  <si>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</si>
  <si>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</si>
  <si>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</si>
  <si>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</si>
  <si>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</si>
  <si>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</si>
  <si>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</si>
  <si>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</si>
  <si>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</si>
  <si>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</si>
  <si>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</si>
  <si>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</si>
  <si>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</si>
  <si>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</si>
  <si>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</si>
  <si>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</si>
  <si>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</si>
  <si>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</si>
  <si>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</si>
  <si>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</si>
  <si>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</si>
  <si>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</si>
  <si>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</si>
  <si>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</si>
  <si>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</si>
  <si>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</si>
  <si>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</si>
  <si>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</si>
  <si>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</si>
  <si>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</si>
  <si>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</si>
  <si>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</si>
  <si>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</si>
  <si>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</si>
  <si>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</si>
  <si>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</si>
  <si>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</si>
  <si>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</si>
  <si>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</si>
  <si>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</si>
  <si>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</si>
  <si>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</si>
  <si>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</si>
  <si>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</si>
  <si>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</si>
  <si>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</si>
  <si>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</si>
  <si>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</si>
  <si>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</si>
  <si>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</si>
  <si>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</si>
  <si>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</si>
  <si>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</si>
  <si>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</si>
  <si>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</si>
  <si>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</si>
  <si>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</si>
  <si>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</si>
  <si>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</si>
  <si>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</si>
  <si>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</si>
  <si>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</si>
  <si>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</si>
  <si>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</si>
  <si>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</si>
  <si>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</si>
  <si>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</si>
  <si>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</si>
  <si>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</si>
  <si>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</si>
  <si>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</si>
  <si>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</si>
  <si>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</si>
  <si>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</si>
  <si>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</si>
  <si>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</si>
  <si>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</si>
  <si>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</si>
  <si>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</si>
  <si>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</si>
  <si>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</si>
  <si>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</si>
  <si>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</si>
  <si>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</si>
  <si>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</si>
  <si>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</si>
  <si>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</si>
  <si>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</si>
  <si>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</si>
  <si>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</si>
  <si>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</si>
  <si>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</si>
  <si>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</si>
  <si>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</si>
  <si>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</si>
  <si>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</si>
  <si>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</si>
  <si>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</si>
  <si>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</si>
  <si>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</si>
  <si>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</si>
  <si>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</si>
  <si>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</si>
  <si>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</si>
  <si>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</si>
  <si>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</si>
  <si>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</si>
  <si>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</si>
  <si>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</si>
  <si>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</si>
  <si>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</si>
  <si>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</si>
  <si>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</si>
  <si>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</si>
  <si>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</si>
  <si>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</si>
  <si>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</si>
  <si>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</si>
  <si>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</si>
  <si>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</si>
  <si>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</si>
  <si>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</si>
  <si>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</si>
  <si>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</si>
  <si>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</si>
  <si>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</si>
  <si>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</si>
  <si>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</si>
  <si>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</si>
  <si>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</si>
  <si>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</si>
  <si>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</si>
  <si>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</si>
  <si>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</si>
  <si>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</si>
  <si>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</si>
  <si>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</si>
  <si>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</si>
  <si>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</si>
  <si>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</si>
  <si>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</si>
  <si>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</si>
  <si>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</si>
  <si>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</si>
  <si>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</si>
  <si>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</si>
  <si>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</si>
  <si>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</si>
  <si>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</si>
  <si>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</si>
  <si>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</si>
  <si>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</si>
  <si>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</si>
  <si>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</si>
  <si>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</si>
  <si>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</si>
  <si>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</si>
  <si>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</si>
  <si>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</si>
  <si>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</si>
  <si>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</si>
  <si>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</si>
  <si>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</si>
  <si>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</si>
  <si>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</si>
  <si>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</si>
  <si>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</si>
  <si>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</si>
  <si>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</si>
  <si>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</si>
  <si>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</si>
  <si>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</si>
  <si>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</si>
  <si>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</si>
  <si>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</si>
  <si>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</si>
  <si>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</si>
  <si>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</si>
  <si>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</si>
  <si>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</si>
  <si>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</si>
  <si>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</si>
  <si>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</si>
  <si>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</si>
  <si>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</si>
  <si>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</si>
  <si>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</si>
  <si>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</si>
  <si>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</si>
  <si>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</si>
  <si>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</si>
  <si>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</si>
  <si>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</si>
  <si>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</si>
  <si>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</si>
  <si>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</si>
  <si>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</si>
  <si>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</si>
  <si>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</si>
  <si>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</si>
  <si>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</si>
  <si>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</si>
  <si>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</si>
  <si>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</si>
  <si>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</si>
  <si>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</si>
  <si>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</si>
  <si>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</si>
  <si>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</si>
  <si>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</si>
  <si>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</si>
  <si>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</si>
  <si>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</si>
  <si>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</si>
  <si>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</si>
  <si>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</si>
  <si>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</si>
  <si>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</si>
  <si>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</si>
  <si>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</si>
  <si>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</si>
  <si>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</si>
  <si>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</si>
  <si>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</si>
  <si>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</si>
  <si>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</si>
  <si>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</si>
  <si>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</si>
  <si>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</si>
  <si>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</si>
  <si>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</si>
  <si>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</si>
  <si>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</si>
  <si>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</si>
  <si>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</si>
  <si>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</si>
  <si>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</si>
  <si>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</si>
  <si>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</si>
  <si>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</si>
  <si>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</si>
  <si>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</si>
  <si>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</si>
  <si>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</si>
  <si>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</si>
  <si>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</si>
  <si>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</si>
  <si>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</si>
  <si>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</si>
  <si>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</si>
  <si>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</si>
  <si>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</si>
  <si>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</si>
  <si>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</si>
  <si>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</si>
  <si>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</si>
  <si>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</si>
  <si>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</si>
  <si>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</si>
  <si>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</si>
  <si>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</si>
  <si>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</si>
  <si>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</si>
  <si>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</si>
  <si>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</si>
  <si>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</si>
  <si>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</si>
  <si>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</si>
  <si>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</si>
  <si>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</si>
  <si>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</si>
  <si>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</si>
  <si>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</si>
  <si>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</si>
  <si>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</si>
  <si>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</si>
  <si>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</si>
  <si>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</si>
  <si>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</si>
  <si>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</si>
  <si>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</si>
  <si>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</si>
  <si>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</si>
  <si>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</si>
  <si>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</si>
  <si>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</si>
  <si>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</si>
  <si>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</si>
  <si>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</si>
  <si>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</si>
  <si>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</si>
  <si>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</si>
  <si>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</si>
  <si>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</si>
  <si>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</si>
  <si>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</si>
  <si>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</si>
  <si>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</si>
  <si>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</si>
  <si>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</si>
  <si>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</si>
  <si>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</si>
  <si>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</si>
  <si>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</si>
  <si>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</si>
  <si>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</si>
  <si>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</si>
  <si>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</si>
  <si>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</si>
  <si>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</si>
  <si>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</si>
  <si>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</si>
  <si>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</si>
  <si>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</si>
  <si>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</si>
  <si>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</si>
  <si>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</si>
  <si>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</si>
  <si>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</si>
  <si>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</si>
  <si>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</si>
  <si>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</si>
  <si>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</si>
  <si>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</si>
  <si>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</si>
  <si>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</si>
  <si>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</si>
  <si>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</si>
  <si>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</si>
  <si>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</si>
  <si>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</si>
  <si>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</si>
  <si>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</si>
  <si>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</si>
  <si>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</si>
  <si>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</si>
  <si>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</si>
  <si>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</si>
  <si>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</si>
  <si>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</si>
  <si>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</si>
  <si>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</si>
  <si>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</si>
  <si>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</si>
  <si>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</si>
  <si>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</si>
  <si>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</si>
  <si>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</si>
  <si>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</si>
  <si>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</si>
  <si>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</si>
  <si>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</si>
  <si>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</si>
  <si>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</si>
  <si>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</si>
  <si>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</si>
  <si>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</si>
  <si>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</si>
  <si>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</si>
  <si>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</si>
  <si>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</si>
  <si>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</si>
  <si>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</si>
  <si>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</si>
  <si>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</si>
  <si>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</si>
  <si>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</si>
  <si>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</si>
  <si>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</si>
  <si>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</si>
  <si>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</si>
  <si>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</si>
  <si>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</si>
  <si>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</si>
  <si>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</si>
  <si>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</si>
  <si>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</si>
  <si>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</si>
  <si>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</si>
  <si>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</si>
  <si>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</si>
  <si>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</si>
  <si>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</si>
  <si>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</si>
  <si>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</si>
  <si>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</si>
  <si>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</si>
  <si>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</si>
  <si>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</si>
  <si>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</si>
  <si>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</si>
  <si>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</si>
  <si>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</si>
  <si>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</si>
  <si>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</si>
  <si>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</si>
  <si>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</si>
  <si>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</si>
  <si>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</si>
  <si>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</si>
  <si>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</si>
  <si>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</si>
  <si>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</si>
  <si>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</si>
  <si>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</si>
  <si>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</si>
  <si>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</si>
  <si>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</si>
  <si>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</si>
  <si>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</si>
  <si>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</si>
  <si>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</si>
  <si>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</si>
  <si>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</si>
  <si>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</si>
  <si>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</si>
  <si>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</si>
  <si>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</si>
  <si>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</si>
  <si>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</si>
  <si>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</si>
  <si>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</si>
  <si>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</si>
  <si>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</si>
  <si>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</si>
  <si>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</si>
  <si>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</si>
  <si>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</si>
  <si>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</si>
  <si>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</si>
  <si>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</si>
  <si>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</si>
  <si>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</si>
  <si>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</si>
  <si>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</si>
  <si>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</si>
  <si>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</si>
  <si>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</si>
  <si>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</si>
  <si>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</si>
  <si>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</si>
  <si>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</si>
  <si>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</si>
  <si>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</si>
  <si>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</si>
  <si>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</si>
  <si>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</si>
  <si>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</si>
  <si>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</si>
  <si>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</si>
  <si>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</si>
  <si>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</si>
  <si>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</si>
  <si>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</si>
  <si>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</si>
  <si>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</si>
  <si>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</si>
  <si>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</si>
  <si>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</si>
  <si>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</si>
  <si>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</si>
  <si>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</si>
  <si>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</si>
  <si>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</si>
  <si>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</si>
  <si>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</si>
  <si>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</si>
  <si>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</si>
  <si>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</si>
  <si>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</si>
  <si>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</si>
  <si>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</si>
  <si>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</si>
  <si>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</si>
  <si>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</si>
  <si>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</si>
  <si>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</si>
  <si>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</si>
  <si>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</si>
  <si>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</si>
  <si>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</si>
  <si>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</si>
  <si>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</si>
  <si>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</si>
  <si>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</si>
  <si>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</si>
  <si>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</si>
  <si>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</si>
  <si>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</si>
  <si>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</si>
  <si>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</si>
  <si>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</si>
  <si>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</si>
  <si>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</si>
  <si>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</si>
  <si>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</si>
  <si>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</si>
  <si>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</si>
  <si>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</si>
  <si>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</si>
  <si>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</si>
  <si>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</si>
  <si>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</si>
  <si>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</si>
  <si>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</si>
  <si>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</si>
  <si>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</si>
  <si>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</si>
  <si>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</si>
  <si>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</si>
  <si>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</si>
  <si>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</si>
  <si>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</si>
  <si>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</si>
  <si>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</si>
  <si>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</si>
  <si>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</si>
  <si>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</si>
  <si>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</si>
  <si>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</si>
  <si>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</si>
  <si>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</si>
  <si>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</si>
  <si>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</si>
  <si>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</si>
  <si>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</si>
  <si>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</si>
  <si>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</si>
  <si>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</si>
  <si>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</si>
  <si>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</si>
  <si>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</si>
  <si>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</si>
  <si>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</si>
  <si>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</si>
  <si>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</si>
  <si>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</si>
  <si>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</si>
  <si>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</si>
  <si>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</si>
  <si>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</si>
  <si>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</si>
  <si>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</si>
  <si>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</si>
  <si>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</si>
  <si>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</si>
  <si>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</si>
  <si>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</si>
  <si>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</si>
  <si>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</si>
  <si>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</si>
  <si>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</si>
  <si>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</si>
  <si>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</si>
  <si>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</si>
  <si>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</si>
  <si>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</si>
  <si>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</si>
  <si>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</si>
  <si>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</si>
  <si>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</si>
  <si>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</si>
  <si>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</si>
  <si>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</si>
  <si>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</si>
  <si>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</si>
  <si>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</si>
  <si>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</si>
  <si>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</si>
  <si>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</si>
  <si>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</si>
  <si>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</si>
  <si>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</si>
  <si>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</si>
  <si>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</si>
  <si>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</si>
  <si>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</si>
  <si>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</si>
  <si>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</si>
  <si>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</si>
  <si>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</si>
  <si>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</si>
  <si>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</si>
  <si>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</si>
  <si>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</si>
  <si>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崔锴</t>
  </si>
  <si>
    <t>北京市</t>
  </si>
  <si>
    <t>通州区潞河镇（武夷花园东区）限价住宅及地下车库用房房地产市场价值</t>
    <phoneticPr fontId="6" type="noConversion"/>
  </si>
  <si>
    <t>出让</t>
  </si>
  <si>
    <t>企业</t>
  </si>
  <si>
    <t>北京武夷房地产开发有限公司</t>
    <phoneticPr fontId="6" type="noConversion"/>
  </si>
  <si>
    <t>核定资产</t>
  </si>
  <si>
    <t>房地产市场价值</t>
  </si>
  <si>
    <t>北京武夷房地产开发有限公司</t>
    <phoneticPr fontId="6" type="noConversion"/>
  </si>
  <si>
    <t>住宅</t>
  </si>
  <si>
    <t>住宅、地下车库、地下仓储</t>
    <phoneticPr fontId="6" type="noConversion"/>
  </si>
  <si>
    <t>《北京市规划和国土资源管理委员会关于同意北京武夷房地产开发有限公司建设武夷花园南区项目有关规划情况的函[2016规（通）复函字0056号]</t>
    <phoneticPr fontId="6" type="noConversion"/>
  </si>
  <si>
    <t>《国有土地使用证》[京通国用（2015出）第00018号]、《北京市规划和国土资源管理委员会关于同意北京武夷房地产开发有限公司建设武夷花园南区项目有关规划情况的函[2016规（通）复函字0056号]</t>
    <phoneticPr fontId="6" type="noConversion"/>
  </si>
  <si>
    <t>复印件</t>
  </si>
  <si>
    <t>居住项目</t>
  </si>
  <si>
    <t>其他特殊：</t>
  </si>
  <si>
    <t>全部为保障性住房</t>
  </si>
  <si>
    <t>通路</t>
  </si>
  <si>
    <t>通电</t>
  </si>
  <si>
    <t>通讯</t>
  </si>
  <si>
    <t>通上水</t>
  </si>
  <si>
    <t>通下水</t>
  </si>
  <si>
    <t>通热</t>
  </si>
  <si>
    <t>燃气</t>
  </si>
  <si>
    <t>在建</t>
  </si>
  <si>
    <t>两限房</t>
  </si>
  <si>
    <t>配套公建</t>
    <phoneticPr fontId="3" type="noConversion"/>
  </si>
  <si>
    <t>人防车库入口</t>
    <phoneticPr fontId="3" type="noConversion"/>
  </si>
  <si>
    <t>地下车库</t>
    <phoneticPr fontId="3" type="noConversion"/>
  </si>
  <si>
    <t>地下仓储</t>
    <phoneticPr fontId="3" type="noConversion"/>
  </si>
  <si>
    <t>两限房</t>
    <phoneticPr fontId="3" type="noConversion"/>
  </si>
  <si>
    <t>人防车库</t>
    <phoneticPr fontId="3" type="noConversion"/>
  </si>
  <si>
    <t>自行车库及机电用房</t>
    <phoneticPr fontId="3" type="noConversion"/>
  </si>
  <si>
    <t>非人防建筑面积</t>
    <phoneticPr fontId="3" type="noConversion"/>
  </si>
  <si>
    <t>其他</t>
    <phoneticPr fontId="3" type="noConversion"/>
  </si>
  <si>
    <t>是</t>
  </si>
  <si>
    <t>否</t>
  </si>
  <si>
    <t>地上</t>
  </si>
  <si>
    <t>平层住宅</t>
  </si>
  <si>
    <t>地下</t>
  </si>
  <si>
    <t>车库</t>
  </si>
  <si>
    <t>仓储</t>
  </si>
  <si>
    <t>戊类库房</t>
  </si>
  <si>
    <t>普通住宅</t>
    <phoneticPr fontId="3" type="noConversion"/>
  </si>
  <si>
    <t>两限房</t>
    <phoneticPr fontId="7" type="noConversion"/>
  </si>
  <si>
    <t>地下车库</t>
    <phoneticPr fontId="7" type="noConversion"/>
  </si>
  <si>
    <t>地下仓储</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</si>
  <si>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</si>
  <si>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</si>
  <si>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</si>
  <si>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</si>
  <si>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</si>
  <si>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</si>
  <si>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</si>
  <si>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</si>
  <si>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</si>
  <si>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</si>
  <si>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</si>
  <si>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</si>
  <si>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</si>
  <si>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</si>
  <si>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</si>
  <si>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</si>
  <si>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</si>
  <si>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</si>
  <si>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</si>
  <si>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</si>
  <si>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</si>
  <si>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</si>
  <si>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</si>
  <si>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成交日期</t>
  </si>
  <si>
    <t>受让单位</t>
  </si>
  <si>
    <t>成交价(万元)</t>
  </si>
  <si>
    <t>成交每亩价(万元/亩)</t>
  </si>
  <si>
    <t>成交楼面价(元/㎡)</t>
  </si>
  <si>
    <t>成交楼面价(除保障房)(元/㎡)</t>
  </si>
  <si>
    <t>溢价率</t>
  </si>
  <si>
    <t>综合用地(含住宅)</t>
  </si>
  <si>
    <t>通州区</t>
  </si>
  <si>
    <t>挂牌</t>
  </si>
  <si>
    <t>住宅用地</t>
  </si>
  <si>
    <t>武夷花园</t>
    <phoneticPr fontId="3" type="noConversion"/>
  </si>
  <si>
    <t>住宅</t>
    <phoneticPr fontId="25" type="noConversion"/>
  </si>
  <si>
    <t>50-60（含）</t>
  </si>
  <si>
    <t>60-70（含）</t>
  </si>
  <si>
    <t>估价对象周边居住用地比例较高、居住小区规模较大、社区发展完善程度较好，有月季园、荔景园等多个住宅项目，综合评价居住社区成熟度较好</t>
    <phoneticPr fontId="41" type="noConversion"/>
  </si>
  <si>
    <t>估价对象周边道路状况较好、公共交通通达情况较好、有322、342、442等多路公交车，距6号线北运河西站约1.5公里，停车便捷程度较好，综合评价交通便捷度较好</t>
    <phoneticPr fontId="41" type="noConversion"/>
  </si>
  <si>
    <t>估价对象所在区域公共配套设施齐备情况一般</t>
    <phoneticPr fontId="41" type="noConversion"/>
  </si>
  <si>
    <t>七通</t>
  </si>
  <si>
    <t>七通</t>
    <phoneticPr fontId="25" type="noConversion"/>
  </si>
  <si>
    <t>区域自然环境：减河公园、运河奥体公园、潞河中学公园；人文环境：大运河美术馆；综合评价环境状况较好</t>
    <phoneticPr fontId="41" type="noConversion"/>
  </si>
  <si>
    <t>较好</t>
  </si>
  <si>
    <t>一般</t>
  </si>
  <si>
    <t>钢混</t>
  </si>
  <si>
    <t>钢混</t>
    <phoneticPr fontId="25" type="noConversion"/>
  </si>
  <si>
    <t>中档</t>
  </si>
  <si>
    <t>中档</t>
    <phoneticPr fontId="25" type="noConversion"/>
  </si>
  <si>
    <t>普通</t>
  </si>
  <si>
    <t>普通</t>
    <phoneticPr fontId="25" type="noConversion"/>
  </si>
  <si>
    <t>专业</t>
  </si>
  <si>
    <t>专业</t>
    <phoneticPr fontId="25" type="noConversion"/>
  </si>
  <si>
    <t>六通</t>
  </si>
  <si>
    <t>五通</t>
  </si>
  <si>
    <t>四通</t>
  </si>
  <si>
    <t>三通</t>
  </si>
  <si>
    <t>平层</t>
  </si>
  <si>
    <t>平层</t>
    <phoneticPr fontId="25" type="noConversion"/>
  </si>
  <si>
    <t>精</t>
    <phoneticPr fontId="25" type="noConversion"/>
  </si>
  <si>
    <t>简单</t>
    <phoneticPr fontId="25" type="noConversion"/>
  </si>
  <si>
    <t>毛坯</t>
    <phoneticPr fontId="25" type="noConversion"/>
  </si>
  <si>
    <t>较差</t>
  </si>
  <si>
    <t>住宅</t>
    <phoneticPr fontId="31" type="noConversion"/>
  </si>
  <si>
    <t>成新度</t>
  </si>
  <si>
    <t>两限房</t>
    <phoneticPr fontId="31" type="noConversion"/>
  </si>
  <si>
    <t>共有产权房</t>
    <phoneticPr fontId="31" type="noConversion"/>
  </si>
  <si>
    <t>高速</t>
    <phoneticPr fontId="31" type="noConversion"/>
  </si>
  <si>
    <t>快速路</t>
    <phoneticPr fontId="31" type="noConversion"/>
  </si>
  <si>
    <t>主</t>
    <phoneticPr fontId="31" type="noConversion"/>
  </si>
  <si>
    <t>次</t>
    <phoneticPr fontId="31" type="noConversion"/>
  </si>
  <si>
    <t>支</t>
  </si>
  <si>
    <t>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</si>
  <si>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</si>
  <si>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</si>
  <si>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</si>
  <si>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</si>
  <si>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</si>
  <si>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</si>
  <si>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</si>
  <si>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</si>
  <si>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</si>
  <si>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</si>
  <si>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好</t>
  </si>
  <si>
    <t>差</t>
  </si>
  <si>
    <t>住宅、商业、办公</t>
    <phoneticPr fontId="31" type="noConversion"/>
  </si>
  <si>
    <t>住宅、商业</t>
    <phoneticPr fontId="31" type="noConversion"/>
  </si>
  <si>
    <t>两限房</t>
    <phoneticPr fontId="25" type="noConversion"/>
  </si>
  <si>
    <t>成本法</t>
  </si>
  <si>
    <t>比较法-住宅</t>
  </si>
  <si>
    <t>地下仓储</t>
  </si>
  <si>
    <t>现房</t>
  </si>
  <si>
    <t>北京市保障性住房建设投资中心</t>
    <phoneticPr fontId="6" type="noConversion"/>
  </si>
  <si>
    <t>未包含在土地购买价格中</t>
  </si>
  <si>
    <t>部分缴纳</t>
  </si>
  <si>
    <t>已包含在土地取得成本中</t>
  </si>
  <si>
    <t>通州区梨园镇0802-168地块F1住宅混合公建用地、0802-166地块C2商业金融用地、0802-164地块S31机动车停车场库用地(配建限价商品住房、经济适用房)</t>
  </si>
  <si>
    <t>通州区梨园镇</t>
  </si>
  <si>
    <t>京土整储挂(通)[2012]073号</t>
  </si>
  <si>
    <t>F1住宅混合公建用地、C2商业金融用地、S31机动车停车场库用地</t>
  </si>
  <si>
    <t>经济适用房,</t>
  </si>
  <si>
    <t>已完工</t>
  </si>
  <si>
    <t>2012-11-27</t>
  </si>
  <si>
    <t>2012-12-17</t>
  </si>
  <si>
    <t>2012-12-31</t>
  </si>
  <si>
    <t>已成交</t>
  </si>
  <si>
    <t>北京华和房地产开发有限公司</t>
  </si>
  <si>
    <t>住宅70年、商业40年、综合50年</t>
  </si>
  <si>
    <t>通州区台湖镇4-1-028、4-1-029、4-1-030、4-1-027、4-1-033地块居住、小学、托幼项目用地(配建公共租赁住房)</t>
  </si>
  <si>
    <t>北京市通州区台湖镇</t>
  </si>
  <si>
    <t>京土整储挂(通)[2012]070号</t>
  </si>
  <si>
    <t>R2二类居住用地、R52小学用地、R53托幼用地</t>
  </si>
  <si>
    <t>公共租赁房,</t>
  </si>
  <si>
    <t>2012-11-21</t>
  </si>
  <si>
    <t>2012-12-11</t>
  </si>
  <si>
    <t>2012-12-25</t>
  </si>
  <si>
    <t>北京世纪鸿房地产开发有限责任公司</t>
  </si>
  <si>
    <t>居住70年、商业40年、综合50年</t>
  </si>
  <si>
    <t>通州区台湖镇4-1-014、4-1-015、4-1-019地块居住、托幼项目用地(配建公共租赁住房)</t>
  </si>
  <si>
    <t>京土整储挂(通)[2012]069号</t>
  </si>
  <si>
    <t>R2二类居住用地、R53托幼用地</t>
  </si>
  <si>
    <t>北京万科企业有限公司和北京首都开发股份有限公司联合体</t>
  </si>
  <si>
    <t>通州区台湖镇4-1-017、4-1-010地块居住、医疗卫生项目用地</t>
  </si>
  <si>
    <t>京土整储挂(通)[2012]068号</t>
  </si>
  <si>
    <t>R2二类居住用地、C5医疗卫生用地</t>
  </si>
  <si>
    <t>通州区永顺镇北苑商务区东区商业金融、居住项目用地</t>
  </si>
  <si>
    <t>通州区永顺镇北苑商务区内</t>
  </si>
  <si>
    <t>招标</t>
  </si>
  <si>
    <t>京土整储招(通)[2012]060号</t>
  </si>
  <si>
    <t>C2商业金融用地、R2二类居住用地</t>
  </si>
  <si>
    <t>2012-11-29</t>
  </si>
  <si>
    <t>大连万达商业地产股份有限公司</t>
  </si>
  <si>
    <t>商业40年、综合50年、居住70年</t>
  </si>
  <si>
    <t>通州区永顺镇北苑商务区西区商业金融、居住及托幼项目用地</t>
  </si>
  <si>
    <t>京土整储招(通)[2012]059号</t>
  </si>
  <si>
    <t>C2商业金融用地、R2二类居住用地、R53托幼用地</t>
  </si>
  <si>
    <t>2012-11-23</t>
  </si>
  <si>
    <t>2012-11-26</t>
  </si>
  <si>
    <t>通州区马驹桥镇C-06-1地块居住用地项目(配建“限价商品住房”)</t>
  </si>
  <si>
    <t>通州区马驹桥镇</t>
  </si>
  <si>
    <t>京土整储挂(通)[2012]048号</t>
  </si>
  <si>
    <t>二类居住用地</t>
  </si>
  <si>
    <t>2012-09-17</t>
  </si>
  <si>
    <t>2012-09-29</t>
  </si>
  <si>
    <t>北京极富房地产开发有限公司</t>
  </si>
  <si>
    <t>居住70年,商业40年,综合50年</t>
  </si>
  <si>
    <t>通州区马驹桥镇C-06-2地块居住用地、C-12地块社区综合服务用地项目(配建“限价商品住房”)</t>
  </si>
  <si>
    <t>京土整储挂(通)[2012]049号</t>
  </si>
  <si>
    <t>二类居住用地社区综合服务用地</t>
  </si>
  <si>
    <t>通州区永顺镇(商务园C2地块西区)居住及经营性办公用地项目</t>
  </si>
  <si>
    <t>通州新城西北端温榆河畔</t>
  </si>
  <si>
    <t>京土整储挂(通)[2012]025号</t>
  </si>
  <si>
    <t>C23经营性办公、R2二类居住用地</t>
  </si>
  <si>
    <t>2012-07-03</t>
  </si>
  <si>
    <t>2012-07-17</t>
  </si>
  <si>
    <t>北京中鑫源房地产开发集团有限公司</t>
  </si>
  <si>
    <t>北京市通州区永顺镇(商务园C2地块东区)居住用地、托幼用地及供电用地项目</t>
  </si>
  <si>
    <t>京土整储挂(通)[2012]009号</t>
  </si>
  <si>
    <t>R2二类居住用地、R53托幼用地、U12供电用地</t>
  </si>
  <si>
    <t>2012-03-20</t>
  </si>
  <si>
    <t>2012-04-09</t>
  </si>
  <si>
    <t>国投盛通(北京)投资有限公司</t>
  </si>
  <si>
    <t>公告时间</t>
  </si>
  <si>
    <t>起始日期</t>
  </si>
  <si>
    <t>截止日期</t>
  </si>
  <si>
    <t>公告编号</t>
  </si>
  <si>
    <t>交易状态</t>
  </si>
  <si>
    <t>保证金(万元)</t>
  </si>
  <si>
    <t>起始价(万元)</t>
  </si>
  <si>
    <t>推出每亩价(万元/亩)</t>
  </si>
  <si>
    <t>推出楼面价(元/㎡)</t>
  </si>
  <si>
    <t>推出楼面价(除保障房)(元/㎡)</t>
  </si>
  <si>
    <t>出让年限</t>
  </si>
  <si>
    <t>竞报整体自持比例(%)</t>
  </si>
  <si>
    <t>竞报商品住房自持比例(%)</t>
  </si>
  <si>
    <t>竞报商办部分自持比例(%)</t>
  </si>
  <si>
    <t>通州区</t>
    <phoneticPr fontId="3" type="noConversion"/>
  </si>
  <si>
    <t>总建面</t>
    <phoneticPr fontId="143" type="noConversion"/>
  </si>
  <si>
    <t>两限建面</t>
    <phoneticPr fontId="143" type="noConversion"/>
  </si>
  <si>
    <t>商品建面</t>
    <phoneticPr fontId="143" type="noConversion"/>
  </si>
  <si>
    <t>单价</t>
    <phoneticPr fontId="143" type="noConversion"/>
  </si>
  <si>
    <t>销售价格</t>
    <phoneticPr fontId="143" type="noConversion"/>
  </si>
  <si>
    <t>土地价格</t>
    <phoneticPr fontId="143" type="noConversion"/>
  </si>
  <si>
    <t>土地面积</t>
    <phoneticPr fontId="143" type="noConversion"/>
  </si>
  <si>
    <t>楼面单价</t>
    <phoneticPr fontId="143" type="noConversion"/>
  </si>
  <si>
    <t>自住建面</t>
    <phoneticPr fontId="143" type="noConversion"/>
  </si>
  <si>
    <t>通州区永顺镇TZ00-0104-0031地块R2二类居住用地</t>
  </si>
  <si>
    <t>通州区永顺镇</t>
  </si>
  <si>
    <t>京土整储挂(通)[2014]074号</t>
  </si>
  <si>
    <t>R2二类居住用地</t>
  </si>
  <si>
    <t>限价房,</t>
  </si>
  <si>
    <t>剩余居住用途建筑面积全部建设自住型商品住房(最大套型面积105平方米),销售限价为16000元/平方米。</t>
  </si>
  <si>
    <t>2014-09-29</t>
  </si>
  <si>
    <t>2014-10-20</t>
  </si>
  <si>
    <t>2014-11-02</t>
  </si>
  <si>
    <t>北京德俊置业有限公司和北京房地置业发展有限公司联合体</t>
  </si>
  <si>
    <t>通州区永顺镇0204-A地块R2二类居住用地和0204-B地块R53托幼用地(配建公共租赁住房、限价商品住房、安置用房和自住型商品住房)</t>
  </si>
  <si>
    <t>京土整储挂(通)[2014]051号</t>
  </si>
  <si>
    <t>公共租赁房,定向安置房,限价房,</t>
  </si>
  <si>
    <t>剩余居住用途建筑面积全部建设自住型商品住房(最大套型面积90平方米),销售限价为16000元/平方米。</t>
  </si>
  <si>
    <t>2014-07-17</t>
  </si>
  <si>
    <t>2014-08-06</t>
  </si>
  <si>
    <t>2014-08-20</t>
  </si>
  <si>
    <t>北京第六大洲房地产开发有限公司和陕西逸博置业有限公司联合体</t>
  </si>
  <si>
    <t>通州区永顺镇居住、托幼及小学项目(配建限价商品住房和自住型商品住房)</t>
  </si>
  <si>
    <t>通州区通州区永顺镇</t>
  </si>
  <si>
    <t>京土整储挂(通)[2013]124号</t>
  </si>
  <si>
    <t>R2二类居住用地、R53托幼用地、R52小学用地</t>
  </si>
  <si>
    <t>剩余居住用途全部建设“自住房”,销售限价为16000元/平。</t>
  </si>
  <si>
    <t>2013-11-20</t>
  </si>
  <si>
    <t>2013-12-10</t>
  </si>
  <si>
    <t>2013-12-24</t>
  </si>
  <si>
    <t>北京东方长安房地产开发有限公司</t>
  </si>
  <si>
    <t>通州区于家务乡A-06等地块居住用地、A-11地块托幼用地、A-27地块社会停车场库地、A-28地块商业金融用地(配建经济适用住房)</t>
  </si>
  <si>
    <t>通州区于家务乡</t>
  </si>
  <si>
    <t>京土整储挂(通)[2013]086号</t>
  </si>
  <si>
    <t>R2二类居住用地、R53托幼用地、S3社会停车场库用地、C2商业金融用地</t>
  </si>
  <si>
    <t>经济适用房,限价房,</t>
  </si>
  <si>
    <t>2013-09-29</t>
  </si>
  <si>
    <t>2013-10-21</t>
  </si>
  <si>
    <t>2013-11-04</t>
  </si>
  <si>
    <t>北京紫峰房地产开发有限公司</t>
  </si>
  <si>
    <t>通州区台湖镇B-03地块居住、托幼项目(配建公共租赁住房)</t>
  </si>
  <si>
    <t>通州区台湖镇光机电一体化产业基地内</t>
  </si>
  <si>
    <t>京土整储挂(通)[2013]035号</t>
  </si>
  <si>
    <t>2013-04-16</t>
  </si>
  <si>
    <t>2013-05-06</t>
  </si>
  <si>
    <t>2013-05-20</t>
  </si>
  <si>
    <t>福州泰禾房地产开发有限公司</t>
  </si>
  <si>
    <t>通州区台湖镇4-1-005地块F3其它类多功能用地4-1-008、4-1-009地块F2公建混合住宅用地</t>
  </si>
  <si>
    <t>通州区台湖镇</t>
  </si>
  <si>
    <t>京土整储招(通)[2013]031号</t>
  </si>
  <si>
    <t>F3其他类多功能用地、F2公建混合住宅用地</t>
  </si>
  <si>
    <t>2013-03-22</t>
  </si>
  <si>
    <t>2013-04-12</t>
  </si>
  <si>
    <t>2013-04-15</t>
  </si>
  <si>
    <t>通州区台湖镇4-1-011、4-1-013、4-1-018、4-1-026、4-1-037地块F3其他类多功能用地4-1-022地块F2公建混合住宅用地</t>
  </si>
  <si>
    <t>京土整储招(通)[2013]028号</t>
  </si>
  <si>
    <t>2013-03-20</t>
  </si>
  <si>
    <t>2013-04-11</t>
  </si>
  <si>
    <r>
      <rPr>
        <sz val="10"/>
        <rFont val="宋体"/>
        <family val="3"/>
        <charset val="134"/>
      </rPr>
      <t>通州区梨园镇</t>
    </r>
    <r>
      <rPr>
        <sz val="11"/>
        <color theme="1"/>
        <rFont val="宋体"/>
        <family val="3"/>
        <charset val="134"/>
        <scheme val="minor"/>
      </rPr>
      <t>0802-168</t>
    </r>
    <r>
      <rPr>
        <sz val="10"/>
        <rFont val="宋体"/>
        <family val="3"/>
        <charset val="134"/>
      </rPr>
      <t>地块</t>
    </r>
    <r>
      <rPr>
        <sz val="11"/>
        <color theme="1"/>
        <rFont val="宋体"/>
        <family val="3"/>
        <charset val="134"/>
        <scheme val="minor"/>
      </rPr>
      <t>F1</t>
    </r>
    <r>
      <rPr>
        <sz val="10"/>
        <rFont val="宋体"/>
        <family val="3"/>
        <charset val="134"/>
      </rPr>
      <t>住宅混合公建用地、</t>
    </r>
    <r>
      <rPr>
        <sz val="11"/>
        <color theme="1"/>
        <rFont val="宋体"/>
        <family val="3"/>
        <charset val="134"/>
        <scheme val="minor"/>
      </rPr>
      <t>0802-166</t>
    </r>
    <r>
      <rPr>
        <sz val="10"/>
        <rFont val="宋体"/>
        <family val="3"/>
        <charset val="134"/>
      </rPr>
      <t>地块</t>
    </r>
    <r>
      <rPr>
        <sz val="11"/>
        <color theme="1"/>
        <rFont val="宋体"/>
        <family val="3"/>
        <charset val="134"/>
        <scheme val="minor"/>
      </rPr>
      <t>C2</t>
    </r>
    <r>
      <rPr>
        <sz val="10"/>
        <rFont val="宋体"/>
        <family val="3"/>
        <charset val="134"/>
      </rPr>
      <t>商业金融用地、</t>
    </r>
    <r>
      <rPr>
        <sz val="11"/>
        <color theme="1"/>
        <rFont val="宋体"/>
        <family val="3"/>
        <charset val="134"/>
        <scheme val="minor"/>
      </rPr>
      <t>0802-164</t>
    </r>
    <r>
      <rPr>
        <sz val="10"/>
        <rFont val="宋体"/>
        <family val="3"/>
        <charset val="134"/>
      </rPr>
      <t>地块</t>
    </r>
    <r>
      <rPr>
        <sz val="11"/>
        <color theme="1"/>
        <rFont val="宋体"/>
        <family val="3"/>
        <charset val="134"/>
        <scheme val="minor"/>
      </rPr>
      <t>S31</t>
    </r>
    <r>
      <rPr>
        <sz val="10"/>
        <rFont val="宋体"/>
        <family val="3"/>
        <charset val="134"/>
      </rPr>
      <t>机动车停车场库用地</t>
    </r>
    <r>
      <rPr>
        <sz val="11"/>
        <color theme="1"/>
        <rFont val="宋体"/>
        <family val="3"/>
        <charset val="134"/>
        <scheme val="minor"/>
      </rPr>
      <t>(</t>
    </r>
    <r>
      <rPr>
        <sz val="10"/>
        <rFont val="宋体"/>
        <family val="3"/>
        <charset val="134"/>
      </rPr>
      <t>配建限价商品住房、经济适用房</t>
    </r>
    <r>
      <rPr>
        <sz val="11"/>
        <color theme="1"/>
        <rFont val="宋体"/>
        <family val="3"/>
        <charset val="134"/>
        <scheme val="minor"/>
      </rPr>
      <t>)</t>
    </r>
    <phoneticPr fontId="3" type="noConversion"/>
  </si>
  <si>
    <r>
      <rPr>
        <sz val="10"/>
        <rFont val="宋体"/>
        <family val="3"/>
        <charset val="134"/>
      </rPr>
      <t>通州区马驹桥镇</t>
    </r>
    <r>
      <rPr>
        <sz val="11"/>
        <color theme="1"/>
        <rFont val="宋体"/>
        <family val="3"/>
        <charset val="134"/>
        <scheme val="minor"/>
      </rPr>
      <t>C-06-1</t>
    </r>
    <r>
      <rPr>
        <sz val="10"/>
        <rFont val="宋体"/>
        <family val="3"/>
        <charset val="134"/>
      </rPr>
      <t>地块居住用地项目</t>
    </r>
    <r>
      <rPr>
        <sz val="11"/>
        <color theme="1"/>
        <rFont val="宋体"/>
        <family val="3"/>
        <charset val="134"/>
        <scheme val="minor"/>
      </rPr>
      <t>(</t>
    </r>
    <r>
      <rPr>
        <sz val="10"/>
        <rFont val="宋体"/>
        <family val="3"/>
        <charset val="134"/>
      </rPr>
      <t>配建</t>
    </r>
    <r>
      <rPr>
        <sz val="11"/>
        <color theme="1"/>
        <rFont val="宋体"/>
        <family val="3"/>
        <charset val="134"/>
        <scheme val="minor"/>
      </rPr>
      <t>“</t>
    </r>
    <r>
      <rPr>
        <sz val="10"/>
        <rFont val="宋体"/>
        <family val="3"/>
        <charset val="134"/>
      </rPr>
      <t>限价商品住房</t>
    </r>
    <r>
      <rPr>
        <sz val="11"/>
        <color theme="1"/>
        <rFont val="宋体"/>
        <family val="3"/>
        <charset val="134"/>
        <scheme val="minor"/>
      </rPr>
      <t>”)</t>
    </r>
    <phoneticPr fontId="3" type="noConversion"/>
  </si>
  <si>
    <t>华远铭悦世家</t>
    <phoneticPr fontId="3" type="noConversion"/>
  </si>
  <si>
    <t>昌平区沙河镇南一村二类居住用地(配建限价商品住房)</t>
  </si>
  <si>
    <t>昌平区</t>
  </si>
  <si>
    <t>昌平区沙河镇</t>
  </si>
  <si>
    <t>京土整储挂(昌)[2012]050号</t>
  </si>
  <si>
    <t>R2二类居住用地、R5居住区配套教育用地</t>
  </si>
  <si>
    <t>盘锦运河石油房地产开发有限公司</t>
  </si>
  <si>
    <t>保利罗兰香谷</t>
    <phoneticPr fontId="143" type="noConversion"/>
  </si>
  <si>
    <t>东亚逸品阁</t>
    <phoneticPr fontId="3" type="noConversion"/>
  </si>
  <si>
    <t>珠江拉维小镇</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</si>
</sst>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184" fontId="106" fillId="0" borderId="70" xfId="0" applyNumberFormat="1" applyFont="1" applyFill="1" applyBorder="1" applyAlignment="1" applyProtection="1">
      <alignment horizontal="center" vertical="center" wrapText="1"/>
      <protection locked="0"/>
    </xf>
    <xf numFmtId="184" fontId="106" fillId="0" borderId="26" xfId="0" applyNumberFormat="1" applyFont="1" applyFill="1" applyBorder="1" applyAlignment="1" applyProtection="1">
      <alignment horizontal="center" vertical="center" wrapText="1"/>
      <protection locked="0"/>
    </xf>
    <xf numFmtId="0" fontId="106" fillId="6" borderId="67" xfId="0" applyNumberFormat="1" applyFont="1" applyFill="1" applyBorder="1" applyAlignment="1" applyProtection="1">
      <alignment horizontal="center" vertical="center" wrapText="1"/>
    </xf>
    <xf numFmtId="177" fontId="148" fillId="3" borderId="3" xfId="0" applyNumberFormat="1" applyFont="1" applyFill="1" applyBorder="1" applyAlignment="1" applyProtection="1">
      <alignment vertical="center"/>
      <protection locked="0"/>
    </xf>
    <xf numFmtId="197" fontId="56" fillId="3" borderId="0" xfId="0" applyNumberFormat="1" applyFont="1" applyFill="1" applyAlignment="1" applyProtection="1">
      <alignment horizontal="center" vertical="center"/>
      <protection locked="0"/>
    </xf>
    <xf numFmtId="1" fontId="56" fillId="3" borderId="0" xfId="0" applyNumberFormat="1" applyFont="1" applyFill="1" applyAlignment="1" applyProtection="1">
      <alignment horizontal="center" vertical="center"/>
      <protection locked="0"/>
    </xf>
    <xf numFmtId="0" fontId="106" fillId="0" borderId="23" xfId="0" applyNumberFormat="1" applyFont="1" applyFill="1" applyBorder="1" applyAlignment="1" applyProtection="1">
      <alignment horizontal="center" vertical="center" wrapText="1"/>
      <protection locked="0"/>
    </xf>
    <xf numFmtId="0" fontId="99" fillId="0" borderId="0" xfId="0" applyFont="1">
      <alignment vertical="center"/>
    </xf>
    <xf numFmtId="0" fontId="101" fillId="0" borderId="0" xfId="0" applyFont="1">
      <alignment vertical="center"/>
    </xf>
    <xf numFmtId="0" fontId="0" fillId="5" borderId="0" xfId="0" applyFill="1" applyAlignment="1"/>
    <xf numFmtId="0" fontId="56" fillId="5" borderId="0" xfId="0" applyFont="1" applyFill="1" applyAlignment="1"/>
    <xf numFmtId="0" fontId="106" fillId="11" borderId="67" xfId="0" applyNumberFormat="1" applyFont="1" applyFill="1" applyBorder="1" applyAlignment="1" applyProtection="1">
      <alignment horizontal="center" vertical="center" wrapText="1"/>
    </xf>
    <xf numFmtId="0" fontId="0" fillId="17" borderId="0" xfId="0"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2"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9.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294381</xdr:colOff>
      <xdr:row>39</xdr:row>
      <xdr:rowOff>18212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52381" cy="6704762"/>
        </a:xfrm>
        <a:prstGeom prst="rect">
          <a:avLst/>
        </a:prstGeom>
      </xdr:spPr>
    </xdr:pic>
    <xdr:clientData/>
  </xdr:twoCellAnchor>
  <xdr:twoCellAnchor editAs="oneCell">
    <xdr:from>
      <xdr:col>0</xdr:col>
      <xdr:colOff>0</xdr:colOff>
      <xdr:row>39</xdr:row>
      <xdr:rowOff>0</xdr:rowOff>
    </xdr:from>
    <xdr:to>
      <xdr:col>9</xdr:col>
      <xdr:colOff>542086</xdr:colOff>
      <xdr:row>69</xdr:row>
      <xdr:rowOff>170786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6714286" cy="5314286"/>
        </a:xfrm>
        <a:prstGeom prst="rect">
          <a:avLst/>
        </a:prstGeom>
      </xdr:spPr>
    </xdr:pic>
    <xdr:clientData/>
  </xdr:twoCellAnchor>
  <xdr:twoCellAnchor editAs="oneCell">
    <xdr:from>
      <xdr:col>11</xdr:col>
      <xdr:colOff>0</xdr:colOff>
      <xdr:row>0</xdr:row>
      <xdr:rowOff>0</xdr:rowOff>
    </xdr:from>
    <xdr:to>
      <xdr:col>20</xdr:col>
      <xdr:colOff>361134</xdr:colOff>
      <xdr:row>42</xdr:row>
      <xdr:rowOff>46720</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0"/>
          <a:ext cx="6533334" cy="72476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218020</xdr:colOff>
      <xdr:row>29</xdr:row>
      <xdr:rowOff>8903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47620" cy="4980953"/>
        </a:xfrm>
        <a:prstGeom prst="rect">
          <a:avLst/>
        </a:prstGeom>
      </xdr:spPr>
    </xdr:pic>
    <xdr:clientData/>
  </xdr:twoCellAnchor>
  <xdr:twoCellAnchor editAs="oneCell">
    <xdr:from>
      <xdr:col>0</xdr:col>
      <xdr:colOff>0</xdr:colOff>
      <xdr:row>29</xdr:row>
      <xdr:rowOff>0</xdr:rowOff>
    </xdr:from>
    <xdr:to>
      <xdr:col>13</xdr:col>
      <xdr:colOff>294124</xdr:colOff>
      <xdr:row>53</xdr:row>
      <xdr:rowOff>151867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209524" cy="4266667"/>
        </a:xfrm>
        <a:prstGeom prst="rect">
          <a:avLst/>
        </a:prstGeom>
      </xdr:spPr>
    </xdr:pic>
    <xdr:clientData/>
  </xdr:twoCellAnchor>
  <xdr:twoCellAnchor editAs="oneCell">
    <xdr:from>
      <xdr:col>0</xdr:col>
      <xdr:colOff>0</xdr:colOff>
      <xdr:row>54</xdr:row>
      <xdr:rowOff>0</xdr:rowOff>
    </xdr:from>
    <xdr:to>
      <xdr:col>13</xdr:col>
      <xdr:colOff>189363</xdr:colOff>
      <xdr:row>84</xdr:row>
      <xdr:rowOff>94596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258300"/>
          <a:ext cx="9104763" cy="52380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456115</xdr:colOff>
      <xdr:row>24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85715" cy="4190476"/>
        </a:xfrm>
        <a:prstGeom prst="rect">
          <a:avLst/>
        </a:prstGeom>
      </xdr:spPr>
    </xdr:pic>
    <xdr:clientData/>
  </xdr:twoCellAnchor>
  <xdr:twoCellAnchor editAs="oneCell">
    <xdr:from>
      <xdr:col>0</xdr:col>
      <xdr:colOff>0</xdr:colOff>
      <xdr:row>25</xdr:row>
      <xdr:rowOff>0</xdr:rowOff>
    </xdr:from>
    <xdr:to>
      <xdr:col>13</xdr:col>
      <xdr:colOff>94124</xdr:colOff>
      <xdr:row>51</xdr:row>
      <xdr:rowOff>66110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9009524" cy="4523810"/>
        </a:xfrm>
        <a:prstGeom prst="rect">
          <a:avLst/>
        </a:prstGeom>
      </xdr:spPr>
    </xdr:pic>
    <xdr:clientData/>
  </xdr:twoCellAnchor>
  <xdr:twoCellAnchor editAs="oneCell">
    <xdr:from>
      <xdr:col>0</xdr:col>
      <xdr:colOff>0</xdr:colOff>
      <xdr:row>52</xdr:row>
      <xdr:rowOff>0</xdr:rowOff>
    </xdr:from>
    <xdr:to>
      <xdr:col>14</xdr:col>
      <xdr:colOff>255944</xdr:colOff>
      <xdr:row>86</xdr:row>
      <xdr:rowOff>75462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9857144" cy="5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18</xdr:row>
      <xdr:rowOff>85725</xdr:rowOff>
    </xdr:from>
    <xdr:to>
      <xdr:col>14</xdr:col>
      <xdr:colOff>627389</xdr:colOff>
      <xdr:row>53</xdr:row>
      <xdr:rowOff>65928</xdr:rowOff>
    </xdr:to>
    <xdr:pic>
      <xdr:nvPicPr>
        <xdr:cNvPr id="2" name="图片 1"/>
        <xdr:cNvPicPr>
          <a:picLocks noChangeAspect="1"/>
        </xdr:cNvPicPr>
      </xdr:nvPicPr>
      <xdr:blipFill>
        <a:blip xmlns:r="http://schemas.openxmlformats.org/officeDocument/2006/relationships" r:embed="rId1"/>
        <a:stretch>
          <a:fillRect/>
        </a:stretch>
      </xdr:blipFill>
      <xdr:spPr>
        <a:xfrm>
          <a:off x="133350" y="3171825"/>
          <a:ext cx="10095239" cy="5980953"/>
        </a:xfrm>
        <a:prstGeom prst="rect">
          <a:avLst/>
        </a:prstGeom>
      </xdr:spPr>
    </xdr:pic>
    <xdr:clientData/>
  </xdr:twoCellAnchor>
  <xdr:twoCellAnchor editAs="oneCell">
    <xdr:from>
      <xdr:col>0</xdr:col>
      <xdr:colOff>0</xdr:colOff>
      <xdr:row>0</xdr:row>
      <xdr:rowOff>0</xdr:rowOff>
    </xdr:from>
    <xdr:to>
      <xdr:col>13</xdr:col>
      <xdr:colOff>160791</xdr:colOff>
      <xdr:row>21</xdr:row>
      <xdr:rowOff>28122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9076191" cy="3628572"/>
        </a:xfrm>
        <a:prstGeom prst="rect">
          <a:avLst/>
        </a:prstGeom>
      </xdr:spPr>
    </xdr:pic>
    <xdr:clientData/>
  </xdr:twoCellAnchor>
  <xdr:twoCellAnchor editAs="oneCell">
    <xdr:from>
      <xdr:col>0</xdr:col>
      <xdr:colOff>0</xdr:colOff>
      <xdr:row>53</xdr:row>
      <xdr:rowOff>0</xdr:rowOff>
    </xdr:from>
    <xdr:to>
      <xdr:col>14</xdr:col>
      <xdr:colOff>141658</xdr:colOff>
      <xdr:row>85</xdr:row>
      <xdr:rowOff>8838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9742858" cy="54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38100</xdr:rowOff>
    </xdr:from>
    <xdr:to>
      <xdr:col>11</xdr:col>
      <xdr:colOff>322867</xdr:colOff>
      <xdr:row>34</xdr:row>
      <xdr:rowOff>18731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95650"/>
          <a:ext cx="7866667" cy="2552381"/>
        </a:xfrm>
        <a:prstGeom prst="rect">
          <a:avLst/>
        </a:prstGeom>
      </xdr:spPr>
    </xdr:pic>
    <xdr:clientData/>
  </xdr:twoCellAnchor>
  <xdr:twoCellAnchor editAs="oneCell">
    <xdr:from>
      <xdr:col>0</xdr:col>
      <xdr:colOff>0</xdr:colOff>
      <xdr:row>0</xdr:row>
      <xdr:rowOff>0</xdr:rowOff>
    </xdr:from>
    <xdr:to>
      <xdr:col>12</xdr:col>
      <xdr:colOff>75162</xdr:colOff>
      <xdr:row>18</xdr:row>
      <xdr:rowOff>47234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8304762" cy="3133334"/>
        </a:xfrm>
        <a:prstGeom prst="rect">
          <a:avLst/>
        </a:prstGeom>
      </xdr:spPr>
    </xdr:pic>
    <xdr:clientData/>
  </xdr:twoCellAnchor>
  <xdr:twoCellAnchor editAs="oneCell">
    <xdr:from>
      <xdr:col>0</xdr:col>
      <xdr:colOff>0</xdr:colOff>
      <xdr:row>35</xdr:row>
      <xdr:rowOff>0</xdr:rowOff>
    </xdr:from>
    <xdr:to>
      <xdr:col>14</xdr:col>
      <xdr:colOff>398801</xdr:colOff>
      <xdr:row>37</xdr:row>
      <xdr:rowOff>28529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00750"/>
          <a:ext cx="10000001" cy="371429"/>
        </a:xfrm>
        <a:prstGeom prst="rect">
          <a:avLst/>
        </a:prstGeom>
      </xdr:spPr>
    </xdr:pic>
    <xdr:clientData/>
  </xdr:twoCellAnchor>
  <xdr:twoCellAnchor editAs="oneCell">
    <xdr:from>
      <xdr:col>0</xdr:col>
      <xdr:colOff>0</xdr:colOff>
      <xdr:row>38</xdr:row>
      <xdr:rowOff>0</xdr:rowOff>
    </xdr:from>
    <xdr:to>
      <xdr:col>14</xdr:col>
      <xdr:colOff>236896</xdr:colOff>
      <xdr:row>40</xdr:row>
      <xdr:rowOff>85671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515100"/>
          <a:ext cx="9838096" cy="428571"/>
        </a:xfrm>
        <a:prstGeom prst="rect">
          <a:avLst/>
        </a:prstGeom>
      </xdr:spPr>
    </xdr:pic>
    <xdr:clientData/>
  </xdr:twoCellAnchor>
  <xdr:twoCellAnchor editAs="oneCell">
    <xdr:from>
      <xdr:col>0</xdr:col>
      <xdr:colOff>0</xdr:colOff>
      <xdr:row>40</xdr:row>
      <xdr:rowOff>19050</xdr:rowOff>
    </xdr:from>
    <xdr:to>
      <xdr:col>13</xdr:col>
      <xdr:colOff>627458</xdr:colOff>
      <xdr:row>47</xdr:row>
      <xdr:rowOff>142710</xdr:rowOff>
    </xdr:to>
    <xdr:pic>
      <xdr:nvPicPr>
        <xdr:cNvPr id="8" name="图片 7"/>
        <xdr:cNvPicPr>
          <a:picLocks noChangeAspect="1"/>
        </xdr:cNvPicPr>
      </xdr:nvPicPr>
      <xdr:blipFill>
        <a:blip xmlns:r="http://schemas.openxmlformats.org/officeDocument/2006/relationships" r:embed="rId5"/>
        <a:stretch>
          <a:fillRect/>
        </a:stretch>
      </xdr:blipFill>
      <xdr:spPr>
        <a:xfrm>
          <a:off x="0" y="6877050"/>
          <a:ext cx="9542858" cy="1323810"/>
        </a:xfrm>
        <a:prstGeom prst="rect">
          <a:avLst/>
        </a:prstGeom>
      </xdr:spPr>
    </xdr:pic>
    <xdr:clientData/>
  </xdr:twoCellAnchor>
  <xdr:twoCellAnchor editAs="oneCell">
    <xdr:from>
      <xdr:col>0</xdr:col>
      <xdr:colOff>0</xdr:colOff>
      <xdr:row>48</xdr:row>
      <xdr:rowOff>85725</xdr:rowOff>
    </xdr:from>
    <xdr:to>
      <xdr:col>13</xdr:col>
      <xdr:colOff>436982</xdr:colOff>
      <xdr:row>73</xdr:row>
      <xdr:rowOff>8999</xdr:rowOff>
    </xdr:to>
    <xdr:pic>
      <xdr:nvPicPr>
        <xdr:cNvPr id="9" name="图片 8"/>
        <xdr:cNvPicPr>
          <a:picLocks noChangeAspect="1"/>
        </xdr:cNvPicPr>
      </xdr:nvPicPr>
      <xdr:blipFill>
        <a:blip xmlns:r="http://schemas.openxmlformats.org/officeDocument/2006/relationships" r:embed="rId6"/>
        <a:stretch>
          <a:fillRect/>
        </a:stretch>
      </xdr:blipFill>
      <xdr:spPr>
        <a:xfrm>
          <a:off x="0" y="8315325"/>
          <a:ext cx="9352382" cy="42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436982</xdr:colOff>
      <xdr:row>17</xdr:row>
      <xdr:rowOff>171064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52382" cy="3085714"/>
        </a:xfrm>
        <a:prstGeom prst="rect">
          <a:avLst/>
        </a:prstGeom>
      </xdr:spPr>
    </xdr:pic>
    <xdr:clientData/>
  </xdr:twoCellAnchor>
  <xdr:twoCellAnchor editAs="oneCell">
    <xdr:from>
      <xdr:col>0</xdr:col>
      <xdr:colOff>0</xdr:colOff>
      <xdr:row>18</xdr:row>
      <xdr:rowOff>0</xdr:rowOff>
    </xdr:from>
    <xdr:to>
      <xdr:col>13</xdr:col>
      <xdr:colOff>570315</xdr:colOff>
      <xdr:row>28</xdr:row>
      <xdr:rowOff>95024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9485715" cy="1809524"/>
        </a:xfrm>
        <a:prstGeom prst="rect">
          <a:avLst/>
        </a:prstGeom>
      </xdr:spPr>
    </xdr:pic>
    <xdr:clientData/>
  </xdr:twoCellAnchor>
  <xdr:twoCellAnchor editAs="oneCell">
    <xdr:from>
      <xdr:col>0</xdr:col>
      <xdr:colOff>0</xdr:colOff>
      <xdr:row>29</xdr:row>
      <xdr:rowOff>0</xdr:rowOff>
    </xdr:from>
    <xdr:to>
      <xdr:col>13</xdr:col>
      <xdr:colOff>532220</xdr:colOff>
      <xdr:row>49</xdr:row>
      <xdr:rowOff>66238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9447620" cy="34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94210</xdr:colOff>
      <xdr:row>16</xdr:row>
      <xdr:rowOff>123467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23810" cy="2866667"/>
        </a:xfrm>
        <a:prstGeom prst="rect">
          <a:avLst/>
        </a:prstGeom>
      </xdr:spPr>
    </xdr:pic>
    <xdr:clientData/>
  </xdr:twoCellAnchor>
  <xdr:twoCellAnchor editAs="oneCell">
    <xdr:from>
      <xdr:col>0</xdr:col>
      <xdr:colOff>0</xdr:colOff>
      <xdr:row>17</xdr:row>
      <xdr:rowOff>0</xdr:rowOff>
    </xdr:from>
    <xdr:to>
      <xdr:col>13</xdr:col>
      <xdr:colOff>475077</xdr:colOff>
      <xdr:row>31</xdr:row>
      <xdr:rowOff>85414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9390477" cy="2485714"/>
        </a:xfrm>
        <a:prstGeom prst="rect">
          <a:avLst/>
        </a:prstGeom>
      </xdr:spPr>
    </xdr:pic>
    <xdr:clientData/>
  </xdr:twoCellAnchor>
  <xdr:twoCellAnchor editAs="oneCell">
    <xdr:from>
      <xdr:col>0</xdr:col>
      <xdr:colOff>0</xdr:colOff>
      <xdr:row>32</xdr:row>
      <xdr:rowOff>0</xdr:rowOff>
    </xdr:from>
    <xdr:to>
      <xdr:col>13</xdr:col>
      <xdr:colOff>513172</xdr:colOff>
      <xdr:row>47</xdr:row>
      <xdr:rowOff>142536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9428572" cy="2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160705</xdr:colOff>
      <xdr:row>12</xdr:row>
      <xdr:rowOff>104505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61905" cy="2161905"/>
        </a:xfrm>
        <a:prstGeom prst="rect">
          <a:avLst/>
        </a:prstGeom>
      </xdr:spPr>
    </xdr:pic>
    <xdr:clientData/>
  </xdr:twoCellAnchor>
  <xdr:twoCellAnchor editAs="oneCell">
    <xdr:from>
      <xdr:col>0</xdr:col>
      <xdr:colOff>0</xdr:colOff>
      <xdr:row>13</xdr:row>
      <xdr:rowOff>0</xdr:rowOff>
    </xdr:from>
    <xdr:to>
      <xdr:col>13</xdr:col>
      <xdr:colOff>541744</xdr:colOff>
      <xdr:row>40</xdr:row>
      <xdr:rowOff>104184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9457144" cy="4733334"/>
        </a:xfrm>
        <a:prstGeom prst="rect">
          <a:avLst/>
        </a:prstGeom>
      </xdr:spPr>
    </xdr:pic>
    <xdr:clientData/>
  </xdr:twoCellAnchor>
  <xdr:twoCellAnchor editAs="oneCell">
    <xdr:from>
      <xdr:col>0</xdr:col>
      <xdr:colOff>0</xdr:colOff>
      <xdr:row>41</xdr:row>
      <xdr:rowOff>0</xdr:rowOff>
    </xdr:from>
    <xdr:to>
      <xdr:col>13</xdr:col>
      <xdr:colOff>341743</xdr:colOff>
      <xdr:row>66</xdr:row>
      <xdr:rowOff>151846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9257143" cy="44380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332220</xdr:colOff>
      <xdr:row>18</xdr:row>
      <xdr:rowOff>142472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47620" cy="3228572"/>
        </a:xfrm>
        <a:prstGeom prst="rect">
          <a:avLst/>
        </a:prstGeom>
      </xdr:spPr>
    </xdr:pic>
    <xdr:clientData/>
  </xdr:twoCellAnchor>
  <xdr:twoCellAnchor editAs="oneCell">
    <xdr:from>
      <xdr:col>0</xdr:col>
      <xdr:colOff>0</xdr:colOff>
      <xdr:row>19</xdr:row>
      <xdr:rowOff>0</xdr:rowOff>
    </xdr:from>
    <xdr:to>
      <xdr:col>13</xdr:col>
      <xdr:colOff>475077</xdr:colOff>
      <xdr:row>42</xdr:row>
      <xdr:rowOff>47126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9390477" cy="39904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380010</xdr:colOff>
      <xdr:row>11</xdr:row>
      <xdr:rowOff>152145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23810" cy="2038095"/>
        </a:xfrm>
        <a:prstGeom prst="rect">
          <a:avLst/>
        </a:prstGeom>
      </xdr:spPr>
    </xdr:pic>
    <xdr:clientData/>
  </xdr:twoCellAnchor>
  <xdr:twoCellAnchor editAs="oneCell">
    <xdr:from>
      <xdr:col>0</xdr:col>
      <xdr:colOff>0</xdr:colOff>
      <xdr:row>12</xdr:row>
      <xdr:rowOff>0</xdr:rowOff>
    </xdr:from>
    <xdr:to>
      <xdr:col>13</xdr:col>
      <xdr:colOff>379839</xdr:colOff>
      <xdr:row>33</xdr:row>
      <xdr:rowOff>66217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57400"/>
          <a:ext cx="9295239" cy="3666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25</xdr:row>
      <xdr:rowOff>94703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9" cy="4380953"/>
        </a:xfrm>
        <a:prstGeom prst="rect">
          <a:avLst/>
        </a:prstGeom>
      </xdr:spPr>
    </xdr:pic>
    <xdr:clientData/>
  </xdr:twoCellAnchor>
  <xdr:twoCellAnchor editAs="oneCell">
    <xdr:from>
      <xdr:col>0</xdr:col>
      <xdr:colOff>0</xdr:colOff>
      <xdr:row>26</xdr:row>
      <xdr:rowOff>0</xdr:rowOff>
    </xdr:from>
    <xdr:to>
      <xdr:col>13</xdr:col>
      <xdr:colOff>513172</xdr:colOff>
      <xdr:row>44</xdr:row>
      <xdr:rowOff>75805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9428572" cy="3161905"/>
        </a:xfrm>
        <a:prstGeom prst="rect">
          <a:avLst/>
        </a:prstGeom>
      </xdr:spPr>
    </xdr:pic>
    <xdr:clientData/>
  </xdr:twoCellAnchor>
  <xdr:twoCellAnchor editAs="oneCell">
    <xdr:from>
      <xdr:col>0</xdr:col>
      <xdr:colOff>0</xdr:colOff>
      <xdr:row>45</xdr:row>
      <xdr:rowOff>0</xdr:rowOff>
    </xdr:from>
    <xdr:to>
      <xdr:col>12</xdr:col>
      <xdr:colOff>427543</xdr:colOff>
      <xdr:row>57</xdr:row>
      <xdr:rowOff>47362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8657143" cy="21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北京市通州区潞河镇（武夷花园东区）限价住宅及地下车库用房房地产市场价值房地产市场价值预评估</v>
      </c>
    </row>
    <row r="3" spans="1:2" s="1596" customFormat="1">
      <c r="A3" s="1594" t="s">
        <v>1221</v>
      </c>
      <c r="B3" s="1595" t="str">
        <f>'预评函-封皮'!B40</f>
        <v>北京市保障性住房建设投资中心</v>
      </c>
    </row>
    <row r="4" spans="1:2" s="1596" customFormat="1">
      <c r="A4" s="1594" t="s">
        <v>1222</v>
      </c>
      <c r="B4" s="1595" t="str">
        <f ca="1">'预评函-封皮'!B46</f>
        <v>吴薇（注册号：1419970001)、崔锴（注册号：1120100036)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受贵公司委托，我公司对北京市通州区潞河镇（武夷花园东区）限价住宅及地下车库用房房地产市场价值房地产市场价值进行了预评估。</v>
      </c>
    </row>
    <row r="7" spans="1:2" s="1596" customFormat="1">
      <c r="A7" s="1594" t="s">
        <v>1264</v>
      </c>
      <c r="B7" s="1595" t="str">
        <f>'预评函-1'!A7</f>
        <v>估价对象为北京市通州区潞河镇（武夷花园东区）限价住宅及地下车库用房房地产市场价值房地产，为北京武夷房地产开发有限公司所有。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建筑面积为107692.8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通州区潞河镇（武夷花园东区）限价住宅及地下车库用房房地产市场价值房地产,属北京武夷房地产开发有限公司开发建设的居住项目，该项目尚在开发建设中。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规划建筑面积为107692.8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2012年12月30日（评估专业人员实地查勘之日）</v>
      </c>
    </row>
    <row r="13" spans="1:2" s="1596" customFormat="1">
      <c r="A13" s="1594" t="s">
        <v>1227</v>
      </c>
      <c r="B13" s="1595" t="str">
        <f>'预评函-1'!A18</f>
        <v>本次估价的“房地产价值”是指在正常市场情况下，在价值时点2012年12月30日，估价对象规划用途为住宅、地下车库、地下仓储，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本次评估采用的主估价方法为成本法和比较法。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52980</v>
      </c>
    </row>
    <row r="21" spans="1:2" s="1596" customFormat="1">
      <c r="A21" s="1594" t="s">
        <v>1235</v>
      </c>
      <c r="B21" s="1595">
        <f ca="1">'预评函-2'!D7</f>
        <v>7914</v>
      </c>
    </row>
    <row r="22" spans="1:2" s="1596" customFormat="1">
      <c r="A22" s="1594" t="s">
        <v>1236</v>
      </c>
      <c r="B22" s="1595" t="str">
        <f ca="1">'预评函-2'!D6</f>
        <v>伍亿贰仟玖佰捌拾万元整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52980</v>
      </c>
    </row>
    <row r="31" spans="1:2" s="1596" customFormat="1">
      <c r="A31" s="1594" t="s">
        <v>1274</v>
      </c>
      <c r="B31" s="1595">
        <f ca="1">'预评函-2'!D15</f>
        <v>4920</v>
      </c>
    </row>
    <row r="32" spans="1:2" s="1596" customFormat="1">
      <c r="A32" s="1594" t="s">
        <v>1241</v>
      </c>
      <c r="B32" s="1595" t="str">
        <f ca="1">'预评函-2'!D14</f>
        <v>伍亿贰仟玖佰捌拾万元整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北京市通州区潞河镇（武夷花园东区）限价住宅及地下车库用房房地产市场价值房地产</v>
      </c>
    </row>
    <row r="42" spans="1:2" s="1596" customFormat="1">
      <c r="A42" s="1594" t="s">
        <v>1288</v>
      </c>
      <c r="B42" s="1595" t="str">
        <f>'预评函-3'!B2</f>
        <v>建筑面积</v>
      </c>
    </row>
    <row r="43" spans="1:2" s="1596" customFormat="1">
      <c r="A43" s="1594" t="s">
        <v>1289</v>
      </c>
      <c r="B43" s="1595">
        <f>'预评函-3'!B4</f>
        <v>107692.8</v>
      </c>
    </row>
    <row r="44" spans="1:2" s="1596" customFormat="1">
      <c r="A44" s="1594" t="s">
        <v>1273</v>
      </c>
      <c r="B44" s="1595" t="str">
        <f>'预评函-3'!C2</f>
        <v>(分摊)土地面积</v>
      </c>
    </row>
    <row r="45" spans="1:2" s="1596" customFormat="1">
      <c r="A45" s="1594" t="s">
        <v>1245</v>
      </c>
      <c r="B45" s="1595">
        <f>'预评函-3'!C4</f>
        <v>24664.240000000002</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4" sqref="Y1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武夷房地产开发有限公司拟使用北京市通州区潞河镇（武夷花园东区）限价住宅及地下车库用房房地产市场价值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2012年12月30日，估价对象规划用途为住宅、地下车库、地下仓储土地取得方式为出让，出让国有建设用地使用权剩余土地使用年限为XX年(多用途剩余年限尾数不同时，可只体现小数点后一位)，假定未设立法定优先受偿款下的房地产市场价值。</v>
      </c>
    </row>
    <row r="54" spans="1:4">
      <c r="A54" s="3016"/>
      <c r="B54" s="2025" t="s">
        <v>864</v>
      </c>
      <c r="C54" s="2022" t="s">
        <v>1281</v>
      </c>
    </row>
    <row r="55" spans="1:4">
      <c r="A55" s="3016"/>
      <c r="B55" s="2025" t="s">
        <v>865</v>
      </c>
      <c r="C55" s="2022" t="s">
        <v>1282</v>
      </c>
    </row>
    <row r="56" spans="1:4">
      <c r="A56" s="3016"/>
      <c r="B56" s="2025" t="s">
        <v>866</v>
      </c>
      <c r="C56" s="2022" t="s">
        <v>1286</v>
      </c>
    </row>
    <row r="57" spans="1:4">
      <c r="A57" s="301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35" customWidth="1"/>
    <col min="2" max="2" width="13.5" style="2035" customWidth="1"/>
    <col min="3" max="3" width="11.5" style="2035" customWidth="1"/>
    <col min="4" max="4" width="13.75" style="2035" customWidth="1"/>
    <col min="5"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25" t="str">
        <f>IF(B10="北京市","北京市",C10)&amp;F10&amp;IF(结果表!G1="在建","出让国有建设用地使用权及在建建筑物",IF(结果表!G1="土地","出让国有建设用地使用权",))&amp;B9&amp;"预评估"</f>
        <v>北京市通州区潞河镇（武夷花园东区）限价住宅及地下车库用房房地产市场价值房地产市场价值预评估</v>
      </c>
      <c r="C1" s="3026"/>
      <c r="D1" s="3026"/>
      <c r="E1" s="3026"/>
      <c r="F1" s="3026"/>
      <c r="G1" s="3026"/>
      <c r="H1" s="3026"/>
      <c r="I1" s="302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北京市通州区潞河镇（武夷花园东区）限价住宅及地下车库用房房地产市场价值房地产市场价值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北京市通州区潞河镇（武夷花园东区）限价住宅及地下车库用房房地产市场价值房地产</v>
      </c>
    </row>
    <row r="3" spans="1:19" ht="18" customHeight="1">
      <c r="A3" s="2038" t="s">
        <v>1778</v>
      </c>
      <c r="B3" s="2039">
        <v>41273</v>
      </c>
      <c r="C3" s="2040" t="s">
        <v>1779</v>
      </c>
      <c r="D3" s="2039">
        <f>B3</f>
        <v>41273</v>
      </c>
      <c r="E3" s="2029"/>
      <c r="F3" s="2029"/>
      <c r="G3" s="2029"/>
      <c r="H3" s="2029"/>
      <c r="I3" s="2029"/>
      <c r="J3" s="2029"/>
      <c r="K3" s="2030"/>
      <c r="L3" s="2031"/>
      <c r="M3" s="2031"/>
      <c r="N3" s="2032"/>
      <c r="O3" s="2033"/>
      <c r="P3" s="2032"/>
      <c r="Q3" s="2032"/>
      <c r="R3" s="2032"/>
      <c r="S3" s="2034"/>
    </row>
    <row r="4" spans="1:19" ht="18" customHeight="1" thickBot="1">
      <c r="A4" s="2041" t="s">
        <v>1780</v>
      </c>
      <c r="B4" s="2042" t="s">
        <v>3048</v>
      </c>
      <c r="C4" s="1040">
        <f ca="1">SUMIF(注册房地产估价师,B4,估价师及机构信息!B3:B24)</f>
        <v>1419970001</v>
      </c>
      <c r="D4" s="2042" t="s">
        <v>3049</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吴薇（注册号：1419970001)、崔锴（注册号：1120100036)</v>
      </c>
      <c r="L4" s="2031"/>
      <c r="M4" s="2031"/>
      <c r="N4" s="2032"/>
      <c r="O4" s="2033"/>
      <c r="P4" s="2032"/>
      <c r="Q4" s="2032"/>
      <c r="R4" s="2032"/>
      <c r="S4" s="2034"/>
    </row>
    <row r="5" spans="1:19" ht="18" customHeight="1" thickTop="1">
      <c r="A5" s="2047" t="s">
        <v>1781</v>
      </c>
      <c r="B5" s="2959" t="s">
        <v>3189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941" t="s">
        <v>3054</v>
      </c>
      <c r="C7" s="2052"/>
      <c r="D7" s="2053"/>
      <c r="E7" s="2037"/>
      <c r="F7" s="2045"/>
      <c r="G7" s="2045"/>
      <c r="H7" s="2045"/>
      <c r="I7" s="2045"/>
      <c r="J7" s="2045"/>
      <c r="K7" s="2055"/>
      <c r="L7" s="2031"/>
      <c r="M7" s="2031"/>
      <c r="N7" s="2032"/>
      <c r="O7" s="2033"/>
      <c r="P7" s="2032"/>
      <c r="Q7" s="2032"/>
      <c r="R7" s="2032"/>
    </row>
    <row r="8" spans="1:19" ht="18" customHeight="1">
      <c r="A8" s="2050" t="s">
        <v>1784</v>
      </c>
      <c r="B8" s="2056" t="s">
        <v>3055</v>
      </c>
      <c r="C8" s="2057"/>
      <c r="D8" s="3028" t="s">
        <v>1785</v>
      </c>
      <c r="E8" s="2058"/>
      <c r="F8" s="2059"/>
      <c r="G8" s="2029"/>
      <c r="H8" s="2029"/>
      <c r="I8" s="2029"/>
      <c r="J8" s="2045"/>
      <c r="K8" s="2046"/>
      <c r="L8" s="2031"/>
      <c r="M8" s="2031"/>
      <c r="N8" s="2032"/>
      <c r="O8" s="2033"/>
      <c r="P8" s="2032"/>
      <c r="Q8" s="2032"/>
      <c r="R8" s="2032"/>
    </row>
    <row r="9" spans="1:19" ht="18" customHeight="1" thickBot="1">
      <c r="A9" s="2043" t="s">
        <v>1786</v>
      </c>
      <c r="B9" s="2060" t="s">
        <v>3056</v>
      </c>
      <c r="C9" s="2061"/>
      <c r="D9" s="3029"/>
      <c r="E9" s="2060"/>
      <c r="F9" s="2062"/>
      <c r="G9" s="2063"/>
      <c r="H9" s="2063"/>
      <c r="I9" s="2063"/>
      <c r="J9" s="2045"/>
      <c r="K9" s="2055"/>
      <c r="L9" s="2031"/>
      <c r="M9" s="2031"/>
      <c r="N9" s="2032"/>
      <c r="O9" s="2033"/>
      <c r="P9" s="2032"/>
      <c r="Q9" s="2032"/>
      <c r="R9" s="2032"/>
    </row>
    <row r="10" spans="1:19" ht="18" customHeight="1" thickTop="1">
      <c r="A10" s="2064" t="s">
        <v>1787</v>
      </c>
      <c r="B10" s="2065" t="s">
        <v>3050</v>
      </c>
      <c r="C10" s="2066"/>
      <c r="D10" s="2049"/>
      <c r="E10" s="2067" t="s">
        <v>1788</v>
      </c>
      <c r="F10" s="2940" t="s">
        <v>3051</v>
      </c>
      <c r="G10" s="2068"/>
      <c r="H10" s="2069"/>
      <c r="I10" s="2049"/>
      <c r="J10" s="2045"/>
      <c r="K10" s="2055"/>
      <c r="L10" s="2031"/>
      <c r="M10" s="2031"/>
      <c r="N10" s="2032"/>
      <c r="O10" s="2033"/>
      <c r="P10" s="2032"/>
      <c r="Q10" s="2032"/>
      <c r="R10" s="2032"/>
    </row>
    <row r="11" spans="1:19" ht="18" customHeight="1">
      <c r="A11" s="2070" t="s">
        <v>1789</v>
      </c>
      <c r="B11" s="2071" t="s">
        <v>3053</v>
      </c>
      <c r="C11" s="2942" t="s">
        <v>3057</v>
      </c>
      <c r="D11" s="2072"/>
      <c r="E11" s="2045"/>
      <c r="F11" s="2045"/>
      <c r="G11" s="2045"/>
      <c r="H11" s="2045"/>
      <c r="I11" s="2045"/>
      <c r="J11" s="2045"/>
      <c r="K11" s="2055"/>
      <c r="L11" s="2031"/>
      <c r="M11" s="2031"/>
      <c r="N11" s="2032"/>
      <c r="O11" s="2033"/>
      <c r="P11" s="2032"/>
      <c r="Q11" s="2032"/>
      <c r="R11" s="2032"/>
    </row>
    <row r="12" spans="1:19" ht="18" customHeight="1">
      <c r="A12" s="2073" t="s">
        <v>1790</v>
      </c>
      <c r="B12" s="2071" t="s">
        <v>3052</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v>63198</v>
      </c>
      <c r="E13" s="2079"/>
      <c r="F13" s="2079"/>
      <c r="G13" s="2079">
        <v>55893</v>
      </c>
      <c r="H13" s="2079">
        <v>55893</v>
      </c>
      <c r="I13" s="1050"/>
      <c r="J13" s="2045"/>
      <c r="K13" s="2055"/>
      <c r="L13" s="2031"/>
      <c r="M13" s="2031"/>
      <c r="N13" s="2032"/>
      <c r="O13" s="2033"/>
      <c r="P13" s="2032"/>
      <c r="Q13" s="2032"/>
      <c r="R13" s="2032"/>
    </row>
    <row r="14" spans="1:19" ht="18" customHeight="1">
      <c r="A14" s="2076"/>
      <c r="B14" s="2077"/>
      <c r="C14" s="2078" t="s">
        <v>1799</v>
      </c>
      <c r="D14" s="1053">
        <v>70</v>
      </c>
      <c r="E14" s="1053"/>
      <c r="F14" s="1053"/>
      <c r="G14" s="1053">
        <v>50</v>
      </c>
      <c r="H14" s="1053">
        <v>50</v>
      </c>
      <c r="I14" s="1053"/>
      <c r="J14" s="2045"/>
      <c r="K14" s="2080"/>
      <c r="L14" s="2031"/>
      <c r="M14" s="2031"/>
      <c r="N14" s="2032"/>
      <c r="O14" s="2033"/>
      <c r="P14" s="2032"/>
      <c r="Q14" s="2032"/>
      <c r="R14" s="2032"/>
    </row>
    <row r="15" spans="1:19" ht="18" customHeight="1">
      <c r="A15" s="2064"/>
      <c r="B15" s="2081"/>
      <c r="C15" s="2078" t="s">
        <v>1800</v>
      </c>
      <c r="D15" s="1052">
        <f>IF(B12="出让",IF(D13="","",ROUNDDOWN(MIN((D13-$D$3)/365,D14),2)),D14)</f>
        <v>60.06</v>
      </c>
      <c r="E15" s="1052" t="str">
        <f>IF(B12="出让",IF(E13="","",ROUNDDOWN(MIN((E13-$D$3)/365,E14),2)),E14)</f>
        <v/>
      </c>
      <c r="F15" s="1052" t="str">
        <f>IF(B12="出让",IF(F13="","",ROUNDDOWN(MIN((F13-$D$3)/365,F14),2)),F14)</f>
        <v/>
      </c>
      <c r="G15" s="1052">
        <f>IF(B12="出让",IF(G13="","",ROUNDDOWN(MIN((G13-$D$3)/365,G14),2)),G14)</f>
        <v>40.049999999999997</v>
      </c>
      <c r="H15" s="1052">
        <f>IF(B12="出让",IF(H13="","",ROUNDDOWN(MIN((H13-$D$3)/365,H14),2)),H14)</f>
        <v>40.049999999999997</v>
      </c>
      <c r="I15" s="1052" t="str">
        <f>IF(B12="出让",IF(I13="","",ROUNDDOWN(MIN((I13-$D$3)/365,I14),2)),I14)</f>
        <v/>
      </c>
      <c r="J15" s="2045"/>
      <c r="K15" s="2082"/>
      <c r="L15" s="2083"/>
      <c r="M15" s="2083"/>
      <c r="N15" s="2084"/>
      <c r="O15" s="2083"/>
      <c r="P15" s="2084"/>
      <c r="Q15" s="2032"/>
      <c r="R15" s="2032"/>
    </row>
    <row r="16" spans="1:19" ht="30.75" customHeight="1">
      <c r="A16" s="2067" t="s">
        <v>1801</v>
      </c>
      <c r="B16" s="3035" t="s">
        <v>3059</v>
      </c>
      <c r="C16" s="3036"/>
      <c r="D16" s="3037"/>
      <c r="E16" s="2085" t="s">
        <v>1802</v>
      </c>
      <c r="F16" s="3038"/>
      <c r="G16" s="3039"/>
      <c r="H16" s="3039"/>
      <c r="I16" s="3040"/>
      <c r="J16" s="2032"/>
      <c r="K16" s="2082"/>
      <c r="L16" s="2083"/>
      <c r="M16" s="2083"/>
      <c r="N16" s="2084"/>
      <c r="O16" s="2083"/>
      <c r="P16" s="2084"/>
      <c r="Q16" s="2032"/>
      <c r="R16" s="2032"/>
    </row>
    <row r="17" spans="1:22" ht="18" customHeight="1">
      <c r="A17" s="2086" t="s">
        <v>1803</v>
      </c>
      <c r="B17" s="2038" t="s">
        <v>1804</v>
      </c>
      <c r="C17" s="1057">
        <f>'数据-汇总表'!E3</f>
        <v>107692.8</v>
      </c>
      <c r="D17" s="2087" t="s">
        <v>1805</v>
      </c>
      <c r="E17" s="3041" t="s">
        <v>3060</v>
      </c>
      <c r="F17" s="3042"/>
      <c r="G17" s="3042"/>
      <c r="H17" s="3042"/>
      <c r="I17" s="3043"/>
      <c r="J17" s="2032"/>
      <c r="K17" s="2088"/>
      <c r="L17" s="2083"/>
      <c r="M17" s="2083"/>
      <c r="N17" s="2084"/>
      <c r="O17" s="2083"/>
      <c r="P17" s="2084"/>
      <c r="Q17" s="2032"/>
      <c r="R17" s="2032"/>
      <c r="S17" s="2032"/>
      <c r="T17" s="2032"/>
      <c r="U17" s="2032"/>
      <c r="V17" s="2032"/>
    </row>
    <row r="18" spans="1:22" ht="36" customHeight="1" thickBot="1">
      <c r="A18" s="2089" t="s">
        <v>1806</v>
      </c>
      <c r="B18" s="2041" t="s">
        <v>1807</v>
      </c>
      <c r="C18" s="1447">
        <f>'数据-汇总表'!D3</f>
        <v>24664.240000000002</v>
      </c>
      <c r="D18" s="2090" t="s">
        <v>1805</v>
      </c>
      <c r="E18" s="3044" t="s">
        <v>3061</v>
      </c>
      <c r="F18" s="3045"/>
      <c r="G18" s="3045"/>
      <c r="H18" s="3045"/>
      <c r="I18" s="3046"/>
      <c r="J18" s="2032"/>
      <c r="K18" s="2088"/>
      <c r="L18" s="2083"/>
      <c r="M18" s="2083"/>
      <c r="N18" s="2084"/>
      <c r="O18" s="2083"/>
      <c r="P18" s="2084"/>
      <c r="Q18" s="2032"/>
      <c r="R18" s="2032"/>
      <c r="S18" s="2032"/>
      <c r="T18" s="2032"/>
      <c r="U18" s="2032"/>
      <c r="V18" s="2032"/>
    </row>
    <row r="19" spans="1:22" ht="37.5" customHeight="1" thickTop="1" thickBot="1">
      <c r="A19" s="373" t="s">
        <v>1808</v>
      </c>
      <c r="B19" s="352" t="s">
        <v>1809</v>
      </c>
      <c r="C19" s="2091"/>
      <c r="D19" s="2092" t="s">
        <v>1810</v>
      </c>
      <c r="E19" s="2093"/>
      <c r="F19" s="2094" t="str">
        <f>IF(AND(C19="是",E19="否"),"是否提供他项权证或相关说明","")</f>
        <v/>
      </c>
      <c r="G19" s="2095"/>
      <c r="H19" s="2045"/>
      <c r="I19" s="2045"/>
      <c r="J19" s="2045"/>
      <c r="K19" s="2055"/>
      <c r="L19" s="2031"/>
      <c r="M19" s="2031"/>
      <c r="N19" s="2084"/>
      <c r="O19" s="2083"/>
      <c r="P19" s="2084"/>
      <c r="Q19" s="2032"/>
      <c r="R19" s="2032"/>
      <c r="S19" s="2032"/>
      <c r="T19" s="2032"/>
      <c r="U19" s="2032"/>
      <c r="V19" s="2032"/>
    </row>
    <row r="20" spans="1:22" ht="18" customHeight="1">
      <c r="A20" s="2096" t="s">
        <v>1811</v>
      </c>
      <c r="B20" s="3031" t="s">
        <v>1812</v>
      </c>
      <c r="C20" s="3032"/>
      <c r="D20" s="3033" t="s">
        <v>1813</v>
      </c>
      <c r="E20" s="3034"/>
      <c r="F20" s="2097" t="s">
        <v>1814</v>
      </c>
      <c r="G20" s="2045"/>
      <c r="H20" s="2045"/>
      <c r="I20" s="2045"/>
      <c r="J20" s="2045"/>
      <c r="K20" s="3030"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1816</v>
      </c>
      <c r="C21" s="2099" t="s">
        <v>3062</v>
      </c>
      <c r="D21" s="2100" t="s">
        <v>1818</v>
      </c>
      <c r="E21" s="2101" t="s">
        <v>1817</v>
      </c>
      <c r="F21" s="2102"/>
      <c r="G21" s="2045"/>
      <c r="H21" s="2045"/>
      <c r="I21" s="2045"/>
      <c r="J21" s="2045"/>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1819</v>
      </c>
      <c r="C22" s="2099" t="s">
        <v>1820</v>
      </c>
      <c r="D22" s="2029"/>
      <c r="E22" s="2029"/>
      <c r="F22" s="2104"/>
      <c r="G22" s="2045"/>
      <c r="H22" s="2045"/>
      <c r="I22" s="2045"/>
      <c r="J22" s="2045"/>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1821</v>
      </c>
      <c r="B23" s="183" t="s">
        <v>1822</v>
      </c>
      <c r="C23" s="2106"/>
      <c r="D23" s="2107" t="s">
        <v>1822</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1823</v>
      </c>
      <c r="C24" s="2111"/>
      <c r="D24" s="2105" t="s">
        <v>1823</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1824</v>
      </c>
      <c r="C25" s="2111"/>
      <c r="D25" s="2105" t="s">
        <v>1824</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1825</v>
      </c>
      <c r="C26" s="2115"/>
      <c r="D26" s="2116" t="s">
        <v>1826</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018" t="s">
        <v>1827</v>
      </c>
      <c r="B27" s="2064" t="s">
        <v>1828</v>
      </c>
      <c r="C27" s="2119" t="s">
        <v>3063</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18"/>
      <c r="B28" s="2038" t="s">
        <v>1829</v>
      </c>
      <c r="C28" s="2121" t="s">
        <v>3064</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18"/>
      <c r="B29" s="2038" t="s">
        <v>1830</v>
      </c>
      <c r="C29" s="2124" t="s">
        <v>3065</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19"/>
      <c r="B30" s="2038" t="s">
        <v>1831</v>
      </c>
      <c r="C30" s="3020"/>
      <c r="D30" s="3021"/>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22" t="s">
        <v>1832</v>
      </c>
      <c r="B31" s="2126" t="s">
        <v>3073</v>
      </c>
      <c r="C31" s="2127" t="str">
        <f>IF(B31="现房","成新及维护状况正常否",IF(B31="在建","工程状态是否正常",IF(B31="土地","是否闲置","-")))</f>
        <v>工程状态是否正常</v>
      </c>
      <c r="D31" s="2128"/>
      <c r="E31" s="2129"/>
      <c r="F31" s="2045"/>
      <c r="G31" s="2045"/>
      <c r="H31" s="2045"/>
      <c r="I31" s="2045"/>
      <c r="J31" s="2045"/>
      <c r="K31" s="2054"/>
      <c r="L31" s="2031"/>
      <c r="M31" s="2031"/>
      <c r="N31" s="2032"/>
      <c r="O31" s="2033"/>
      <c r="P31" s="2032"/>
      <c r="Q31" s="2032"/>
      <c r="R31" s="2032"/>
      <c r="S31" s="2032"/>
      <c r="T31" s="2032"/>
      <c r="U31" s="2032"/>
      <c r="V31" s="2032"/>
    </row>
    <row r="32" spans="1:22" ht="18" customHeight="1">
      <c r="A32" s="3023"/>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23"/>
      <c r="B33" s="2130"/>
      <c r="C33" s="2070"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1833</v>
      </c>
      <c r="B34" s="2133" t="s">
        <v>3066</v>
      </c>
      <c r="C34" s="2133" t="s">
        <v>3067</v>
      </c>
      <c r="D34" s="2133" t="s">
        <v>3068</v>
      </c>
      <c r="E34" s="2133" t="s">
        <v>3069</v>
      </c>
      <c r="F34" s="2133" t="s">
        <v>3070</v>
      </c>
      <c r="G34" s="2133" t="s">
        <v>3071</v>
      </c>
      <c r="H34" s="2133" t="s">
        <v>3072</v>
      </c>
      <c r="I34" s="2045"/>
      <c r="J34" s="2045"/>
      <c r="K34" s="1798">
        <f>COUNTIF(B34:H34,"——")</f>
        <v>0</v>
      </c>
      <c r="L34" s="2074" t="s">
        <v>1834</v>
      </c>
      <c r="M34" s="2074" t="s">
        <v>1835</v>
      </c>
      <c r="N34" s="2074" t="s">
        <v>1836</v>
      </c>
      <c r="O34" s="2074" t="s">
        <v>1837</v>
      </c>
      <c r="P34" s="2074" t="s">
        <v>1838</v>
      </c>
      <c r="Q34" s="2074" t="s">
        <v>1839</v>
      </c>
      <c r="R34" s="2074" t="s">
        <v>1840</v>
      </c>
      <c r="S34" s="3017" t="s">
        <v>1841</v>
      </c>
      <c r="T34" s="2134" t="str">
        <f>NUMBERSTRING(7-K34,1)&amp;"通"</f>
        <v>七通</v>
      </c>
      <c r="U34" s="2032"/>
      <c r="V34" s="2032"/>
    </row>
    <row r="35" spans="1:22" ht="18" customHeight="1">
      <c r="A35" s="2135"/>
      <c r="B35" s="3024" t="s">
        <v>1842</v>
      </c>
      <c r="C35" s="3024"/>
      <c r="D35" s="3024"/>
      <c r="E35" s="3024"/>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7"/>
      <c r="T35" s="48" t="str">
        <f>IF(T34="一通",L35,IF(T34="二通",M35,IF(T34="三通",N35,IF(T34="四通",O35,IF(T34="五通",P35,IF(T34="六通",Q35,R35))))))</f>
        <v>通路、通电、通讯、通上水、通下水、通热、燃气</v>
      </c>
      <c r="U35" s="2032"/>
      <c r="V35" s="2032"/>
    </row>
    <row r="36" spans="1:22" ht="18" customHeight="1">
      <c r="A36" s="2137"/>
      <c r="B36" s="2136" t="s">
        <v>1843</v>
      </c>
      <c r="C36" s="2136" t="s">
        <v>1844</v>
      </c>
      <c r="D36" s="2136" t="s">
        <v>1845</v>
      </c>
      <c r="E36" s="2136" t="s">
        <v>1846</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1847</v>
      </c>
      <c r="B37" s="2140"/>
      <c r="C37" s="2140"/>
      <c r="D37" s="2140" t="s">
        <v>56</v>
      </c>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1848</v>
      </c>
      <c r="B38" s="2142"/>
      <c r="C38" s="2142"/>
      <c r="D38" s="2142" t="s">
        <v>438</v>
      </c>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1850</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1851</v>
      </c>
      <c r="B42" s="1798" t="s">
        <v>1852</v>
      </c>
      <c r="C42" s="1798" t="s">
        <v>1853</v>
      </c>
      <c r="D42" s="1798" t="s">
        <v>1854</v>
      </c>
      <c r="E42" s="1798" t="s">
        <v>1855</v>
      </c>
      <c r="F42" s="1798" t="s">
        <v>1856</v>
      </c>
      <c r="G42" s="1798" t="s">
        <v>1857</v>
      </c>
      <c r="H42" s="1798" t="s">
        <v>1858</v>
      </c>
      <c r="I42" s="1798" t="s">
        <v>1859</v>
      </c>
      <c r="J42" s="2152" t="s">
        <v>1860</v>
      </c>
      <c r="K42" s="2075" t="s">
        <v>1861</v>
      </c>
      <c r="L42" s="2075" t="s">
        <v>1862</v>
      </c>
      <c r="M42" s="2075" t="s">
        <v>1863</v>
      </c>
      <c r="N42" s="1798" t="s">
        <v>1864</v>
      </c>
      <c r="O42" s="1798" t="s">
        <v>1865</v>
      </c>
      <c r="P42" s="1798" t="s">
        <v>1866</v>
      </c>
      <c r="Q42" s="2074" t="s">
        <v>1867</v>
      </c>
      <c r="R42" s="2074" t="s">
        <v>1868</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0" sqref="C30"/>
    </sheetView>
  </sheetViews>
  <sheetFormatPr defaultColWidth="8.875" defaultRowHeight="14.25"/>
  <cols>
    <col min="1" max="1" width="10.625" style="2159" customWidth="1"/>
    <col min="2" max="2" width="11" style="2159" customWidth="1"/>
    <col min="3" max="3" width="16.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46270.8</v>
      </c>
      <c r="B3" s="14">
        <f>IF(C3="否",G5-AT5,G5)</f>
        <v>202034.69999999998</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6"/>
      <c r="C5" s="1806"/>
      <c r="D5" s="1809"/>
      <c r="E5" s="16" t="s">
        <v>1</v>
      </c>
      <c r="F5" s="16">
        <f>SUM(F13:F587)</f>
        <v>0</v>
      </c>
      <c r="G5" s="16">
        <f>SUM(G13:G587)</f>
        <v>202034.69999999998</v>
      </c>
      <c r="H5" s="16">
        <f t="shared" ref="H5:AT5" si="0">SUM(H13:H656)</f>
        <v>164878.09999999998</v>
      </c>
      <c r="I5" s="16">
        <f t="shared" si="0"/>
        <v>124131.4</v>
      </c>
      <c r="J5" s="16">
        <f t="shared" si="0"/>
        <v>0</v>
      </c>
      <c r="K5" s="16">
        <f t="shared" si="0"/>
        <v>29858.400000000001</v>
      </c>
      <c r="L5" s="16">
        <f t="shared" si="0"/>
        <v>0</v>
      </c>
      <c r="M5" s="16">
        <f t="shared" si="0"/>
        <v>10888.3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37156.6</v>
      </c>
      <c r="AD5" s="16">
        <f t="shared" si="0"/>
        <v>4713.2</v>
      </c>
      <c r="AE5" s="16">
        <f t="shared" si="0"/>
        <v>0</v>
      </c>
      <c r="AF5" s="16">
        <f t="shared" si="0"/>
        <v>0</v>
      </c>
      <c r="AG5" s="16">
        <f t="shared" si="0"/>
        <v>0</v>
      </c>
      <c r="AH5" s="16">
        <f t="shared" si="0"/>
        <v>0</v>
      </c>
      <c r="AI5" s="16">
        <f t="shared" si="0"/>
        <v>0</v>
      </c>
      <c r="AJ5" s="16">
        <f t="shared" si="0"/>
        <v>0</v>
      </c>
      <c r="AK5" s="16">
        <f t="shared" si="0"/>
        <v>0</v>
      </c>
      <c r="AL5" s="16">
        <f t="shared" si="0"/>
        <v>652</v>
      </c>
      <c r="AM5" s="16">
        <f t="shared" si="0"/>
        <v>0</v>
      </c>
      <c r="AN5" s="16">
        <f t="shared" si="0"/>
        <v>10792.4</v>
      </c>
      <c r="AO5" s="16">
        <f t="shared" si="0"/>
        <v>0</v>
      </c>
      <c r="AP5" s="16">
        <f t="shared" si="0"/>
        <v>0</v>
      </c>
      <c r="AQ5" s="16">
        <f t="shared" si="0"/>
        <v>0</v>
      </c>
      <c r="AR5" s="16">
        <f t="shared" si="0"/>
        <v>20999</v>
      </c>
      <c r="AS5" s="16">
        <f t="shared" si="0"/>
        <v>0</v>
      </c>
      <c r="AT5" s="16">
        <f t="shared" si="0"/>
        <v>0</v>
      </c>
      <c r="AU5" s="1805"/>
      <c r="AV5" s="15" t="s">
        <v>1878</v>
      </c>
      <c r="AW5" s="1806"/>
      <c r="AX5" s="1806"/>
      <c r="AY5" s="17" t="s">
        <v>3</v>
      </c>
      <c r="AZ5" s="18">
        <f t="shared" ref="AZ5:BT5" si="1">SUM(AZ13:AZ656)</f>
        <v>107692.8</v>
      </c>
      <c r="BA5" s="18">
        <f t="shared" si="1"/>
        <v>107692.8</v>
      </c>
      <c r="BB5" s="18">
        <f t="shared" si="1"/>
        <v>66946.100000000006</v>
      </c>
      <c r="BC5" s="18">
        <f t="shared" si="1"/>
        <v>29858.400000000001</v>
      </c>
      <c r="BD5" s="18">
        <f t="shared" si="1"/>
        <v>10888.3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1879</v>
      </c>
      <c r="B6" s="2174"/>
      <c r="C6" s="2174"/>
      <c r="D6" s="2175"/>
      <c r="E6" s="16">
        <f>H6+AC6+AT6</f>
        <v>46270.8</v>
      </c>
      <c r="F6" s="16" t="s">
        <v>1</v>
      </c>
      <c r="G6" s="16" t="s">
        <v>2</v>
      </c>
      <c r="H6" s="20">
        <f>SUMIF(I$12:AB$12,"总值",I6:AB6)</f>
        <v>37761.040000000001</v>
      </c>
      <c r="I6" s="16">
        <f t="shared" ref="I6:AB6" si="2">ROUND($A$3*I5/$B$3,2)</f>
        <v>28429.07</v>
      </c>
      <c r="J6" s="16">
        <f t="shared" si="2"/>
        <v>0</v>
      </c>
      <c r="K6" s="16">
        <f t="shared" si="2"/>
        <v>6838.29</v>
      </c>
      <c r="L6" s="16">
        <f t="shared" si="2"/>
        <v>0</v>
      </c>
      <c r="M6" s="16">
        <f t="shared" si="2"/>
        <v>2493.6799999999998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8509.7599999999984</v>
      </c>
      <c r="AD6" s="16">
        <f t="shared" ref="AD6:AS6" si="3">ROUND($A$3*AD5/$B$3,2)</f>
        <v>1079.44</v>
      </c>
      <c r="AE6" s="16">
        <f t="shared" si="3"/>
        <v>0</v>
      </c>
      <c r="AF6" s="16">
        <f t="shared" si="3"/>
        <v>0</v>
      </c>
      <c r="AG6" s="16">
        <f t="shared" si="3"/>
        <v>0</v>
      </c>
      <c r="AH6" s="16">
        <f t="shared" si="3"/>
        <v>0</v>
      </c>
      <c r="AI6" s="16">
        <f t="shared" si="3"/>
        <v>0</v>
      </c>
      <c r="AJ6" s="16">
        <f t="shared" si="3"/>
        <v>0</v>
      </c>
      <c r="AK6" s="16">
        <f t="shared" si="3"/>
        <v>0</v>
      </c>
      <c r="AL6" s="16">
        <f t="shared" si="3"/>
        <v>149.32</v>
      </c>
      <c r="AM6" s="16">
        <f t="shared" si="3"/>
        <v>0</v>
      </c>
      <c r="AN6" s="16">
        <f t="shared" si="3"/>
        <v>2471.7199999999998</v>
      </c>
      <c r="AO6" s="16">
        <f t="shared" si="3"/>
        <v>0</v>
      </c>
      <c r="AP6" s="16">
        <f t="shared" si="3"/>
        <v>0</v>
      </c>
      <c r="AQ6" s="16">
        <f t="shared" si="3"/>
        <v>0</v>
      </c>
      <c r="AR6" s="16">
        <f t="shared" si="3"/>
        <v>4809.28</v>
      </c>
      <c r="AS6" s="16">
        <f t="shared" si="3"/>
        <v>0</v>
      </c>
      <c r="AT6" s="20">
        <f>IF(C3="是",ROUND($A$3*AT5/$B$3,2),0)</f>
        <v>0</v>
      </c>
      <c r="AU6" s="2176"/>
      <c r="AV6" s="15" t="s">
        <v>1879</v>
      </c>
      <c r="AW6" s="2174"/>
      <c r="AX6" s="2174"/>
      <c r="AY6" s="21">
        <f>IF(AY3&gt;0,AY3,ROUND($A$3*AZ5/$B$3,2))</f>
        <v>24664.240000000002</v>
      </c>
      <c r="AZ6" s="16" t="s">
        <v>3</v>
      </c>
      <c r="BA6" s="16">
        <f>ROUND($AY$6*BA5/$AZ$5,2)</f>
        <v>24664.240000000002</v>
      </c>
      <c r="BB6" s="16">
        <f>ROUND($AY$6*BB5/$AZ$5,2)</f>
        <v>15332.27</v>
      </c>
      <c r="BC6" s="16">
        <f t="shared" ref="BC6:BH6" si="4">ROUND($AY$6*BC5/$AZ$5,2)</f>
        <v>6838.29</v>
      </c>
      <c r="BD6" s="16">
        <f t="shared" si="4"/>
        <v>2493.6799999999998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1887</v>
      </c>
      <c r="AV7" s="23" t="s">
        <v>1888</v>
      </c>
      <c r="AW7" s="2166" t="s">
        <v>1889</v>
      </c>
      <c r="AX7" s="23" t="s">
        <v>1882</v>
      </c>
      <c r="AY7" s="1806"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1"/>
      <c r="K8" s="1821"/>
      <c r="L8" s="1821"/>
      <c r="M8" s="1821"/>
      <c r="N8" s="1821"/>
      <c r="O8" s="1821"/>
      <c r="P8" s="1821"/>
      <c r="Q8" s="1821"/>
      <c r="R8" s="1821"/>
      <c r="S8" s="1821"/>
      <c r="T8" s="1821"/>
      <c r="U8" s="1821"/>
      <c r="V8" s="2186"/>
      <c r="W8" s="1821"/>
      <c r="X8" s="1821"/>
      <c r="Y8" s="1821"/>
      <c r="Z8" s="1821"/>
      <c r="AA8" s="2186"/>
      <c r="AB8" s="2187"/>
      <c r="AC8" s="984" t="s">
        <v>1893</v>
      </c>
      <c r="AD8" s="2188"/>
      <c r="AE8" s="2180"/>
      <c r="AF8" s="1821"/>
      <c r="AG8" s="1821"/>
      <c r="AH8" s="1821"/>
      <c r="AI8" s="1821"/>
      <c r="AJ8" s="1821"/>
      <c r="AK8" s="1821"/>
      <c r="AL8" s="1821"/>
      <c r="AM8" s="1821"/>
      <c r="AN8" s="1821"/>
      <c r="AO8" s="1821"/>
      <c r="AP8" s="1821"/>
      <c r="AQ8" s="1821"/>
      <c r="AR8" s="1821"/>
      <c r="AS8" s="1821"/>
      <c r="AT8" s="1295" t="s">
        <v>1894</v>
      </c>
      <c r="AU8" s="2182" t="s">
        <v>1895</v>
      </c>
      <c r="AV8" s="1295"/>
      <c r="AW8" s="2165"/>
      <c r="AX8" s="1295"/>
      <c r="AY8" s="2166"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1898</v>
      </c>
      <c r="I9" s="2191" t="s">
        <v>3086</v>
      </c>
      <c r="J9" s="984"/>
      <c r="K9" s="2191" t="s">
        <v>3088</v>
      </c>
      <c r="L9" s="984"/>
      <c r="M9" s="2191" t="s">
        <v>3088</v>
      </c>
      <c r="N9" s="984"/>
      <c r="O9" s="2191"/>
      <c r="P9" s="984"/>
      <c r="Q9" s="2191"/>
      <c r="R9" s="984"/>
      <c r="S9" s="2191"/>
      <c r="T9" s="984"/>
      <c r="U9" s="2191"/>
      <c r="V9" s="984"/>
      <c r="W9" s="2191"/>
      <c r="X9" s="2192"/>
      <c r="Y9" s="2191"/>
      <c r="Z9" s="984"/>
      <c r="AA9" s="2191"/>
      <c r="AB9" s="984"/>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1"/>
      <c r="BN9" s="2185"/>
      <c r="BO9" s="1821"/>
      <c r="BP9" s="1821"/>
      <c r="BQ9" s="1821"/>
      <c r="BR9" s="1821"/>
      <c r="BS9" s="1821"/>
      <c r="BT9" s="26"/>
    </row>
    <row r="10" spans="1:72" s="2189" customFormat="1" ht="12.75">
      <c r="A10" s="2182"/>
      <c r="B10" s="2182"/>
      <c r="C10" s="2182"/>
      <c r="D10" s="2182"/>
      <c r="E10" s="2182"/>
      <c r="F10" s="2182"/>
      <c r="G10" s="1295"/>
      <c r="H10" s="28"/>
      <c r="I10" s="2191" t="s">
        <v>3058</v>
      </c>
      <c r="J10" s="984"/>
      <c r="K10" s="2197" t="s">
        <v>3089</v>
      </c>
      <c r="L10" s="984"/>
      <c r="M10" s="2197" t="s">
        <v>3090</v>
      </c>
      <c r="N10" s="984"/>
      <c r="O10" s="2197"/>
      <c r="P10" s="984"/>
      <c r="Q10" s="2197"/>
      <c r="R10" s="984"/>
      <c r="S10" s="2197"/>
      <c r="T10" s="984"/>
      <c r="U10" s="2197"/>
      <c r="V10" s="984"/>
      <c r="W10" s="2197"/>
      <c r="X10" s="984"/>
      <c r="Y10" s="2197"/>
      <c r="Z10" s="984"/>
      <c r="AA10" s="2197"/>
      <c r="AB10" s="984"/>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3087</v>
      </c>
      <c r="J11" s="2203"/>
      <c r="K11" s="2202" t="s">
        <v>3089</v>
      </c>
      <c r="L11" s="2203"/>
      <c r="M11" s="2202" t="s">
        <v>3091</v>
      </c>
      <c r="N11" s="2203"/>
      <c r="O11" s="2202"/>
      <c r="P11" s="2203"/>
      <c r="Q11" s="2202"/>
      <c r="R11" s="2203"/>
      <c r="S11" s="2202"/>
      <c r="T11" s="2203"/>
      <c r="U11" s="2202"/>
      <c r="V11" s="2203"/>
      <c r="W11" s="2202"/>
      <c r="X11" s="2203"/>
      <c r="Y11" s="2202"/>
      <c r="Z11" s="2203"/>
      <c r="AA11" s="2202"/>
      <c r="AB11" s="2203"/>
      <c r="AC11" s="1295"/>
      <c r="AD11" s="2204" t="s">
        <v>1908</v>
      </c>
      <c r="AE11" s="1822"/>
      <c r="AF11" s="2204" t="s">
        <v>1908</v>
      </c>
      <c r="AG11" s="1822"/>
      <c r="AH11" s="2204" t="s">
        <v>1909</v>
      </c>
      <c r="AI11" s="2205"/>
      <c r="AJ11" s="2204" t="s">
        <v>1909</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t="str">
        <f>K10</f>
        <v>车库</v>
      </c>
      <c r="BD11" s="2187" t="str">
        <f>M10</f>
        <v>仓储</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09"/>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平层住宅</v>
      </c>
      <c r="BC12" s="2212" t="str">
        <f>K11</f>
        <v>车库</v>
      </c>
      <c r="BD12" s="2212" t="str">
        <f>M11</f>
        <v>戊类库房</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4.25" customHeight="1">
      <c r="A13" s="1275"/>
      <c r="B13" s="1275"/>
      <c r="C13" s="2943" t="s">
        <v>3079</v>
      </c>
      <c r="D13" s="2213" t="s">
        <v>3084</v>
      </c>
      <c r="E13" s="16">
        <f>IF($C$3="是",ROUND($A$3*G13/$B$3,2),ROUND($A$3*(G13-AT13)/$B$3,2))</f>
        <v>15332.27</v>
      </c>
      <c r="F13" s="32"/>
      <c r="G13" s="33">
        <f>H13+AC13+AT13</f>
        <v>66946.100000000006</v>
      </c>
      <c r="H13" s="20">
        <f>SUMIF(I$12:AB$12,"总值",I13:AB13)</f>
        <v>66946.100000000006</v>
      </c>
      <c r="I13" s="2214">
        <v>66946.100000000006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两限房</v>
      </c>
      <c r="AY13" s="1809">
        <f>ROUND($AY$6*AZ13/$AZ$5,2)</f>
        <v>15332.27</v>
      </c>
      <c r="AZ13" s="16">
        <f>BA13+BL13</f>
        <v>66946.100000000006</v>
      </c>
      <c r="BA13" s="16">
        <f>SUM(BB13:BK13)</f>
        <v>66946.100000000006</v>
      </c>
      <c r="BB13" s="16">
        <f>IF($D13="是",I13-J13,0)</f>
        <v>66946.100000000006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4.25" customHeight="1">
      <c r="A14" s="1275"/>
      <c r="B14" s="1275"/>
      <c r="C14" s="2943" t="s">
        <v>3075</v>
      </c>
      <c r="D14" s="2213" t="s">
        <v>3085</v>
      </c>
      <c r="E14" s="16">
        <f>IF($C$3="是",ROUND($A$3*G14/$B$3,2),ROUND($A$3*(G14-AT14)/$B$3,2))</f>
        <v>1079.44</v>
      </c>
      <c r="F14" s="32"/>
      <c r="G14" s="33">
        <f>H14+AC14+AT14</f>
        <v>4713.2</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4713.2</v>
      </c>
      <c r="AD14" s="2215">
        <v>4713.2</v>
      </c>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配套公建</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4.25" customHeight="1">
      <c r="A15" s="1275"/>
      <c r="B15" s="1275"/>
      <c r="C15" s="2943" t="s">
        <v>3076</v>
      </c>
      <c r="D15" s="2213" t="s">
        <v>3085</v>
      </c>
      <c r="E15" s="16">
        <f>IF($C$3="是",ROUND($A$3*G15/$B$3,2),ROUND($A$3*(G15-AT15)/$B$3,2))</f>
        <v>149.32</v>
      </c>
      <c r="F15" s="32"/>
      <c r="G15" s="33">
        <f>H15+AC15+AT15</f>
        <v>652</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652</v>
      </c>
      <c r="AD15" s="2215"/>
      <c r="AE15" s="2215"/>
      <c r="AF15" s="2215"/>
      <c r="AG15" s="2215"/>
      <c r="AH15" s="2215"/>
      <c r="AI15" s="2215"/>
      <c r="AJ15" s="2215"/>
      <c r="AK15" s="2215"/>
      <c r="AL15" s="2215">
        <v>652</v>
      </c>
      <c r="AM15" s="2215"/>
      <c r="AN15" s="2215"/>
      <c r="AO15" s="2215"/>
      <c r="AP15" s="2215"/>
      <c r="AQ15" s="2215"/>
      <c r="AR15" s="2215"/>
      <c r="AS15" s="2215"/>
      <c r="AT15" s="2216"/>
      <c r="AU15" s="2217"/>
      <c r="AV15" s="11">
        <f t="shared" si="6"/>
        <v>0</v>
      </c>
      <c r="AW15" s="11">
        <f t="shared" si="6"/>
        <v>0</v>
      </c>
      <c r="AX15" s="11" t="str">
        <f t="shared" si="6"/>
        <v>人防车库入口</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4.25" customHeight="1">
      <c r="A16" s="1275"/>
      <c r="B16" s="1275"/>
      <c r="C16" s="2943" t="s">
        <v>3077</v>
      </c>
      <c r="D16" s="2213" t="s">
        <v>3084</v>
      </c>
      <c r="E16" s="16">
        <f>IF($C$3="是",ROUND($A$3*G16/$B$3,2),ROUND($A$3*(G16-AT16)/$B$3,2))</f>
        <v>6838.29</v>
      </c>
      <c r="F16" s="32"/>
      <c r="G16" s="33">
        <f>H16+AC16+AT16</f>
        <v>29858.400000000001</v>
      </c>
      <c r="H16" s="20">
        <f>SUMIF(I$12:AB$12,"总值",I16:AB16)</f>
        <v>29858.400000000001</v>
      </c>
      <c r="I16" s="2214"/>
      <c r="J16" s="2214"/>
      <c r="K16" s="2214">
        <f>50857.4-AR18</f>
        <v>29858.400000000001</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地下车库</v>
      </c>
      <c r="AY16" s="1809">
        <f>ROUND($AY$6*AZ16/$AZ$5,2)</f>
        <v>6838.29</v>
      </c>
      <c r="AZ16" s="16">
        <f>BA16+BL16</f>
        <v>29858.400000000001</v>
      </c>
      <c r="BA16" s="16">
        <f>SUM(BB16:BK16)</f>
        <v>29858.400000000001</v>
      </c>
      <c r="BB16" s="16">
        <f>IF($D16="是",I16-J16,0)</f>
        <v>0</v>
      </c>
      <c r="BC16" s="16">
        <f>IF($D16="是",K16-L16,0)</f>
        <v>29858.400000000001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4.25" customHeight="1">
      <c r="A17" s="1275"/>
      <c r="B17" s="1275"/>
      <c r="C17" s="2943" t="s">
        <v>3078</v>
      </c>
      <c r="D17" s="2213" t="s">
        <v>3084</v>
      </c>
      <c r="E17" s="16">
        <f>IF($C$3="是",ROUND($A$3*G17/$B$3,2),ROUND($A$3*(G17-AT17)/$B$3,2))</f>
        <v>2493.6799999999998</v>
      </c>
      <c r="F17" s="32"/>
      <c r="G17" s="33">
        <f>H17+AC17+AT17</f>
        <v>10888.3</v>
      </c>
      <c r="H17" s="20">
        <f>SUMIF(I$12:AB$12,"总值",I17:AB17)</f>
        <v>10888.3</v>
      </c>
      <c r="I17" s="2214"/>
      <c r="J17" s="2214"/>
      <c r="K17" s="2214"/>
      <c r="L17" s="2214"/>
      <c r="M17" s="2214">
        <v>10888.3</v>
      </c>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地下仓储</v>
      </c>
      <c r="AY17" s="1809">
        <f>ROUND($AY$6*AZ17/$AZ$5,2)</f>
        <v>2493.6799999999998</v>
      </c>
      <c r="AZ17" s="16">
        <f>BA17+BL17</f>
        <v>10888.3</v>
      </c>
      <c r="BA17" s="16">
        <f>SUM(BB17:BK17)</f>
        <v>10888.3</v>
      </c>
      <c r="BB17" s="16">
        <f>IF($D17="是",I17-J17,0)</f>
        <v>0</v>
      </c>
      <c r="BC17" s="16">
        <f>IF($D17="是",K17-L17,0)</f>
        <v>0</v>
      </c>
      <c r="BD17" s="16">
        <f>IF($D17="是",M17-N17,0)</f>
        <v>10888.3</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25" customHeight="1">
      <c r="A18" s="9"/>
      <c r="B18" s="34"/>
      <c r="C18" s="2943" t="s">
        <v>3080</v>
      </c>
      <c r="D18" s="2213" t="s">
        <v>3085</v>
      </c>
      <c r="E18" s="35">
        <f t="shared" ref="E18:E112" si="7">IF($C$3="是",ROUND($A$3*G18/$B$3,2),ROUND($A$3*(G18-AT18)/$B$3,2))</f>
        <v>4809.28</v>
      </c>
      <c r="F18" s="36"/>
      <c r="G18" s="37">
        <f t="shared" ref="G18:G109" si="8">H18+AC18+AT18</f>
        <v>20999</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20999</v>
      </c>
      <c r="AD18" s="40"/>
      <c r="AE18" s="40"/>
      <c r="AF18" s="40"/>
      <c r="AG18" s="40"/>
      <c r="AH18" s="40"/>
      <c r="AI18" s="40"/>
      <c r="AJ18" s="40"/>
      <c r="AK18" s="40"/>
      <c r="AL18" s="2215"/>
      <c r="AM18" s="40"/>
      <c r="AN18" s="40"/>
      <c r="AO18" s="40"/>
      <c r="AP18" s="40"/>
      <c r="AQ18" s="40"/>
      <c r="AR18" s="40">
        <v>20999</v>
      </c>
      <c r="AS18" s="40"/>
      <c r="AT18" s="41"/>
      <c r="AU18" s="2219"/>
      <c r="AV18" s="1798">
        <f t="shared" ref="AV18:AV112" si="11">A18</f>
        <v>0</v>
      </c>
      <c r="AW18" s="1798">
        <f t="shared" ref="AW18:AW112" si="12">B18</f>
        <v>0</v>
      </c>
      <c r="AX18" s="1798" t="str">
        <f t="shared" ref="AX18:AX112" si="13">C18</f>
        <v>人防车库</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25" customHeight="1">
      <c r="A19" s="9"/>
      <c r="B19" s="34"/>
      <c r="C19" s="2943" t="s">
        <v>3081</v>
      </c>
      <c r="D19" s="2213" t="s">
        <v>3085</v>
      </c>
      <c r="E19" s="35">
        <f t="shared" si="7"/>
        <v>1855.09</v>
      </c>
      <c r="F19" s="36"/>
      <c r="G19" s="37">
        <f t="shared" si="8"/>
        <v>8100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8100</v>
      </c>
      <c r="AD19" s="40"/>
      <c r="AE19" s="40"/>
      <c r="AF19" s="40"/>
      <c r="AG19" s="40"/>
      <c r="AH19" s="40"/>
      <c r="AI19" s="40"/>
      <c r="AJ19" s="40"/>
      <c r="AK19" s="40"/>
      <c r="AL19" s="2215"/>
      <c r="AM19" s="40"/>
      <c r="AN19" s="40">
        <v>8100</v>
      </c>
      <c r="AO19" s="40"/>
      <c r="AP19" s="40"/>
      <c r="AQ19" s="40"/>
      <c r="AR19" s="40"/>
      <c r="AS19" s="40"/>
      <c r="AT19" s="41"/>
      <c r="AU19" s="2219"/>
      <c r="AV19" s="1798">
        <f t="shared" si="11"/>
        <v>0</v>
      </c>
      <c r="AW19" s="1798">
        <f t="shared" si="12"/>
        <v>0</v>
      </c>
      <c r="AX19" s="1798" t="str">
        <f t="shared" si="13"/>
        <v>自行车库及机电用房</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25" customHeight="1">
      <c r="A20" s="9"/>
      <c r="B20" s="34"/>
      <c r="C20" s="2943" t="s">
        <v>3082</v>
      </c>
      <c r="D20" s="2213" t="s">
        <v>3085</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t="str">
        <f t="shared" si="13"/>
        <v>非人防建筑面积</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25" customHeight="1">
      <c r="A21" s="9"/>
      <c r="B21" s="34"/>
      <c r="C21" s="2943" t="s">
        <v>3083</v>
      </c>
      <c r="D21" s="2213" t="s">
        <v>3085</v>
      </c>
      <c r="E21" s="35">
        <f t="shared" si="7"/>
        <v>616.62</v>
      </c>
      <c r="F21" s="36"/>
      <c r="G21" s="37">
        <f t="shared" si="8"/>
        <v>2692.4</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2692.4</v>
      </c>
      <c r="AD21" s="40"/>
      <c r="AE21" s="40"/>
      <c r="AF21" s="40"/>
      <c r="AG21" s="40"/>
      <c r="AH21" s="40"/>
      <c r="AI21" s="40"/>
      <c r="AJ21" s="40"/>
      <c r="AK21" s="40"/>
      <c r="AL21" s="40"/>
      <c r="AM21" s="40"/>
      <c r="AN21" s="40">
        <v>2692.4</v>
      </c>
      <c r="AO21" s="40"/>
      <c r="AP21" s="40"/>
      <c r="AQ21" s="40"/>
      <c r="AR21" s="40"/>
      <c r="AS21" s="40"/>
      <c r="AT21" s="41"/>
      <c r="AU21" s="2219"/>
      <c r="AV21" s="1798">
        <f t="shared" si="11"/>
        <v>0</v>
      </c>
      <c r="AW21" s="1798">
        <f t="shared" si="12"/>
        <v>0</v>
      </c>
      <c r="AX21" s="1798" t="str">
        <f t="shared" si="13"/>
        <v>其他</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43" t="s">
        <v>3092</v>
      </c>
      <c r="D22" s="2213" t="s">
        <v>3085</v>
      </c>
      <c r="E22" s="35">
        <f t="shared" si="7"/>
        <v>13096.81</v>
      </c>
      <c r="F22" s="36"/>
      <c r="G22" s="37">
        <f t="shared" si="8"/>
        <v>57185.299999999988</v>
      </c>
      <c r="H22" s="38">
        <f t="shared" si="9"/>
        <v>57185.299999999988</v>
      </c>
      <c r="I22" s="2214">
        <f>124131.4-I13</f>
        <v>57185.299999999988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t="str">
        <f t="shared" si="13"/>
        <v>普通住宅</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58" t="s">
        <v>1938</v>
      </c>
      <c r="B2" s="3058"/>
      <c r="C2" s="3058"/>
      <c r="D2" s="970" t="s">
        <v>1914</v>
      </c>
      <c r="E2" s="2227" t="s">
        <v>1915</v>
      </c>
      <c r="F2" s="1395"/>
      <c r="G2" s="2228"/>
      <c r="H2" s="2229"/>
      <c r="I2" s="2230" t="s">
        <v>1939</v>
      </c>
      <c r="J2" s="1395"/>
      <c r="K2" s="1395"/>
      <c r="L2" s="1395"/>
      <c r="M2" s="1395"/>
      <c r="N2" s="1430"/>
      <c r="O2" s="1395"/>
      <c r="P2" s="1395"/>
    </row>
    <row r="3" spans="1:16" ht="15.75" thickBot="1">
      <c r="A3" s="3059" t="s">
        <v>1912</v>
      </c>
      <c r="B3" s="3059"/>
      <c r="C3" s="3059"/>
      <c r="D3" s="46">
        <f>'数据-基础表'!AY6</f>
        <v>24664.240000000002</v>
      </c>
      <c r="E3" s="46">
        <f>'数据-基础表'!AZ5</f>
        <v>107692.8</v>
      </c>
      <c r="F3" s="1395"/>
      <c r="G3" s="1402"/>
      <c r="H3" s="1250" t="s">
        <v>1913</v>
      </c>
      <c r="I3" s="55">
        <f>ROUND('数据-基础表'!B3/'数据-基础表'!A3,2)</f>
        <v>4.37</v>
      </c>
      <c r="J3" s="1395"/>
      <c r="K3" s="1395"/>
      <c r="L3" s="1395"/>
      <c r="M3" s="1395"/>
      <c r="N3" s="1430"/>
      <c r="O3" s="1395"/>
      <c r="P3" s="1395"/>
    </row>
    <row r="4" spans="1:16" ht="15">
      <c r="A4" s="3060"/>
      <c r="B4" s="3061"/>
      <c r="C4" s="3062"/>
      <c r="D4" s="2231" t="s">
        <v>1914</v>
      </c>
      <c r="E4" s="2232" t="s">
        <v>1915</v>
      </c>
      <c r="F4" s="1395"/>
      <c r="G4" s="2233" t="s">
        <v>1940</v>
      </c>
      <c r="H4" s="1250" t="s">
        <v>1920</v>
      </c>
      <c r="I4" s="55">
        <f>ROUND(SUMIF('数据-基础表'!I9:AS9,"地上",'数据-基础表'!I5:AS5)/'数据-基础表'!A3,2)</f>
        <v>2.8</v>
      </c>
      <c r="J4" s="1395"/>
      <c r="K4" s="1395"/>
      <c r="L4" s="1395"/>
      <c r="M4" s="1395"/>
      <c r="N4" s="1430"/>
      <c r="O4" s="1395"/>
      <c r="P4" s="1395"/>
    </row>
    <row r="5" spans="1:16">
      <c r="A5" s="47" t="s">
        <v>1916</v>
      </c>
      <c r="B5" s="3063" t="s">
        <v>1917</v>
      </c>
      <c r="C5" s="3063"/>
      <c r="D5" s="48">
        <f>ROUND($D$3*E5/$E$3,2)</f>
        <v>15332.27</v>
      </c>
      <c r="E5" s="49">
        <f>SUMIF('数据-基础表'!$11:$11,"住宅",'数据-基础表'!$5:$5)</f>
        <v>66946.100000000006</v>
      </c>
      <c r="F5" s="1395"/>
      <c r="G5" s="1402"/>
      <c r="H5" s="1250" t="s">
        <v>1913</v>
      </c>
      <c r="I5" s="55">
        <f>ROUND(E31/D31,2)</f>
        <v>4.37</v>
      </c>
      <c r="J5" s="1395"/>
      <c r="K5" s="1395"/>
      <c r="L5" s="1395"/>
      <c r="M5" s="1395"/>
      <c r="N5" s="1395"/>
      <c r="O5" s="1395"/>
      <c r="P5" s="1395"/>
    </row>
    <row r="6" spans="1:16" ht="15" thickBot="1">
      <c r="A6" s="2234"/>
      <c r="B6" s="3063" t="s">
        <v>1918</v>
      </c>
      <c r="C6" s="3063"/>
      <c r="D6" s="48">
        <f>ROUND($D$3*E6/$E$3,2)</f>
        <v>9331.9699999999993</v>
      </c>
      <c r="E6" s="49">
        <f>E3-E5</f>
        <v>40746.699999999997</v>
      </c>
      <c r="F6" s="1395"/>
      <c r="G6" s="2235" t="s">
        <v>1919</v>
      </c>
      <c r="H6" s="1402" t="s">
        <v>1920</v>
      </c>
      <c r="I6" s="942">
        <f>ROUND(F31/D31,2)</f>
        <v>2.71</v>
      </c>
      <c r="J6" s="1395"/>
      <c r="K6" s="1395"/>
      <c r="L6" s="1395"/>
      <c r="M6" s="1395"/>
      <c r="N6" s="1395"/>
      <c r="O6" s="1395"/>
      <c r="P6" s="1395"/>
    </row>
    <row r="7" spans="1:16" ht="15">
      <c r="A7" s="3055"/>
      <c r="B7" s="3056"/>
      <c r="C7" s="3057"/>
      <c r="D7" s="2231" t="s">
        <v>1914</v>
      </c>
      <c r="E7" s="2236" t="s">
        <v>1921</v>
      </c>
      <c r="F7" s="1395"/>
      <c r="G7" s="2228" t="s">
        <v>1922</v>
      </c>
      <c r="H7" s="64"/>
      <c r="I7" s="420">
        <f>I6</f>
        <v>2.71</v>
      </c>
      <c r="J7" s="1395"/>
      <c r="K7" s="1395"/>
      <c r="L7" s="1395"/>
      <c r="M7" s="1395"/>
      <c r="N7" s="1395"/>
      <c r="O7" s="1395"/>
      <c r="P7" s="1395"/>
    </row>
    <row r="8" spans="1:16">
      <c r="A8" s="47" t="s">
        <v>1923</v>
      </c>
      <c r="B8" s="50" t="s">
        <v>1924</v>
      </c>
      <c r="C8" s="48" t="s">
        <v>1925</v>
      </c>
      <c r="D8" s="48">
        <f t="shared" ref="D8:D15" si="0">ROUND($D$3*E8/$E$3,2)</f>
        <v>15332.27</v>
      </c>
      <c r="E8" s="51">
        <f>SUMIF('数据-基础表'!BB10:BK10,"地上",'数据-基础表'!BB5:BK5)</f>
        <v>66946.100000000006</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2493.6799999999998</v>
      </c>
      <c r="E12" s="51">
        <f>SUMPRODUCT(('数据-基础表'!BB10:BK10="地下")*('数据-基础表'!BB11:BK11="仓储")*('数据-基础表'!BB5:BK5))</f>
        <v>10888.3</v>
      </c>
      <c r="F12" s="1395"/>
      <c r="G12" s="2237"/>
      <c r="H12" s="2237"/>
      <c r="I12" s="1395"/>
      <c r="J12" s="1395"/>
      <c r="K12" s="1395"/>
      <c r="L12" s="1395"/>
      <c r="M12" s="1395"/>
      <c r="N12" s="1395"/>
      <c r="O12" s="1395"/>
      <c r="P12" s="1395"/>
    </row>
    <row r="13" spans="1:16">
      <c r="A13" s="2238"/>
      <c r="B13" s="2239"/>
      <c r="C13" s="48" t="s">
        <v>1929</v>
      </c>
      <c r="D13" s="48">
        <f t="shared" si="0"/>
        <v>6838.29</v>
      </c>
      <c r="E13" s="51">
        <f>SUMPRODUCT(('数据-基础表'!BB10:BK10="地下")*('数据-基础表'!BB11:BK11="车库")*('数据-基础表'!BB5:BK5))</f>
        <v>29858.400000000001</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24664.240000000002</v>
      </c>
      <c r="E16" s="53">
        <f>SUM(E8:E15)</f>
        <v>107692.80000000002</v>
      </c>
      <c r="F16" s="1395"/>
      <c r="G16" s="2237"/>
      <c r="H16" s="2240" t="s">
        <v>1942</v>
      </c>
      <c r="I16" s="2241"/>
      <c r="J16" s="1395"/>
      <c r="K16" s="3052" t="s">
        <v>1942</v>
      </c>
      <c r="L16" s="3053"/>
      <c r="M16" s="3053"/>
      <c r="N16" s="3053"/>
      <c r="O16" s="3053"/>
      <c r="P16" s="3054"/>
    </row>
    <row r="17" spans="1:19" ht="15">
      <c r="A17" s="2242" t="s">
        <v>1943</v>
      </c>
      <c r="B17" s="2243" t="s">
        <v>1944</v>
      </c>
      <c r="C17" s="2244" t="s">
        <v>1945</v>
      </c>
      <c r="D17" s="2245" t="s">
        <v>1933</v>
      </c>
      <c r="E17" s="2246" t="s">
        <v>1934</v>
      </c>
      <c r="F17" s="2247"/>
      <c r="G17" s="2248"/>
      <c r="H17" s="2249" t="s">
        <v>1946</v>
      </c>
      <c r="I17" s="2250" t="s">
        <v>1931</v>
      </c>
      <c r="J17" s="1395"/>
      <c r="K17" s="3049" t="s">
        <v>1947</v>
      </c>
      <c r="L17" s="3050"/>
      <c r="M17" s="3051"/>
      <c r="N17" s="3049" t="s">
        <v>1948</v>
      </c>
      <c r="O17" s="3050"/>
      <c r="P17" s="3051"/>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49" t="s">
        <v>1957</v>
      </c>
      <c r="N18" s="1265" t="s">
        <v>1955</v>
      </c>
      <c r="O18" s="2258" t="s">
        <v>1956</v>
      </c>
      <c r="P18" s="1049" t="s">
        <v>1957</v>
      </c>
      <c r="R18" s="1250" t="s">
        <v>1958</v>
      </c>
      <c r="S18" s="1250" t="s">
        <v>1959</v>
      </c>
    </row>
    <row r="19" spans="1:19">
      <c r="A19" s="2259"/>
      <c r="B19" s="50" t="s">
        <v>1932</v>
      </c>
      <c r="C19" s="2944" t="s">
        <v>3093</v>
      </c>
      <c r="D19" s="48">
        <f>ROUND($D$3*E19/$E$3,2)</f>
        <v>15332.27</v>
      </c>
      <c r="E19" s="56">
        <f t="shared" ref="E19:E26" si="1">SUM(F19:G19)</f>
        <v>66946.100000000006</v>
      </c>
      <c r="F19" s="57">
        <f>'数据-基础表'!I13</f>
        <v>66946.100000000006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15332.27</v>
      </c>
      <c r="S19" s="1251">
        <f t="shared" si="5"/>
        <v>66946.100000000006</v>
      </c>
    </row>
    <row r="20" spans="1:19">
      <c r="A20" s="2262"/>
      <c r="B20" s="50" t="s">
        <v>1960</v>
      </c>
      <c r="C20" s="2944" t="s">
        <v>3094</v>
      </c>
      <c r="D20" s="48">
        <f t="shared" ref="D20:D26" si="6">ROUND($D$3*E20/$E$3,2)</f>
        <v>6838.29</v>
      </c>
      <c r="E20" s="56">
        <f t="shared" si="1"/>
        <v>29858.400000000001</v>
      </c>
      <c r="F20" s="57"/>
      <c r="G20" s="58">
        <f>'数据-基础表'!K16</f>
        <v>29858.400000000001</v>
      </c>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6838.29</v>
      </c>
      <c r="S20" s="1251">
        <f t="shared" si="5"/>
        <v>29858.400000000001</v>
      </c>
    </row>
    <row r="21" spans="1:19">
      <c r="A21" s="2262"/>
      <c r="B21" s="50" t="s">
        <v>1960</v>
      </c>
      <c r="C21" s="2944" t="s">
        <v>3095</v>
      </c>
      <c r="D21" s="48">
        <f t="shared" si="6"/>
        <v>2493.6799999999998</v>
      </c>
      <c r="E21" s="56">
        <f t="shared" si="1"/>
        <v>10888.3</v>
      </c>
      <c r="F21" s="57"/>
      <c r="G21" s="58">
        <f>'数据-基础表'!M17</f>
        <v>10888.3</v>
      </c>
      <c r="H21" s="723">
        <f t="shared" si="7"/>
        <v>0</v>
      </c>
      <c r="I21" s="51">
        <f t="shared" si="2"/>
        <v>0</v>
      </c>
      <c r="J21" s="1395"/>
      <c r="K21" s="1394">
        <f t="shared" si="3"/>
        <v>0</v>
      </c>
      <c r="L21" s="1250">
        <f t="shared" si="4"/>
        <v>0</v>
      </c>
      <c r="M21" s="1406">
        <f t="shared" si="8"/>
        <v>0</v>
      </c>
      <c r="N21" s="2260"/>
      <c r="O21" s="2261"/>
      <c r="P21" s="1406">
        <f t="shared" si="9"/>
        <v>0</v>
      </c>
      <c r="R21" s="1250">
        <f t="shared" si="5"/>
        <v>2493.6799999999998</v>
      </c>
      <c r="S21" s="1251">
        <f t="shared" si="5"/>
        <v>10888.3</v>
      </c>
    </row>
    <row r="22" spans="1:19">
      <c r="A22" s="2262"/>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1961</v>
      </c>
      <c r="D27" s="1396">
        <f>SUM(D19:D26)</f>
        <v>24664.240000000002</v>
      </c>
      <c r="E27" s="1397">
        <f>IF(SUM(E19:E26)='数据-基础表'!BA5,SUM(E19:E26),IF(F27="地上面积有误","面积有误","地下面积有误"))</f>
        <v>107692.8</v>
      </c>
      <c r="F27" s="1396">
        <f>IF(SUM(F19:F26)=E8,SUM(F19:F26),"地上面积有误")</f>
        <v>66946.100000000006</v>
      </c>
      <c r="G27" s="1398">
        <f>SUM(G19:G26)</f>
        <v>40746.699999999997</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24664.240000000002</v>
      </c>
      <c r="S27" s="1250">
        <f>IF(SUM(S19:S26)=$E$3,SUM(S19:S26),SUM(S19:S26)&amp;"误差"&amp;ROUND(SUM(S19:S26)-E3,2))</f>
        <v>107692.8</v>
      </c>
    </row>
    <row r="28" spans="1:19">
      <c r="A28" s="2262"/>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1962</v>
      </c>
      <c r="C29" s="2266"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1965</v>
      </c>
      <c r="D31" s="729">
        <f>D27+D30</f>
        <v>24664.240000000002</v>
      </c>
      <c r="E31" s="729">
        <f>E27+E30</f>
        <v>107692.8</v>
      </c>
      <c r="F31" s="730">
        <f>F27+F30</f>
        <v>66946.100000000006</v>
      </c>
      <c r="G31" s="731">
        <f>G27+G30</f>
        <v>40746.699999999997</v>
      </c>
      <c r="H31" s="1395"/>
      <c r="I31" s="1395"/>
      <c r="J31" s="1395"/>
      <c r="K31" s="1395"/>
      <c r="L31" s="1395"/>
      <c r="M31" s="1395"/>
      <c r="N31" s="1395"/>
      <c r="O31" s="1395"/>
      <c r="P31" s="1395"/>
    </row>
    <row r="32" spans="1:19">
      <c r="A32" s="2233"/>
      <c r="B32" s="2233" t="s">
        <v>1966</v>
      </c>
      <c r="C32" s="2233"/>
      <c r="D32" s="2233"/>
      <c r="E32" s="1277">
        <f>SUMIF(C19:C26,"*住宅*",E19:E26)</f>
        <v>0</v>
      </c>
      <c r="F32" s="2233"/>
      <c r="G32" s="2233"/>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9" sqref="L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1967</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1968</v>
      </c>
      <c r="B2" s="1269">
        <f>项目基本情况!D3</f>
        <v>41273</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1969</v>
      </c>
      <c r="B4" s="2280"/>
      <c r="C4" s="2281"/>
      <c r="D4" s="2282"/>
      <c r="E4" s="2281" t="s">
        <v>1970</v>
      </c>
      <c r="F4" s="2281"/>
      <c r="G4" s="2281"/>
      <c r="H4" s="2281"/>
      <c r="I4" s="2281"/>
      <c r="J4" s="2283"/>
      <c r="K4" s="2284"/>
      <c r="L4" s="2285"/>
      <c r="M4" s="2281"/>
      <c r="N4" s="2281" t="s">
        <v>1971</v>
      </c>
      <c r="O4" s="2281"/>
      <c r="P4" s="2281"/>
      <c r="Q4" s="2281"/>
      <c r="R4" s="2281"/>
      <c r="S4" s="2283"/>
      <c r="T4" s="2286" t="str">
        <f>'数据-汇总表'!I17</f>
        <v>按面积比例</v>
      </c>
      <c r="U4" s="2280" t="s">
        <v>1972</v>
      </c>
      <c r="V4" s="2281"/>
      <c r="W4" s="2281"/>
      <c r="X4" s="2281"/>
      <c r="Y4" s="2283"/>
      <c r="Z4" s="2244" t="s">
        <v>1973</v>
      </c>
      <c r="AA4" s="2244"/>
      <c r="AB4" s="2244"/>
      <c r="AC4" s="2244"/>
      <c r="AD4" s="2244"/>
      <c r="AE4" s="2242" t="s">
        <v>1974</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1975</v>
      </c>
      <c r="B5" s="2289" t="s">
        <v>1976</v>
      </c>
      <c r="C5" s="2290" t="s">
        <v>1977</v>
      </c>
      <c r="D5" s="2291" t="s">
        <v>1978</v>
      </c>
      <c r="E5" s="1271" t="s">
        <v>1979</v>
      </c>
      <c r="F5" s="2292" t="s">
        <v>1980</v>
      </c>
      <c r="G5" s="1271" t="s">
        <v>1981</v>
      </c>
      <c r="H5" s="1271" t="s">
        <v>1982</v>
      </c>
      <c r="I5" s="1271" t="s">
        <v>1983</v>
      </c>
      <c r="J5" s="2293" t="s">
        <v>1984</v>
      </c>
      <c r="K5" s="2294" t="s">
        <v>1985</v>
      </c>
      <c r="L5" s="2295" t="s">
        <v>1986</v>
      </c>
      <c r="M5" s="2296" t="s">
        <v>1987</v>
      </c>
      <c r="N5" s="2297" t="s">
        <v>3161</v>
      </c>
      <c r="O5" s="2295" t="s">
        <v>1988</v>
      </c>
      <c r="P5" s="2298" t="s">
        <v>1989</v>
      </c>
      <c r="Q5" s="69" t="s">
        <v>1990</v>
      </c>
      <c r="R5" s="2299" t="s">
        <v>1991</v>
      </c>
      <c r="S5" s="2300" t="s">
        <v>1992</v>
      </c>
      <c r="T5" s="2301" t="s">
        <v>1993</v>
      </c>
      <c r="U5" s="1270" t="s">
        <v>1994</v>
      </c>
      <c r="V5" s="1271" t="s">
        <v>1995</v>
      </c>
      <c r="W5" s="1271" t="s">
        <v>1996</v>
      </c>
      <c r="X5" s="71"/>
      <c r="Y5" s="70" t="s">
        <v>1997</v>
      </c>
      <c r="Z5" s="2302" t="s">
        <v>1994</v>
      </c>
      <c r="AA5" s="1271" t="s">
        <v>1995</v>
      </c>
      <c r="AB5" s="1271" t="s">
        <v>1996</v>
      </c>
      <c r="AC5" s="71"/>
      <c r="AD5" s="71" t="s">
        <v>1997</v>
      </c>
      <c r="AE5" s="1270" t="s">
        <v>1998</v>
      </c>
      <c r="AF5" s="1271" t="s">
        <v>1999</v>
      </c>
      <c r="AG5" s="70" t="s">
        <v>2000</v>
      </c>
      <c r="AH5" s="1270" t="s">
        <v>2001</v>
      </c>
      <c r="AI5" s="2302" t="s">
        <v>2002</v>
      </c>
      <c r="AJ5" s="2302" t="s">
        <v>2003</v>
      </c>
      <c r="AK5" s="1271" t="s">
        <v>2004</v>
      </c>
      <c r="AL5" s="1271" t="s">
        <v>2005</v>
      </c>
      <c r="AM5" s="70" t="s">
        <v>2006</v>
      </c>
      <c r="AN5" s="2303" t="s">
        <v>2007</v>
      </c>
      <c r="AO5" s="2074" t="s">
        <v>2008</v>
      </c>
      <c r="AP5" s="1252" t="s">
        <v>2009</v>
      </c>
      <c r="AQ5" s="2304" t="s">
        <v>2010</v>
      </c>
      <c r="AR5" s="2304"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5" t="str">
        <f>'数据-汇总表'!C19</f>
        <v>两限房</v>
      </c>
      <c r="B6" s="2306" t="str">
        <f>IF(A6=0,"","经营性")</f>
        <v>经营性</v>
      </c>
      <c r="C6" s="2307" t="s">
        <v>3058</v>
      </c>
      <c r="D6" s="1054">
        <f>SUMIF(项目基本情况!D$12:I$12,C6,项目基本情况!D$14:I$14)</f>
        <v>70</v>
      </c>
      <c r="E6" s="1051">
        <f>IF(B6="","",SUMIF(项目基本情况!D$12:I$12,C6,项目基本情况!D$13:I$13))</f>
        <v>63198</v>
      </c>
      <c r="F6" s="72">
        <f>SUMIF(项目基本情况!D$12:I$12,C6,项目基本情况!D$15:I$15)</f>
        <v>60.06</v>
      </c>
      <c r="G6" s="73">
        <f>IF(ISERROR(ROUND(POWER(1+H6,D6-F6)*(POWER(1+H6,F6)-1)/(POWER(1+H6,D6)-1),3)),0,ROUND(POWER(1+H6,D6-F6)*(POWER(1+H6,F6)-1)/(POWER(1+H6,D6)-1),3))</f>
        <v>0.96699999999999997</v>
      </c>
      <c r="H6" s="802">
        <v>0.04</v>
      </c>
      <c r="I6" s="802">
        <v>4.4999999999999998E-2</v>
      </c>
      <c r="J6" s="74">
        <v>8.5000000000000006E-2</v>
      </c>
      <c r="K6" s="1254">
        <f>SUMIF('数据-汇总表'!C$19:C$33,A6,'数据-汇总表'!E$19:E$33)</f>
        <v>66946.100000000006</v>
      </c>
      <c r="L6" s="803">
        <v>2500</v>
      </c>
      <c r="M6" s="75">
        <f t="shared" ref="M6:M14" si="0">ROUND(K6*L6/10000,0)</f>
        <v>16737</v>
      </c>
      <c r="N6" s="801">
        <v>1</v>
      </c>
      <c r="O6" s="75" t="str">
        <f>IF($N$5="成新度","——",ROUND(M6*N6,0))</f>
        <v>——</v>
      </c>
      <c r="P6" s="76" t="str">
        <f>IF($N$5="成新度","——",M6-O6)</f>
        <v>——</v>
      </c>
      <c r="Q6" s="804">
        <v>0.03</v>
      </c>
      <c r="R6" s="77">
        <f ca="1">SUMIF('数据-汇总表'!C$19:C$33,A6,'数据-汇总表'!R$19:R$27)</f>
        <v>15332.27</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08"/>
      <c r="AO6" s="55" t="e">
        <f ca="1">SUMIF(INDIRECT("'"&amp;AN6&amp;"'"&amp;"!A:A"),"总价",INDIRECT("'"&amp;AN6&amp;"'"&amp;"!B:B"))</f>
        <v>#REF!</v>
      </c>
      <c r="AP6" s="2309">
        <f>IF(C6="住宅",K6*L6,0)</f>
        <v>167365250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地下车库</v>
      </c>
      <c r="B7" s="2306" t="str">
        <f t="shared" ref="B7:B13" si="1">IF(A7=0,"","经营性")</f>
        <v>经营性</v>
      </c>
      <c r="C7" s="2307" t="s">
        <v>3089</v>
      </c>
      <c r="D7" s="1054">
        <f>SUMIF(项目基本情况!D$12:I$12,C7,项目基本情况!D$14:I$14)</f>
        <v>50</v>
      </c>
      <c r="E7" s="1051">
        <f>IF(B7="","",SUMIF(项目基本情况!D$12:I$12,C7,项目基本情况!D$13:I$13))</f>
        <v>55893</v>
      </c>
      <c r="F7" s="72">
        <f>SUMIF(项目基本情况!D$12:I$12,C7,项目基本情况!D$15:I$15)</f>
        <v>40.049999999999997</v>
      </c>
      <c r="G7" s="73">
        <f t="shared" ref="G7:G11" si="2">IF(ISERROR(ROUND(POWER(1+H7,D7-F7)*(POWER(1+H7,F7)-1)/(POWER(1+H7,D7)-1),3)),0,ROUND(POWER(1+H7,D7-F7)*(POWER(1+H7,F7)-1)/(POWER(1+H7,D7)-1),3))</f>
        <v>0.93200000000000005</v>
      </c>
      <c r="H7" s="802">
        <v>4.4999999999999998E-2</v>
      </c>
      <c r="I7" s="802">
        <v>0.05</v>
      </c>
      <c r="J7" s="74">
        <v>8.5000000000000006E-2</v>
      </c>
      <c r="K7" s="1254">
        <f>SUMIF('数据-汇总表'!C$19:C$33,A7,'数据-汇总表'!E$19:E$33)</f>
        <v>29858.400000000001</v>
      </c>
      <c r="L7" s="803">
        <f>L6</f>
        <v>2500</v>
      </c>
      <c r="M7" s="75">
        <f t="shared" si="0"/>
        <v>7465</v>
      </c>
      <c r="N7" s="801">
        <f>N6</f>
        <v>1</v>
      </c>
      <c r="O7" s="75" t="str">
        <f t="shared" ref="O7:O14" si="3">IF($N$5="成新度","——",ROUND(M7*N7,0))</f>
        <v>——</v>
      </c>
      <c r="P7" s="76" t="str">
        <f t="shared" ref="P7:P14" si="4">IF($N$5="成新度","——",M7-O7)</f>
        <v>——</v>
      </c>
      <c r="Q7" s="804">
        <v>0.03</v>
      </c>
      <c r="R7" s="77">
        <f ca="1">SUMIF('数据-汇总表'!C$19:C$33,A7,'数据-汇总表'!R$19:R$27)</f>
        <v>6838.29</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t="str">
        <f>'数据-汇总表'!C21</f>
        <v>地下仓储</v>
      </c>
      <c r="B8" s="2306" t="str">
        <f t="shared" si="1"/>
        <v>经营性</v>
      </c>
      <c r="C8" s="2307" t="s">
        <v>3090</v>
      </c>
      <c r="D8" s="1054">
        <f>SUMIF(项目基本情况!D$12:I$12,C8,项目基本情况!D$14:I$14)</f>
        <v>50</v>
      </c>
      <c r="E8" s="1051">
        <f>IF(B8="","",SUMIF(项目基本情况!D$12:I$12,C8,项目基本情况!D$13:I$13))</f>
        <v>55893</v>
      </c>
      <c r="F8" s="72">
        <f>SUMIF(项目基本情况!D$12:I$12,C8,项目基本情况!D$15:I$15)</f>
        <v>40.049999999999997</v>
      </c>
      <c r="G8" s="73">
        <f t="shared" si="2"/>
        <v>0.93200000000000005</v>
      </c>
      <c r="H8" s="802">
        <v>4.4999999999999998E-2</v>
      </c>
      <c r="I8" s="802">
        <v>0.05</v>
      </c>
      <c r="J8" s="74">
        <v>8.5000000000000006E-2</v>
      </c>
      <c r="K8" s="1254">
        <f>SUMIF('数据-汇总表'!C$19:C$33,A8,'数据-汇总表'!E$19:E$33)</f>
        <v>10888.3</v>
      </c>
      <c r="L8" s="803">
        <f>L6</f>
        <v>2500</v>
      </c>
      <c r="M8" s="75">
        <f>ROUND(K8*L8/10000,0)</f>
        <v>2722</v>
      </c>
      <c r="N8" s="801">
        <f>N6</f>
        <v>1</v>
      </c>
      <c r="O8" s="75" t="str">
        <f t="shared" si="3"/>
        <v>——</v>
      </c>
      <c r="P8" s="76" t="str">
        <f t="shared" si="4"/>
        <v>——</v>
      </c>
      <c r="Q8" s="804">
        <v>0.03</v>
      </c>
      <c r="R8" s="77">
        <f ca="1">SUMIF('数据-汇总表'!C$19:C$33,A8,'数据-汇总表'!R$19:R$27)</f>
        <v>2493.6799999999998</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2012</v>
      </c>
      <c r="B14" s="2306" t="s">
        <v>2013</v>
      </c>
      <c r="C14" s="2311"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2014</v>
      </c>
      <c r="B15" s="2306" t="s">
        <v>2013</v>
      </c>
      <c r="C15" s="2311"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2016</v>
      </c>
      <c r="B16" s="97"/>
      <c r="C16" s="1008"/>
      <c r="D16" s="2313"/>
      <c r="E16" s="97"/>
      <c r="F16" s="97"/>
      <c r="G16" s="98">
        <f>ROUND(SUMPRODUCT(G6:G13,K6:K13)/SUMPRODUCT((G6:G13&gt;0)*(K6:K13)),3)</f>
        <v>0.95399999999999996</v>
      </c>
      <c r="H16" s="99">
        <f>ROUND(SUMPRODUCT(H6:H13,K6:K13)/SUMPRODUCT((H6:H13&gt;0)*(K6:K13)),3)</f>
        <v>4.2000000000000003E-2</v>
      </c>
      <c r="I16" s="100"/>
      <c r="J16" s="100"/>
      <c r="K16" s="101">
        <f>SUM(K6:K15)</f>
        <v>107692.8</v>
      </c>
      <c r="L16" s="102">
        <f>ROUND(M16*10000/SUM(K6:K14),0)</f>
        <v>2500</v>
      </c>
      <c r="M16" s="102">
        <f>SUM(M6:M14)</f>
        <v>26924</v>
      </c>
      <c r="N16" s="103">
        <f>ROUND(SUMPRODUCT(M6:M14,N6:N14)/M16,3)</f>
        <v>1</v>
      </c>
      <c r="O16" s="102">
        <f>SUM(O6:O14)</f>
        <v>0</v>
      </c>
      <c r="P16" s="102">
        <f>SUM(P6:P14)</f>
        <v>0</v>
      </c>
      <c r="Q16" s="104">
        <f>ROUND(SUMPRODUCT(Q6:Q13,K6:K13)/SUMPRODUCT((Q6:Q13&gt;0)*(K6:K13)),2)</f>
        <v>0.03</v>
      </c>
      <c r="R16" s="1258">
        <f ca="1">SUM(R6:R13)</f>
        <v>24664.240000000002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2018</v>
      </c>
      <c r="B19" s="112">
        <v>0</v>
      </c>
      <c r="C19" s="2276" t="s">
        <v>2019</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2020</v>
      </c>
      <c r="B20" s="113">
        <v>1.5</v>
      </c>
      <c r="C20" s="2276" t="s">
        <v>2021</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2022</v>
      </c>
      <c r="B21" s="113">
        <f>B20</f>
        <v>1.5</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2023</v>
      </c>
      <c r="B22" s="114">
        <f>B19+B20</f>
        <v>1.5</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2024</v>
      </c>
      <c r="B23" s="114">
        <f>B19+B21</f>
        <v>1.5</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2025</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2026</v>
      </c>
      <c r="B26" s="2319" t="s">
        <v>2027</v>
      </c>
      <c r="C26" s="2320" t="s">
        <v>2028</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2029</v>
      </c>
      <c r="B27" s="116">
        <v>160</v>
      </c>
      <c r="C27" s="1767" t="s">
        <v>2030</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2031</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2032</v>
      </c>
      <c r="B29" s="121"/>
      <c r="C29" s="1767" t="s">
        <v>2033</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2034</v>
      </c>
      <c r="B30" s="724">
        <v>150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2035</v>
      </c>
      <c r="B31" s="120">
        <f>B30-B32</f>
        <v>150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2036</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2037</v>
      </c>
      <c r="B33" s="726">
        <v>0.03</v>
      </c>
      <c r="C33" s="1766" t="s">
        <v>2038</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2039</v>
      </c>
      <c r="B34" s="122">
        <v>0.03</v>
      </c>
      <c r="C34" s="1766" t="s">
        <v>2040</v>
      </c>
      <c r="D34" s="2277" t="s">
        <v>2041</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2042</v>
      </c>
      <c r="B35" s="119">
        <f>B30</f>
        <v>150</v>
      </c>
      <c r="C35" s="1766" t="s">
        <v>2043</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2044</v>
      </c>
      <c r="B36" s="123">
        <v>1.4999999999999999E-2</v>
      </c>
      <c r="C36" s="1766" t="s">
        <v>2045</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2046</v>
      </c>
      <c r="B37" s="124">
        <v>0.01</v>
      </c>
      <c r="C37" s="1766" t="s">
        <v>2047</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2048</v>
      </c>
      <c r="B38" s="122">
        <v>0.01</v>
      </c>
      <c r="C38" s="1766" t="s">
        <v>2047</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2049</v>
      </c>
      <c r="B39" s="362">
        <f ca="1">存贷款利率!I1</f>
        <v>0.03</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2050</v>
      </c>
      <c r="B40" s="1303">
        <f ca="1">存贷款利率!G1</f>
        <v>6.1500000000000006E-2</v>
      </c>
      <c r="C40" s="1766" t="s">
        <v>2051</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2052</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2053</v>
      </c>
      <c r="B42" s="126">
        <v>0.05</v>
      </c>
      <c r="C42" s="2330">
        <f>IF(B2&lt;DATE(2016,5,1),0,B42)</f>
        <v>0</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2054</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2055</v>
      </c>
      <c r="B44" s="128">
        <v>0.05</v>
      </c>
      <c r="C44" s="1766" t="s">
        <v>2056</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2057</v>
      </c>
      <c r="B45" s="126">
        <v>0.03</v>
      </c>
      <c r="C45" s="1767" t="s">
        <v>2058</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2059</v>
      </c>
      <c r="B46" s="126">
        <v>0.02</v>
      </c>
      <c r="C46" s="1767" t="s">
        <v>2060</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2061</v>
      </c>
      <c r="B47" s="129"/>
      <c r="C47" s="1767" t="s">
        <v>2062</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2063</v>
      </c>
      <c r="B48" s="130">
        <v>0.03</v>
      </c>
      <c r="C48" s="1774" t="s">
        <v>2064</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2065</v>
      </c>
      <c r="B49" s="126">
        <v>5.0000000000000001E-4</v>
      </c>
      <c r="C49" s="1774" t="s">
        <v>2066</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2067</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2068</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2069</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2070</v>
      </c>
      <c r="B53" s="2335" t="s">
        <v>56</v>
      </c>
      <c r="C53" s="1430" t="s">
        <v>2071</v>
      </c>
      <c r="D53" s="2336" t="s">
        <v>2072</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2073</v>
      </c>
      <c r="B54" s="84">
        <v>30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2074</v>
      </c>
      <c r="B55" s="84">
        <v>24</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2075</v>
      </c>
      <c r="B56" s="84">
        <v>18</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2076</v>
      </c>
      <c r="B57" s="84">
        <v>12</v>
      </c>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2077</v>
      </c>
      <c r="B58" s="84">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2078</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2079</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2080</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2081</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2082</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64" t="s">
        <v>2083</v>
      </c>
      <c r="B1" s="3065"/>
      <c r="C1" s="3065"/>
      <c r="D1" s="3065"/>
      <c r="E1" s="3065"/>
      <c r="F1" s="3065"/>
      <c r="G1" s="306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2084</v>
      </c>
      <c r="D2" s="2365"/>
      <c r="E2" s="2366"/>
      <c r="F2" s="2285"/>
      <c r="G2" s="2364" t="s">
        <v>2085</v>
      </c>
      <c r="H2" s="2367"/>
      <c r="I2" s="2367"/>
      <c r="J2" s="2367"/>
      <c r="K2" s="2367"/>
      <c r="L2" s="2367"/>
      <c r="M2" s="2367"/>
      <c r="N2" s="2367"/>
      <c r="O2" s="2367"/>
      <c r="P2" s="2367"/>
      <c r="Q2" s="2367"/>
      <c r="R2" s="2367"/>
    </row>
    <row r="3" spans="1:29" ht="81">
      <c r="A3" s="415" t="s">
        <v>2086</v>
      </c>
      <c r="B3" s="1271" t="s">
        <v>2087</v>
      </c>
      <c r="C3" s="2946" t="s">
        <v>3134</v>
      </c>
      <c r="D3" s="2369"/>
      <c r="E3" s="431" t="s">
        <v>2086</v>
      </c>
      <c r="F3" s="2370" t="s">
        <v>2088</v>
      </c>
      <c r="G3" s="2371" t="s">
        <v>2089</v>
      </c>
      <c r="H3" s="2367"/>
      <c r="I3" s="2367"/>
      <c r="J3" s="2367"/>
      <c r="K3" s="2367"/>
      <c r="L3" s="2367"/>
      <c r="M3" s="2367"/>
      <c r="N3" s="2367"/>
      <c r="O3" s="2367"/>
      <c r="P3" s="2367"/>
      <c r="Q3" s="2367"/>
      <c r="R3" s="2367"/>
    </row>
    <row r="4" spans="1:29" ht="40.5">
      <c r="A4" s="431"/>
      <c r="B4" s="1798" t="s">
        <v>2090</v>
      </c>
      <c r="C4" s="2372"/>
      <c r="D4" s="2369"/>
      <c r="E4" s="2373"/>
      <c r="F4" s="42" t="s">
        <v>2091</v>
      </c>
      <c r="G4" s="2374" t="s">
        <v>2092</v>
      </c>
      <c r="H4" s="2367"/>
      <c r="I4" s="2367"/>
      <c r="J4" s="2367"/>
      <c r="K4" s="2367"/>
      <c r="L4" s="2367"/>
      <c r="M4" s="2367"/>
      <c r="N4" s="2367"/>
      <c r="O4" s="2367"/>
      <c r="P4" s="2367"/>
      <c r="Q4" s="2367"/>
      <c r="R4" s="2367"/>
    </row>
    <row r="5" spans="1:29" ht="27">
      <c r="A5" s="431"/>
      <c r="B5" s="1798" t="s">
        <v>2093</v>
      </c>
      <c r="C5" s="2372"/>
      <c r="D5" s="2369"/>
      <c r="E5" s="2373"/>
      <c r="F5" s="1798" t="s">
        <v>2094</v>
      </c>
      <c r="G5" s="2374" t="s">
        <v>2095</v>
      </c>
      <c r="H5" s="2367"/>
      <c r="I5" s="2367"/>
      <c r="J5" s="2367"/>
      <c r="K5" s="2367"/>
      <c r="L5" s="2367"/>
      <c r="M5" s="2367"/>
      <c r="N5" s="2367"/>
      <c r="O5" s="2367"/>
      <c r="P5" s="2367"/>
      <c r="Q5" s="2367"/>
      <c r="R5" s="2367"/>
    </row>
    <row r="6" spans="1:29" ht="94.5">
      <c r="A6" s="431"/>
      <c r="B6" s="1798" t="s">
        <v>2096</v>
      </c>
      <c r="C6" s="2947" t="s">
        <v>3135</v>
      </c>
      <c r="D6" s="2369"/>
      <c r="E6" s="2373"/>
      <c r="F6" s="1798" t="s">
        <v>2097</v>
      </c>
      <c r="G6" s="2374" t="s">
        <v>2098</v>
      </c>
      <c r="H6" s="2367"/>
      <c r="I6" s="2367"/>
      <c r="J6" s="2367"/>
      <c r="K6" s="2367"/>
      <c r="L6" s="2367"/>
      <c r="M6" s="2367"/>
      <c r="N6" s="2367"/>
      <c r="O6" s="2367"/>
      <c r="P6" s="2367"/>
      <c r="Q6" s="2367"/>
      <c r="R6" s="2367"/>
    </row>
    <row r="7" spans="1:29" ht="41.25" thickBot="1">
      <c r="A7" s="431"/>
      <c r="B7" s="1798" t="s">
        <v>2094</v>
      </c>
      <c r="C7" s="2947" t="s">
        <v>3136</v>
      </c>
      <c r="D7" s="2375"/>
      <c r="E7" s="2376"/>
      <c r="F7" s="2377" t="s">
        <v>2099</v>
      </c>
      <c r="G7" s="2378" t="s">
        <v>2100</v>
      </c>
      <c r="H7" s="2367"/>
      <c r="I7" s="2367"/>
      <c r="J7" s="2367"/>
      <c r="K7" s="2367"/>
      <c r="L7" s="2367"/>
      <c r="M7" s="2367"/>
      <c r="N7" s="2367"/>
      <c r="O7" s="2367"/>
      <c r="P7" s="2367"/>
      <c r="Q7" s="2367"/>
      <c r="R7" s="2367"/>
    </row>
    <row r="8" spans="1:29" ht="15">
      <c r="A8" s="431"/>
      <c r="B8" s="1798" t="s">
        <v>2097</v>
      </c>
      <c r="C8" s="2947" t="s">
        <v>3138</v>
      </c>
      <c r="D8" s="2375"/>
      <c r="E8" s="2375"/>
      <c r="F8" s="1136"/>
      <c r="G8" s="1136"/>
      <c r="H8" s="2367"/>
      <c r="I8" s="2367"/>
      <c r="J8" s="2367"/>
      <c r="K8" s="2367"/>
      <c r="L8" s="2367"/>
      <c r="M8" s="2367"/>
      <c r="N8" s="2367"/>
      <c r="O8" s="2367"/>
      <c r="P8" s="2367"/>
      <c r="Q8" s="2367"/>
      <c r="R8" s="2367"/>
    </row>
    <row r="9" spans="1:29" ht="54">
      <c r="A9" s="431"/>
      <c r="B9" s="1798" t="s">
        <v>2101</v>
      </c>
      <c r="C9" s="2948" t="s">
        <v>3139</v>
      </c>
      <c r="D9" s="2369"/>
      <c r="E9" s="2375"/>
      <c r="F9" s="1136"/>
      <c r="G9" s="1136"/>
      <c r="H9" s="2367"/>
      <c r="I9" s="2367"/>
      <c r="J9" s="2367"/>
      <c r="K9" s="2367"/>
      <c r="L9" s="2367"/>
      <c r="M9" s="2367"/>
      <c r="N9" s="2367"/>
      <c r="O9" s="2367"/>
      <c r="P9" s="2367"/>
      <c r="Q9" s="2367"/>
      <c r="R9" s="2367"/>
    </row>
    <row r="10" spans="1:29" s="117" customFormat="1" ht="15.75" thickBot="1">
      <c r="A10" s="2379"/>
      <c r="B10" s="2380" t="s">
        <v>2102</v>
      </c>
      <c r="C10" s="2381"/>
      <c r="D10" s="2369"/>
      <c r="E10" s="2369"/>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5"/>
      <c r="C12" s="2369"/>
      <c r="D12" s="2386"/>
      <c r="E12" s="2369"/>
      <c r="F12" s="2375"/>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4" t="s">
        <v>2105</v>
      </c>
    </row>
    <row r="15" spans="1:29" ht="85.5">
      <c r="A15" s="68" t="s">
        <v>2106</v>
      </c>
      <c r="B15" s="1270" t="s">
        <v>2087</v>
      </c>
      <c r="C15" s="2401" t="str">
        <f>C3</f>
        <v>估价对象周边居住用地比例较高、居住小区规模较大、社区发展完善程度较好，有月季园、荔景园等多个住宅项目，综合评价居住社区成熟度较好</v>
      </c>
      <c r="D15" s="2369"/>
      <c r="E15" s="2402" t="s">
        <v>2107</v>
      </c>
      <c r="F15" s="1270" t="s">
        <v>2108</v>
      </c>
      <c r="G15" s="135" t="str">
        <f>G3</f>
        <v>估价对象位于XX开发区，园区建设成熟度XX，产业集聚程度XX</v>
      </c>
    </row>
    <row r="16" spans="1:29" ht="42.75">
      <c r="A16" s="645"/>
      <c r="B16" s="2403" t="s">
        <v>2090</v>
      </c>
      <c r="C16" s="2404">
        <f>C4</f>
        <v>0</v>
      </c>
      <c r="D16" s="2369"/>
      <c r="E16" s="2405"/>
      <c r="F16" s="2406" t="s">
        <v>2091</v>
      </c>
      <c r="G16" s="136" t="str">
        <f>G4</f>
        <v>估价对象周边道路状况、公共交通通达情况、停车便捷程度，综合评价交通便捷度较好</v>
      </c>
    </row>
    <row r="17" spans="1:18" ht="15">
      <c r="A17" s="645"/>
      <c r="B17" s="2403" t="s">
        <v>2093</v>
      </c>
      <c r="C17" s="2404">
        <f>C5</f>
        <v>0</v>
      </c>
      <c r="D17" s="2375"/>
      <c r="E17" s="2405"/>
      <c r="F17" s="2406" t="s">
        <v>2109</v>
      </c>
      <c r="G17" s="1572"/>
    </row>
    <row r="18" spans="1:18" ht="99.75">
      <c r="A18" s="645"/>
      <c r="B18" s="2406" t="s">
        <v>2096</v>
      </c>
      <c r="C18" s="136" t="str">
        <f>C6</f>
        <v>估价对象周边道路状况较好、公共交通通达情况较好、有322、342、442等多路公交车，距6号线北运河西站约1.5公里，停车便捷程度较好，综合评价交通便捷度较好</v>
      </c>
      <c r="D18" s="2375"/>
      <c r="E18" s="2405"/>
      <c r="F18" s="2406" t="s">
        <v>2099</v>
      </c>
      <c r="G18" s="136" t="str">
        <f>G7</f>
        <v>该园区内是否有污染型企业，绿化情况，卫生条件，整体环境状况判断</v>
      </c>
    </row>
    <row r="19" spans="1:18" ht="28.5">
      <c r="A19" s="645"/>
      <c r="B19" s="2406" t="s">
        <v>2110</v>
      </c>
      <c r="C19" s="1572"/>
      <c r="D19" s="2369"/>
      <c r="E19" s="2405"/>
      <c r="F19" s="1798" t="s">
        <v>2094</v>
      </c>
      <c r="G19" s="136" t="str">
        <f>G5</f>
        <v>估价对象所在区域公共配套设施齐备情况</v>
      </c>
    </row>
    <row r="20" spans="1:18" ht="57">
      <c r="A20" s="645"/>
      <c r="B20" s="2406" t="s">
        <v>2111</v>
      </c>
      <c r="C20" s="2404" t="str">
        <f>C9</f>
        <v>区域自然环境：减河公园、运河奥体公园、潞河中学公园；人文环境：大运河美术馆；综合评价环境状况较好</v>
      </c>
      <c r="D20" s="2375"/>
      <c r="E20" s="2405"/>
      <c r="F20" s="1798" t="s">
        <v>2112</v>
      </c>
      <c r="G20" s="136" t="str">
        <f>G6</f>
        <v>估价对象所在区域基础设施水平</v>
      </c>
    </row>
    <row r="21" spans="1:18" ht="28.5">
      <c r="A21" s="645"/>
      <c r="B21" s="1798" t="s">
        <v>2094</v>
      </c>
      <c r="C21" s="136" t="str">
        <f>C7</f>
        <v>估价对象所在区域公共配套设施齐备情况一般</v>
      </c>
      <c r="D21" s="2369"/>
      <c r="E21" s="2405"/>
      <c r="F21" s="2406" t="s">
        <v>2113</v>
      </c>
      <c r="G21" s="2407"/>
    </row>
    <row r="22" spans="1:18" ht="13.5" customHeight="1">
      <c r="A22" s="645"/>
      <c r="B22" s="1798" t="s">
        <v>2097</v>
      </c>
      <c r="C22" s="136" t="str">
        <f>C8</f>
        <v>七通</v>
      </c>
      <c r="D22" s="2369"/>
      <c r="E22" s="2405"/>
      <c r="F22" s="2406" t="s">
        <v>2102</v>
      </c>
      <c r="G22" s="1572"/>
    </row>
    <row r="23" spans="1:18" s="2367"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7"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66946.100000000006</v>
      </c>
      <c r="C1" s="1745"/>
      <c r="D1" s="1745"/>
      <c r="E1" s="1745"/>
      <c r="F1" s="1745"/>
      <c r="G1" s="1743"/>
    </row>
    <row r="2" spans="1:10" ht="16.5">
      <c r="A2" s="1746" t="s">
        <v>1353</v>
      </c>
      <c r="B2" s="1746">
        <f>SUM(C14:C23)</f>
        <v>15332.27</v>
      </c>
      <c r="C2" s="1745"/>
      <c r="D2" s="1745"/>
      <c r="E2" s="1745"/>
      <c r="F2" s="1745"/>
      <c r="G2" s="1743"/>
    </row>
    <row r="3" spans="1:10" ht="16.5">
      <c r="A3" s="1746" t="s">
        <v>1362</v>
      </c>
      <c r="B3" s="1747">
        <f>项目基本情况!D3</f>
        <v>41273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52980</v>
      </c>
      <c r="C5" s="1746">
        <f ca="1">ROUND(B5*10000/$B$1,0)</f>
        <v>7914</v>
      </c>
      <c r="D5" s="1746">
        <f ca="1">ROUND(B5*10000/$B$2,0)</f>
        <v>34555</v>
      </c>
      <c r="E5" s="1745"/>
      <c r="F5" s="1743"/>
      <c r="G5" s="1743"/>
    </row>
    <row r="6" spans="1:10" ht="16.5">
      <c r="A6" s="1746" t="s">
        <v>1356</v>
      </c>
      <c r="B6" s="1746">
        <f ca="1">SUM(G14:G23)</f>
        <v>52980</v>
      </c>
      <c r="C6" s="1746">
        <f ca="1">ROUND(B6*10000/$B$1,0)</f>
        <v>7914</v>
      </c>
      <c r="D6" s="1746">
        <f ca="1">ROUND(B6*10000/$B$2,0)</f>
        <v>34555</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66946.100000000006</v>
      </c>
      <c r="C14" s="1744">
        <f>结果表!C118</f>
        <v>15332.27</v>
      </c>
      <c r="D14" s="1744">
        <f ca="1">结果表!H118</f>
        <v>52980</v>
      </c>
      <c r="E14" s="1744">
        <f ca="1">ROUND(D14*10000/B14,0)</f>
        <v>7914</v>
      </c>
      <c r="F14" s="1744">
        <f ca="1">ROUND(D14*10000/C14,0)</f>
        <v>34555</v>
      </c>
      <c r="G14" s="1744">
        <f ca="1">结果表!D122</f>
        <v>52980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I30" sqref="I3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2116</v>
      </c>
      <c r="B1" s="2417"/>
      <c r="C1" s="2418" t="s">
        <v>3074</v>
      </c>
      <c r="D1" s="2417"/>
      <c r="E1" s="2417"/>
      <c r="F1" s="2419" t="s">
        <v>2117</v>
      </c>
      <c r="G1" s="2071" t="s">
        <v>3188</v>
      </c>
      <c r="H1" s="2420" t="str">
        <f>IF(G1="现房","——","估价对象范围")</f>
        <v>——</v>
      </c>
      <c r="I1" s="2421"/>
    </row>
    <row r="2" spans="1:12" ht="21.75" customHeight="1" thickBot="1">
      <c r="A2" s="3099" t="str">
        <f>项目基本情况!S2</f>
        <v>北京市通州区潞河镇（武夷花园东区）限价住宅及地下车库用房房地产市场价值房地产</v>
      </c>
      <c r="B2" s="3100"/>
      <c r="C2" s="3100"/>
      <c r="D2" s="3100"/>
      <c r="E2" s="3100"/>
      <c r="F2" s="3100"/>
      <c r="G2" s="3100"/>
      <c r="H2" s="3100"/>
      <c r="I2" s="3101"/>
    </row>
    <row r="3" spans="1:12" ht="12.75">
      <c r="A3" s="3103" t="s">
        <v>2118</v>
      </c>
      <c r="B3" s="3104"/>
      <c r="C3" s="3104"/>
      <c r="D3" s="3104"/>
      <c r="E3" s="3104"/>
      <c r="F3" s="3104"/>
      <c r="G3" s="3104"/>
      <c r="H3" s="3104"/>
      <c r="I3" s="3104"/>
    </row>
    <row r="4" spans="1:12" ht="14.25">
      <c r="A4" s="2424" t="s">
        <v>2119</v>
      </c>
      <c r="B4" s="2425" t="s">
        <v>2120</v>
      </c>
      <c r="C4" s="2426" t="s">
        <v>3185</v>
      </c>
      <c r="D4" s="2426" t="s">
        <v>3186</v>
      </c>
      <c r="E4" s="3096" t="s">
        <v>2121</v>
      </c>
      <c r="F4" s="3097"/>
      <c r="G4" s="3097"/>
      <c r="H4" s="3097"/>
      <c r="I4" s="3105"/>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比较法</v>
      </c>
    </row>
    <row r="5" spans="1:12" ht="12.75">
      <c r="A5" s="3079" t="s">
        <v>2122</v>
      </c>
      <c r="B5" s="3017">
        <v>25</v>
      </c>
      <c r="C5" s="3082"/>
      <c r="D5" s="3102"/>
      <c r="E5" s="140" t="s">
        <v>2123</v>
      </c>
      <c r="F5" s="2428"/>
      <c r="G5" s="2428"/>
      <c r="H5" s="2428"/>
      <c r="I5" s="1834"/>
    </row>
    <row r="6" spans="1:12" ht="12.75">
      <c r="A6" s="3079"/>
      <c r="B6" s="3017"/>
      <c r="C6" s="3083"/>
      <c r="D6" s="3102"/>
      <c r="E6" s="140" t="s">
        <v>2124</v>
      </c>
      <c r="F6" s="2428"/>
      <c r="G6" s="2428"/>
      <c r="H6" s="2428"/>
      <c r="I6" s="1834"/>
    </row>
    <row r="7" spans="1:12" ht="12.75">
      <c r="A7" s="3079"/>
      <c r="B7" s="3017"/>
      <c r="C7" s="3084"/>
      <c r="D7" s="3102"/>
      <c r="E7" s="140" t="s">
        <v>2125</v>
      </c>
      <c r="F7" s="2428"/>
      <c r="G7" s="2428"/>
      <c r="H7" s="2428"/>
      <c r="I7" s="1834"/>
    </row>
    <row r="8" spans="1:12" ht="12.75">
      <c r="A8" s="3079" t="s">
        <v>2126</v>
      </c>
      <c r="B8" s="3017">
        <v>15</v>
      </c>
      <c r="C8" s="3082"/>
      <c r="D8" s="3102"/>
      <c r="E8" s="140" t="s">
        <v>2127</v>
      </c>
      <c r="F8" s="2428"/>
      <c r="G8" s="2428"/>
      <c r="H8" s="2428"/>
      <c r="I8" s="1834"/>
    </row>
    <row r="9" spans="1:12" ht="12.75">
      <c r="A9" s="3079"/>
      <c r="B9" s="3017"/>
      <c r="C9" s="3084"/>
      <c r="D9" s="3102"/>
      <c r="E9" s="140" t="s">
        <v>2128</v>
      </c>
      <c r="F9" s="2428"/>
      <c r="G9" s="2428"/>
      <c r="H9" s="2428"/>
      <c r="I9" s="1834"/>
    </row>
    <row r="10" spans="1:12" ht="12.75">
      <c r="A10" s="3079" t="s">
        <v>2129</v>
      </c>
      <c r="B10" s="3017">
        <v>15</v>
      </c>
      <c r="C10" s="3082"/>
      <c r="D10" s="3102"/>
      <c r="E10" s="140" t="s">
        <v>2130</v>
      </c>
      <c r="F10" s="2428"/>
      <c r="G10" s="2428"/>
      <c r="H10" s="2428"/>
      <c r="I10" s="1834"/>
    </row>
    <row r="11" spans="1:12" ht="12.75">
      <c r="A11" s="3079"/>
      <c r="B11" s="3017"/>
      <c r="C11" s="3084"/>
      <c r="D11" s="3102"/>
      <c r="E11" s="140" t="s">
        <v>2131</v>
      </c>
      <c r="F11" s="2428"/>
      <c r="G11" s="2428"/>
      <c r="H11" s="2428"/>
      <c r="I11" s="1834"/>
    </row>
    <row r="12" spans="1:12" ht="12.75">
      <c r="A12" s="3079" t="s">
        <v>2132</v>
      </c>
      <c r="B12" s="3017">
        <v>15</v>
      </c>
      <c r="C12" s="3082"/>
      <c r="D12" s="3102"/>
      <c r="E12" s="140" t="s">
        <v>2133</v>
      </c>
      <c r="F12" s="2428"/>
      <c r="G12" s="2428"/>
      <c r="H12" s="2428"/>
      <c r="I12" s="1834"/>
    </row>
    <row r="13" spans="1:12" ht="12.75">
      <c r="A13" s="3079"/>
      <c r="B13" s="3017"/>
      <c r="C13" s="3084"/>
      <c r="D13" s="3102"/>
      <c r="E13" s="140" t="s">
        <v>2134</v>
      </c>
      <c r="F13" s="2428"/>
      <c r="G13" s="2428"/>
      <c r="H13" s="2428"/>
      <c r="I13" s="1834"/>
    </row>
    <row r="14" spans="1:12" ht="12.75">
      <c r="A14" s="3079" t="s">
        <v>2135</v>
      </c>
      <c r="B14" s="3017">
        <v>30</v>
      </c>
      <c r="C14" s="3082">
        <v>3</v>
      </c>
      <c r="D14" s="3102">
        <v>7</v>
      </c>
      <c r="E14" s="140" t="s">
        <v>2136</v>
      </c>
      <c r="F14" s="2428"/>
      <c r="G14" s="2428"/>
      <c r="H14" s="2428"/>
      <c r="I14" s="1834"/>
    </row>
    <row r="15" spans="1:12" ht="12.75">
      <c r="A15" s="3079"/>
      <c r="B15" s="3017"/>
      <c r="C15" s="3083"/>
      <c r="D15" s="3102"/>
      <c r="E15" s="140" t="s">
        <v>2137</v>
      </c>
      <c r="F15" s="2428"/>
      <c r="G15" s="2428"/>
      <c r="H15" s="2428"/>
      <c r="I15" s="1834"/>
    </row>
    <row r="16" spans="1:12" ht="12.75">
      <c r="A16" s="3079"/>
      <c r="B16" s="3017"/>
      <c r="C16" s="3084"/>
      <c r="D16" s="3102"/>
      <c r="E16" s="140" t="s">
        <v>2138</v>
      </c>
      <c r="F16" s="2428"/>
      <c r="G16" s="2428"/>
      <c r="H16" s="2428"/>
      <c r="I16" s="1834"/>
    </row>
    <row r="17" spans="1:35" ht="15">
      <c r="A17" s="2429" t="s">
        <v>2139</v>
      </c>
      <c r="B17" s="64"/>
      <c r="C17" s="141">
        <f>SUM(C5:C16)</f>
        <v>3</v>
      </c>
      <c r="D17" s="141">
        <f>SUM(D5:D16)</f>
        <v>7</v>
      </c>
      <c r="E17" s="138"/>
      <c r="F17" s="138"/>
      <c r="G17" s="138"/>
      <c r="H17" s="138"/>
      <c r="I17" s="138"/>
      <c r="K17" s="2427"/>
      <c r="L17" s="2430" t="s">
        <v>2140</v>
      </c>
      <c r="M17" s="2430" t="s">
        <v>2141</v>
      </c>
    </row>
    <row r="18" spans="1:35" ht="15.75" thickBot="1">
      <c r="A18" s="2431" t="s">
        <v>2142</v>
      </c>
      <c r="B18" s="2432"/>
      <c r="C18" s="142">
        <f>ROUND(C17/SUM(C17:D17),2)</f>
        <v>0.3</v>
      </c>
      <c r="D18" s="142">
        <f>1-C18</f>
        <v>0.7</v>
      </c>
      <c r="E18" s="138"/>
      <c r="F18" s="138"/>
      <c r="G18" s="138"/>
      <c r="H18" s="138"/>
      <c r="I18" s="138"/>
      <c r="K18" s="2427" t="s">
        <v>2143</v>
      </c>
      <c r="L18" s="2427">
        <f>IF(C1="",'数据-汇总表'!E3,SUMIF(项目类型,C1,'数据-汇总表'!E17:E26)+SUMIF(项目类型,C1,'数据-汇总表'!I17:I26))</f>
        <v>66946.100000000006</v>
      </c>
      <c r="M18" s="2427">
        <f>IF(C1="",'数据-汇总表'!E3,SUMIF(项目类型,C1,'数据-汇总表'!E17:E26))</f>
        <v>66946.100000000006</v>
      </c>
    </row>
    <row r="19" spans="1:35" ht="15">
      <c r="A19" s="2433" t="s">
        <v>2144</v>
      </c>
      <c r="B19" s="2434" t="s">
        <v>2145</v>
      </c>
      <c r="C19" s="143">
        <f ca="1">SUMIF(INDIRECT("'"&amp;C4&amp;"'"&amp;"!A:A"),结果表!B19,INDIRECT("'"&amp;C4&amp;"'"&amp;"!B:B"))</f>
        <v>65349</v>
      </c>
      <c r="D19" s="144">
        <f ca="1">SUMIF(INDIRECT("'"&amp;D4&amp;"'"&amp;"!A:A"),结果表!B19,INDIRECT("'"&amp;D4&amp;"'"&amp;"!B:B"))</f>
        <v>47679</v>
      </c>
      <c r="E19" s="2433" t="s">
        <v>2146</v>
      </c>
      <c r="F19" s="2434" t="s">
        <v>2145</v>
      </c>
      <c r="G19" s="145">
        <f ca="1">ROUND(C19*$C$18+D19*$D$18,0)</f>
        <v>52980</v>
      </c>
      <c r="H19" s="2435" t="s">
        <v>2147</v>
      </c>
      <c r="I19" s="138"/>
      <c r="K19" s="2427" t="s">
        <v>2148</v>
      </c>
      <c r="L19" s="2427">
        <f>IF(C1="",'数据-汇总表'!D3,SUMIF(项目类型,C1,'数据-汇总表'!D17:D26)+SUMIF(项目类型,C1,'数据-汇总表'!H17:H27))</f>
        <v>15332.27</v>
      </c>
      <c r="M19" s="2427">
        <f>IF(C1="",'数据-汇总表'!D3,SUMIF(项目类型,C1,'数据-汇总表'!D17:D26))</f>
        <v>15332.27</v>
      </c>
    </row>
    <row r="20" spans="1:35" ht="15">
      <c r="A20" s="2436"/>
      <c r="B20" s="1250" t="s">
        <v>2149</v>
      </c>
      <c r="C20" s="146">
        <f ca="1">SUMIF(INDIRECT("'"&amp;C4&amp;"'"&amp;"!A:A"),结果表!B20,INDIRECT("'"&amp;C4&amp;"'"&amp;"!B:B"))</f>
        <v>9761</v>
      </c>
      <c r="D20" s="147">
        <f ca="1">SUMIF(INDIRECT("'"&amp;D4&amp;"'"&amp;"!A:A"),结果表!B20,INDIRECT("'"&amp;D4&amp;"'"&amp;"!B:B"))</f>
        <v>7122</v>
      </c>
      <c r="E20" s="2436"/>
      <c r="F20" s="1250" t="s">
        <v>2149</v>
      </c>
      <c r="G20" s="148">
        <f ca="1">ROUND(C20*$C$18+D20*$D$18,0)</f>
        <v>7914</v>
      </c>
      <c r="H20" s="983" t="s">
        <v>2150</v>
      </c>
      <c r="I20" s="138"/>
    </row>
    <row r="21" spans="1:35" ht="15" customHeight="1" thickBot="1">
      <c r="A21" s="1003"/>
      <c r="B21" s="2437" t="s">
        <v>2151</v>
      </c>
      <c r="C21" s="789">
        <f ca="1">ROUND(C19*10000/L19,0)</f>
        <v>42622</v>
      </c>
      <c r="D21" s="790">
        <f ca="1">ROUND(D19*10000/L19,0)</f>
        <v>31097</v>
      </c>
      <c r="E21" s="1003"/>
      <c r="F21" s="2437" t="s">
        <v>2151</v>
      </c>
      <c r="G21" s="149">
        <f ca="1">ROUND(G19*10000/L19,0)</f>
        <v>34555</v>
      </c>
      <c r="H21" s="2438" t="s">
        <v>2150</v>
      </c>
      <c r="I21" s="138"/>
    </row>
    <row r="22" spans="1:35" ht="15" thickBot="1">
      <c r="A22" s="2280" t="s">
        <v>2152</v>
      </c>
      <c r="B22" s="2439"/>
      <c r="C22" s="2440"/>
      <c r="D22" s="791">
        <f ca="1">IF(C19&lt;D19,D19/C19-1,C19/D19-1)</f>
        <v>0.37060341030642419</v>
      </c>
      <c r="E22" s="138"/>
      <c r="F22" s="138"/>
      <c r="G22" s="138"/>
      <c r="H22" s="138"/>
      <c r="I22" s="138"/>
    </row>
    <row r="23" spans="1:35" ht="13.5" thickBot="1">
      <c r="A23" s="2417"/>
      <c r="B23" s="2417"/>
      <c r="C23" s="2417"/>
      <c r="D23" s="2417"/>
      <c r="E23" s="138"/>
      <c r="F23" s="138"/>
      <c r="G23" s="138"/>
      <c r="H23" s="138"/>
      <c r="I23" s="138"/>
    </row>
    <row r="24" spans="1:35" ht="14.25">
      <c r="A24" s="3073" t="s">
        <v>2153</v>
      </c>
      <c r="B24" s="2434" t="s">
        <v>2145</v>
      </c>
      <c r="C24" s="145">
        <f>IF(B30=0,0,D30)</f>
        <v>0</v>
      </c>
      <c r="D24" s="2441"/>
      <c r="E24" s="138"/>
      <c r="F24" s="138"/>
      <c r="G24" s="138"/>
      <c r="H24" s="138"/>
      <c r="I24" s="138"/>
    </row>
    <row r="25" spans="1:35" ht="14.25">
      <c r="A25" s="3074"/>
      <c r="B25" s="1250"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23" t="s">
        <v>3037</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52980</v>
      </c>
      <c r="D32" s="2448" t="s">
        <v>2160</v>
      </c>
      <c r="E32" s="138"/>
      <c r="F32" s="138"/>
      <c r="G32" s="138"/>
      <c r="H32" s="138"/>
      <c r="I32" s="138"/>
    </row>
    <row r="33" spans="1:15" ht="15">
      <c r="A33" s="960" t="s">
        <v>2161</v>
      </c>
      <c r="B33" s="2449"/>
      <c r="C33" s="2450"/>
      <c r="D33" s="2451"/>
      <c r="E33" s="2452" t="s">
        <v>2162</v>
      </c>
      <c r="F33" s="2453" t="str">
        <f>IF(D32="楼面单价","取值（单价）","取值（总价）")</f>
        <v>取值（总价）</v>
      </c>
      <c r="G33" s="138"/>
      <c r="H33" s="138"/>
      <c r="I33" s="138"/>
    </row>
    <row r="34" spans="1:15" ht="15">
      <c r="A34" s="2454"/>
      <c r="B34" s="2455"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2164</v>
      </c>
      <c r="F34" s="1739"/>
      <c r="G34" s="138"/>
      <c r="H34" s="138"/>
      <c r="I34" s="138"/>
    </row>
    <row r="35" spans="1:15" ht="15.75" thickBot="1">
      <c r="A35" s="2457"/>
      <c r="B35" s="2458"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2166</v>
      </c>
      <c r="F35" s="163"/>
      <c r="G35" s="138"/>
      <c r="H35" s="138"/>
      <c r="I35" s="138"/>
    </row>
    <row r="36" spans="1:15" ht="15.75" thickBot="1">
      <c r="A36" s="3091" t="s">
        <v>2167</v>
      </c>
      <c r="B36" s="2460" t="s">
        <v>2168</v>
      </c>
      <c r="C36" s="154"/>
      <c r="D36" s="2461"/>
      <c r="E36" s="2462"/>
      <c r="F36" s="2463"/>
      <c r="G36" s="138"/>
      <c r="H36" s="138"/>
      <c r="I36" s="138"/>
    </row>
    <row r="37" spans="1:15" ht="15.75" thickBot="1">
      <c r="A37" s="3092"/>
      <c r="B37" s="2266" t="s">
        <v>2169</v>
      </c>
      <c r="C37" s="156"/>
      <c r="D37" s="1395"/>
      <c r="E37" s="1395"/>
      <c r="F37" s="2463"/>
      <c r="G37" s="138"/>
      <c r="H37" s="138"/>
      <c r="I37" s="138"/>
    </row>
    <row r="38" spans="1:15" ht="15.75" thickBot="1">
      <c r="A38" s="3093"/>
      <c r="B38" s="2464" t="s">
        <v>2170</v>
      </c>
      <c r="C38" s="727"/>
      <c r="D38" s="2465" t="s">
        <v>2171</v>
      </c>
      <c r="E38" s="1395"/>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070" t="s">
        <v>2181</v>
      </c>
      <c r="B45" s="3071"/>
      <c r="C45" s="3072"/>
      <c r="D45" s="164">
        <f ca="1">ROUND(H101*F45,0)</f>
        <v>52980</v>
      </c>
      <c r="E45" s="165" t="s">
        <v>2182</v>
      </c>
      <c r="F45" s="166">
        <v>1</v>
      </c>
      <c r="G45" s="167" t="s">
        <v>2183</v>
      </c>
      <c r="H45" s="138"/>
      <c r="I45" s="138"/>
      <c r="J45" s="3130" t="s">
        <v>2184</v>
      </c>
      <c r="K45" s="3130"/>
      <c r="L45" s="3130"/>
      <c r="M45" s="3130"/>
      <c r="N45" s="3130"/>
      <c r="O45" s="3130"/>
    </row>
    <row r="46" spans="1:15" ht="14.25" customHeight="1">
      <c r="A46" s="3067" t="s">
        <v>2185</v>
      </c>
      <c r="B46" s="3068"/>
      <c r="C46" s="3068"/>
      <c r="D46" s="3068"/>
      <c r="E46" s="3068"/>
      <c r="F46" s="3068"/>
      <c r="G46" s="3069"/>
      <c r="H46" s="2479"/>
      <c r="I46" s="168"/>
      <c r="J46" s="1812">
        <v>1</v>
      </c>
      <c r="K46" s="3130" t="s">
        <v>2186</v>
      </c>
      <c r="L46" s="3130"/>
      <c r="M46" s="3150"/>
      <c r="N46" s="3150"/>
      <c r="O46" s="3150"/>
    </row>
    <row r="47" spans="1:15" ht="12" customHeight="1">
      <c r="A47" s="169" t="s">
        <v>2187</v>
      </c>
      <c r="B47" s="170"/>
      <c r="C47" s="171"/>
      <c r="D47" s="172" t="s">
        <v>2188</v>
      </c>
      <c r="E47" s="24" t="s">
        <v>2189</v>
      </c>
      <c r="F47" s="173" t="s">
        <v>2190</v>
      </c>
      <c r="G47" s="174" t="s">
        <v>2191</v>
      </c>
      <c r="H47" s="2479"/>
      <c r="I47" s="168"/>
      <c r="J47" s="1812">
        <v>2</v>
      </c>
      <c r="K47" s="3130" t="s">
        <v>2192</v>
      </c>
      <c r="L47" s="3130"/>
      <c r="M47" s="3151">
        <f>'数据-取费表'!B2</f>
        <v>41273</v>
      </c>
      <c r="N47" s="3151"/>
      <c r="O47" s="3151"/>
    </row>
    <row r="48" spans="1:15" ht="25.5">
      <c r="A48" s="3098" t="s">
        <v>2193</v>
      </c>
      <c r="B48" s="3081"/>
      <c r="C48" s="3081"/>
      <c r="D48" s="140">
        <f>IF(H48="情况1",0,IF(H48="情况2",D52,IF(H48="情况3",D53,IF(H48="情况4",D54))))</f>
        <v>0</v>
      </c>
      <c r="E48" s="1801" t="str">
        <f>IF(H48="情况4","(销售额-原购置价)×税（费）率","销售额×税（费）率")</f>
        <v>销售额×税（费）率</v>
      </c>
      <c r="F48" s="175" t="str">
        <f>IF(H48="情况1","免征",'数据-取费表'!B41)</f>
        <v>免征</v>
      </c>
      <c r="G48" s="2480" t="s">
        <v>2194</v>
      </c>
      <c r="H48" s="2481" t="s">
        <v>2195</v>
      </c>
      <c r="I48" s="2479"/>
      <c r="J48" s="1812">
        <v>3</v>
      </c>
      <c r="K48" s="3130" t="s">
        <v>2196</v>
      </c>
      <c r="L48" s="3130"/>
      <c r="M48" s="3152">
        <f ca="1">H101</f>
        <v>52980</v>
      </c>
      <c r="N48" s="3152"/>
      <c r="O48" s="3152"/>
    </row>
    <row r="49" spans="1:35" ht="25.5" customHeight="1">
      <c r="A49" s="176" t="s">
        <v>2197</v>
      </c>
      <c r="B49" s="3066" t="s">
        <v>2198</v>
      </c>
      <c r="C49" s="3066"/>
      <c r="D49" s="177">
        <v>0</v>
      </c>
      <c r="E49" s="23" t="s">
        <v>2199</v>
      </c>
      <c r="F49" s="28" t="s">
        <v>34</v>
      </c>
      <c r="G49" s="3136"/>
      <c r="H49" s="138"/>
      <c r="I49" s="2482"/>
      <c r="J49" s="1812">
        <v>4</v>
      </c>
      <c r="K49" s="3130" t="str">
        <f>IF(项目基本情况!E8="房地产抵押价值","房地产抵押价值","抵押担保权已注销时的房地产抵押价值")</f>
        <v>抵押担保权已注销时的房地产抵押价值</v>
      </c>
      <c r="L49" s="3130"/>
      <c r="M49" s="3152" t="str">
        <f>IF(项目基本情况!E8="房地产抵押价值",H107,H109)</f>
        <v>——</v>
      </c>
      <c r="N49" s="3152"/>
      <c r="O49" s="3152"/>
    </row>
    <row r="50" spans="1:35" ht="25.5" customHeight="1">
      <c r="A50" s="178"/>
      <c r="B50" s="3066" t="s">
        <v>2200</v>
      </c>
      <c r="C50" s="3066"/>
      <c r="D50" s="179"/>
      <c r="E50" s="31"/>
      <c r="F50" s="180"/>
      <c r="G50" s="3137"/>
      <c r="H50" s="138"/>
      <c r="I50" s="2482"/>
      <c r="J50" s="3130" t="s">
        <v>2201</v>
      </c>
      <c r="K50" s="3130"/>
      <c r="L50" s="3130"/>
      <c r="M50" s="3130"/>
      <c r="N50" s="3130"/>
      <c r="O50" s="3130"/>
    </row>
    <row r="51" spans="1:35" ht="12" customHeight="1">
      <c r="A51" s="181"/>
      <c r="B51" s="3066" t="s">
        <v>2202</v>
      </c>
      <c r="C51" s="3066"/>
      <c r="D51" s="182"/>
      <c r="E51" s="30"/>
      <c r="F51" s="180"/>
      <c r="G51" s="3138"/>
      <c r="H51" s="138"/>
      <c r="I51" s="2482"/>
      <c r="J51" s="2483" t="s">
        <v>2203</v>
      </c>
      <c r="K51" s="3130" t="s">
        <v>2204</v>
      </c>
      <c r="L51" s="3130"/>
      <c r="M51" s="2483" t="s">
        <v>2205</v>
      </c>
      <c r="N51" s="2483" t="s">
        <v>2206</v>
      </c>
      <c r="O51" s="2483" t="s">
        <v>2207</v>
      </c>
    </row>
    <row r="52" spans="1:35" ht="24" customHeight="1">
      <c r="A52" s="183" t="s">
        <v>2208</v>
      </c>
      <c r="B52" s="3066" t="s">
        <v>2209</v>
      </c>
      <c r="C52" s="3066"/>
      <c r="D52" s="182">
        <f ca="1">ROUND(D45*'数据-取费表'!B41/(1+'数据-取费表'!C42),0)</f>
        <v>2914</v>
      </c>
      <c r="E52" s="11" t="s">
        <v>2210</v>
      </c>
      <c r="F52" s="184">
        <f>'数据-取费表'!B41</f>
        <v>5.5000000000000007E-2</v>
      </c>
      <c r="G52" s="2484"/>
      <c r="H52" s="138"/>
      <c r="I52" s="2482"/>
      <c r="J52" s="1812">
        <v>1</v>
      </c>
      <c r="K52" s="3131" t="s">
        <v>2211</v>
      </c>
      <c r="L52" s="3131"/>
      <c r="M52" s="1754">
        <f>D48</f>
        <v>0</v>
      </c>
      <c r="N52" s="1812" t="str">
        <f>E48</f>
        <v>销售额×税（费）率</v>
      </c>
      <c r="O52" s="1755" t="str">
        <f>F48</f>
        <v>免征</v>
      </c>
    </row>
    <row r="53" spans="1:35" ht="12" customHeight="1">
      <c r="A53" s="183" t="s">
        <v>2212</v>
      </c>
      <c r="B53" s="3089" t="s">
        <v>2213</v>
      </c>
      <c r="C53" s="3090"/>
      <c r="D53" s="182">
        <f ca="1">ROUND(D45*'数据-取费表'!B41/(1+'数据-取费表'!C42),0)</f>
        <v>2914</v>
      </c>
      <c r="E53" s="11" t="s">
        <v>2210</v>
      </c>
      <c r="F53" s="184">
        <f>'数据-取费表'!B41</f>
        <v>5.5000000000000007E-2</v>
      </c>
      <c r="G53" s="2484"/>
      <c r="H53" s="138"/>
      <c r="I53" s="2482"/>
      <c r="J53" s="1812">
        <v>2</v>
      </c>
      <c r="K53" s="3131" t="s">
        <v>2214</v>
      </c>
      <c r="L53" s="3131"/>
      <c r="M53" s="1754">
        <f t="shared" ref="M53:O54" ca="1" si="0">D55</f>
        <v>26</v>
      </c>
      <c r="N53" s="1812" t="str">
        <f t="shared" si="0"/>
        <v>销售额×税（费）率</v>
      </c>
      <c r="O53" s="1755">
        <f t="shared" si="0"/>
        <v>5.0000000000000001E-4</v>
      </c>
    </row>
    <row r="54" spans="1:35" ht="12" customHeight="1">
      <c r="A54" s="183" t="s">
        <v>2215</v>
      </c>
      <c r="B54" s="3089" t="s">
        <v>2216</v>
      </c>
      <c r="C54" s="3090"/>
      <c r="D54" s="182">
        <f ca="1">C68</f>
        <v>2914</v>
      </c>
      <c r="E54" s="30" t="s">
        <v>2217</v>
      </c>
      <c r="F54" s="184">
        <f>'数据-取费表'!B41</f>
        <v>5.5000000000000007E-2</v>
      </c>
      <c r="G54" s="2484"/>
      <c r="H54" s="2485"/>
      <c r="I54" s="2482"/>
      <c r="J54" s="1812">
        <v>3</v>
      </c>
      <c r="K54" s="3131" t="s">
        <v>2218</v>
      </c>
      <c r="L54" s="3131"/>
      <c r="M54" s="1754">
        <f t="shared" ca="1" si="0"/>
        <v>31536</v>
      </c>
      <c r="N54" s="1812" t="str">
        <f t="shared" si="0"/>
        <v>增值额×税（费）率</v>
      </c>
      <c r="O54" s="1756" t="str">
        <f t="shared" si="0"/>
        <v>——</v>
      </c>
    </row>
    <row r="55" spans="1:35" ht="24" customHeight="1">
      <c r="A55" s="3080" t="s">
        <v>2219</v>
      </c>
      <c r="B55" s="3081"/>
      <c r="C55" s="3081"/>
      <c r="D55" s="185">
        <f ca="1">IF(H55="个人住宅",0,ROUND(D45*I55,0))</f>
        <v>26</v>
      </c>
      <c r="E55" s="11" t="s">
        <v>2220</v>
      </c>
      <c r="F55" s="184">
        <f>IF(H55="正常",I55,"免征")</f>
        <v>5.0000000000000001E-4</v>
      </c>
      <c r="G55" s="2484"/>
      <c r="H55" s="2481" t="s">
        <v>2221</v>
      </c>
      <c r="I55" s="186">
        <f>'数据-取费表'!B49</f>
        <v>5.0000000000000001E-4</v>
      </c>
      <c r="J55" s="1812" t="str">
        <f>IF(H59="非个人房产","",4)</f>
        <v/>
      </c>
      <c r="K55" s="3131" t="str">
        <f>IF(H59="非个人房产","——","个人所得税")</f>
        <v>——</v>
      </c>
      <c r="L55" s="3131"/>
      <c r="M55" s="1757" t="str">
        <f>D59</f>
        <v>——</v>
      </c>
      <c r="N55" s="1810" t="str">
        <f>E59</f>
        <v>——</v>
      </c>
      <c r="O55" s="1758" t="str">
        <f>F59</f>
        <v>——</v>
      </c>
    </row>
    <row r="56" spans="1:35" ht="24.75">
      <c r="A56" s="3080" t="s">
        <v>2222</v>
      </c>
      <c r="B56" s="3081"/>
      <c r="C56" s="3081"/>
      <c r="D56" s="185">
        <f ca="1">IF(H56="个人住宅",D57,D58)</f>
        <v>31536</v>
      </c>
      <c r="E56" s="11" t="s">
        <v>2223</v>
      </c>
      <c r="F56" s="184" t="str">
        <f>IF(H56="正常",F58,"免征")</f>
        <v>——</v>
      </c>
      <c r="G56" s="2486" t="s">
        <v>2224</v>
      </c>
      <c r="H56" s="2487" t="s">
        <v>2221</v>
      </c>
      <c r="I56" s="2488"/>
      <c r="J56" s="1812" t="str">
        <f>IF(项目基本情况!K6="上海银行",IF(J55="",4,J55+1),"")</f>
        <v/>
      </c>
      <c r="K56" s="3154" t="str">
        <f>IF(项目基本情况!K6="上海银行","其他处置费用","")</f>
        <v/>
      </c>
      <c r="L56" s="3155"/>
      <c r="M56" s="1754" t="str">
        <f>IF(项目基本情况!K6="上海银行",M69,"")</f>
        <v/>
      </c>
      <c r="N56" s="3157" t="str">
        <f>IF(项目基本情况!K6="上海银行","包含处置中涉及的律师、诉讼、拍卖、评估等费用","")</f>
        <v/>
      </c>
      <c r="O56" s="3158"/>
    </row>
    <row r="57" spans="1:35" ht="12.75">
      <c r="A57" s="183" t="s">
        <v>2197</v>
      </c>
      <c r="B57" s="3096" t="s">
        <v>2225</v>
      </c>
      <c r="C57" s="3105"/>
      <c r="D57" s="187">
        <v>0</v>
      </c>
      <c r="E57" s="23" t="s">
        <v>2199</v>
      </c>
      <c r="F57" s="155"/>
      <c r="G57" s="2484"/>
      <c r="H57" s="2488"/>
      <c r="I57" s="2488"/>
      <c r="J57" s="3131">
        <f>IF(AND(J55="",J56=""),4,IF(项目基本情况!K6="上海银行",结果表!J56+1,结果表!J55+1))</f>
        <v>4</v>
      </c>
      <c r="K57" s="3131" t="s">
        <v>2226</v>
      </c>
      <c r="L57" s="2489" t="s">
        <v>2227</v>
      </c>
      <c r="M57" s="1759"/>
      <c r="N57" s="1760">
        <f ca="1">SUMIF(M52:M56,"&lt;9e307")</f>
        <v>31562</v>
      </c>
      <c r="O57" s="2490"/>
      <c r="P57" s="1753" t="e">
        <f ca="1">N57/M49</f>
        <v>#VALUE!</v>
      </c>
    </row>
    <row r="58" spans="1:35" ht="24.75">
      <c r="A58" s="183" t="s">
        <v>2208</v>
      </c>
      <c r="B58" s="3096" t="s">
        <v>2228</v>
      </c>
      <c r="C58" s="3097"/>
      <c r="D58" s="185">
        <f ca="1">IF(H58="转让取得",C81,C97)</f>
        <v>31536</v>
      </c>
      <c r="E58" s="11" t="s">
        <v>2223</v>
      </c>
      <c r="F58" s="24" t="s">
        <v>34</v>
      </c>
      <c r="G58" s="2484"/>
      <c r="H58" s="2487" t="s">
        <v>2229</v>
      </c>
      <c r="I58" s="2488"/>
      <c r="J58" s="3131"/>
      <c r="K58" s="3131"/>
      <c r="L58" s="2489" t="s">
        <v>2230</v>
      </c>
      <c r="M58" s="1761"/>
      <c r="N58" s="2491" t="str">
        <f ca="1">NUMBERSTRING(INT(N57*10000),2)&amp;"元整"</f>
        <v>叁亿壹仟伍佰陆拾贰万元整</v>
      </c>
      <c r="O58" s="2492"/>
    </row>
    <row r="59" spans="1:35" ht="24.75" thickBot="1">
      <c r="A59" s="3134" t="s">
        <v>2231</v>
      </c>
      <c r="B59" s="3135"/>
      <c r="C59" s="3135"/>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132">
        <f>J57+1</f>
        <v>5</v>
      </c>
      <c r="K59" s="3131" t="s">
        <v>2233</v>
      </c>
      <c r="L59" s="1812" t="s">
        <v>2227</v>
      </c>
      <c r="M59" s="1762"/>
      <c r="N59" s="1763" t="e">
        <f ca="1">M49-N57</f>
        <v>#VALUE!</v>
      </c>
      <c r="O59" s="2494"/>
    </row>
    <row r="60" spans="1:35" ht="12" customHeight="1">
      <c r="A60" s="2495"/>
      <c r="B60" s="2417"/>
      <c r="C60" s="2417"/>
      <c r="D60" s="2417"/>
      <c r="E60" s="2166"/>
      <c r="F60" s="2488"/>
      <c r="G60" s="2488"/>
      <c r="H60" s="2496"/>
      <c r="I60" s="138"/>
      <c r="J60" s="3133"/>
      <c r="K60" s="3131"/>
      <c r="L60" s="2489" t="s">
        <v>2230</v>
      </c>
      <c r="M60" s="1761"/>
      <c r="N60" s="2491" t="e">
        <f ca="1">NUMBERSTRING(INT(N59*10000),2)&amp;"元整"</f>
        <v>#VALUE!</v>
      </c>
      <c r="O60" s="2492"/>
    </row>
    <row r="61" spans="1:35" ht="13.5" thickBot="1">
      <c r="A61" s="3078" t="s">
        <v>2234</v>
      </c>
      <c r="B61" s="3078"/>
      <c r="C61" s="3078"/>
      <c r="D61" s="3078"/>
      <c r="E61" s="3078"/>
      <c r="F61" s="2488"/>
      <c r="G61" s="2488"/>
      <c r="H61" s="2496"/>
      <c r="I61" s="138"/>
      <c r="J61" s="1812">
        <f>J59+1</f>
        <v>6</v>
      </c>
      <c r="K61" s="3131" t="s">
        <v>2235</v>
      </c>
      <c r="L61" s="3131"/>
      <c r="M61" s="1764"/>
      <c r="N61" s="1765" t="e">
        <f ca="1">ROUND(N59*10000/'数据-汇总表'!E3,0)</f>
        <v>#VALUE!</v>
      </c>
      <c r="O61" s="2497"/>
    </row>
    <row r="62" spans="1:35" ht="12.75">
      <c r="A62" s="3094" t="s">
        <v>2236</v>
      </c>
      <c r="B62" s="3095"/>
      <c r="C62" s="1804"/>
      <c r="D62" s="1804" t="s">
        <v>2237</v>
      </c>
      <c r="E62" s="192" t="s">
        <v>2238</v>
      </c>
      <c r="F62" s="2488"/>
      <c r="G62" s="2488"/>
      <c r="H62" s="2496"/>
      <c r="I62" s="138"/>
    </row>
    <row r="63" spans="1:35" ht="12.75">
      <c r="A63" s="203" t="s">
        <v>775</v>
      </c>
      <c r="B63" s="193" t="s">
        <v>2239</v>
      </c>
      <c r="C63" s="194">
        <f ca="1">ROUND((C64+C65)/(1+'数据-取费表'!C42),0)</f>
        <v>52980</v>
      </c>
      <c r="D63" s="195"/>
      <c r="E63" s="196"/>
      <c r="F63" s="2488"/>
      <c r="G63" s="2488"/>
      <c r="H63" s="2496"/>
      <c r="I63" s="138"/>
      <c r="J63" s="3156" t="s">
        <v>2240</v>
      </c>
      <c r="K63" s="2498" t="s">
        <v>2241</v>
      </c>
      <c r="L63" s="1752" t="e">
        <f>IF(M49&gt;10000,M49*0.5%,IF(AND(M49&gt;1000,M49&lt;=10000),M49*1%,IF(AND(M49&gt;100,M49&lt;=1000),M49*3%,IF(AND(M49&gt;10,M49&lt;=100),M49*5%,M49*8%))))</f>
        <v>#VALUE!</v>
      </c>
      <c r="M63" s="24" t="e">
        <f>ROUND(L63,1)</f>
        <v>#VALUE!</v>
      </c>
      <c r="Z63" s="2422"/>
      <c r="AI63" s="2423"/>
    </row>
    <row r="64" spans="1:35" ht="14.25" customHeight="1">
      <c r="A64" s="197" t="s">
        <v>770</v>
      </c>
      <c r="B64" s="198" t="s">
        <v>2242</v>
      </c>
      <c r="C64" s="199">
        <f ca="1">D45</f>
        <v>52980</v>
      </c>
      <c r="D64" s="200" t="s">
        <v>32</v>
      </c>
      <c r="E64" s="201"/>
      <c r="F64" s="2488"/>
      <c r="G64" s="2488"/>
      <c r="H64" s="2496"/>
      <c r="I64" s="138"/>
      <c r="J64" s="3156"/>
      <c r="K64" s="2498" t="s">
        <v>2243</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2"/>
      <c r="AI64" s="2423"/>
    </row>
    <row r="65" spans="1:35" ht="14.25" customHeight="1">
      <c r="A65" s="197" t="s">
        <v>771</v>
      </c>
      <c r="B65" s="198" t="s">
        <v>2245</v>
      </c>
      <c r="C65" s="202"/>
      <c r="D65" s="200"/>
      <c r="E65" s="201"/>
      <c r="F65" s="2488"/>
      <c r="G65" s="2488"/>
      <c r="H65" s="2496"/>
      <c r="I65" s="138"/>
      <c r="J65" s="3156"/>
      <c r="K65" s="2498" t="s">
        <v>2246</v>
      </c>
      <c r="L65" s="1752" t="e">
        <f>IF(M49&gt;1000,M49*0.1%,IF(AND(M49&gt;500,M49&lt;=1000),M49*0.5%,IF(AND(M49&gt;50,M49&lt;=500),M49*1%,IF(AND(M49&gt;1,M49&lt;=50),M49*1.5%))))</f>
        <v>#VALUE!</v>
      </c>
      <c r="M65" s="24" t="e">
        <f t="shared" si="1"/>
        <v>#VALUE!</v>
      </c>
      <c r="N65" s="138" t="s">
        <v>2244</v>
      </c>
      <c r="Z65" s="2422"/>
      <c r="AI65" s="2423"/>
    </row>
    <row r="66" spans="1:35" ht="14.25" customHeight="1">
      <c r="A66" s="203" t="s">
        <v>772</v>
      </c>
      <c r="B66" s="204" t="s">
        <v>2247</v>
      </c>
      <c r="C66" s="205"/>
      <c r="D66" s="206" t="s">
        <v>32</v>
      </c>
      <c r="E66" s="1776" t="s">
        <v>1371</v>
      </c>
      <c r="F66" s="2488"/>
      <c r="G66" s="2488"/>
      <c r="H66" s="2496"/>
      <c r="I66" s="138"/>
      <c r="J66" s="3156"/>
      <c r="K66" s="2498" t="s">
        <v>2248</v>
      </c>
      <c r="L66" s="1752" t="e">
        <f>M49*0.5%</f>
        <v>#VALUE!</v>
      </c>
      <c r="M66" s="24" t="e">
        <f>IF(L66&gt;0.5,0.5,ROUND(L66,0))</f>
        <v>#VALUE!</v>
      </c>
      <c r="N66" s="138" t="s">
        <v>2249</v>
      </c>
      <c r="Z66" s="2422"/>
      <c r="AI66" s="2423"/>
    </row>
    <row r="67" spans="1:35" ht="14.25" customHeight="1">
      <c r="A67" s="203" t="s">
        <v>773</v>
      </c>
      <c r="B67" s="204" t="s">
        <v>2250</v>
      </c>
      <c r="C67" s="207">
        <f ca="1">C63-C66</f>
        <v>52980</v>
      </c>
      <c r="D67" s="200" t="s">
        <v>32</v>
      </c>
      <c r="E67" s="201"/>
      <c r="F67" s="2488"/>
      <c r="G67" s="2488"/>
      <c r="H67" s="2496"/>
      <c r="I67" s="138"/>
      <c r="J67" s="3156"/>
      <c r="K67" s="2498" t="s">
        <v>2251</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2252</v>
      </c>
      <c r="C68" s="210">
        <f ca="1">IF(C67&lt;=0,0,ROUND(C67*D68,0))</f>
        <v>2914</v>
      </c>
      <c r="D68" s="211">
        <f>'数据-取费表'!B41</f>
        <v>5.5000000000000007E-2</v>
      </c>
      <c r="E68" s="212"/>
      <c r="F68" s="2488"/>
      <c r="G68" s="2488"/>
      <c r="H68" s="2496"/>
      <c r="I68" s="138"/>
      <c r="J68" s="3156"/>
      <c r="K68" s="2498" t="s">
        <v>2253</v>
      </c>
      <c r="L68" s="1752"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6"/>
      <c r="G69" s="2166"/>
      <c r="H69" s="2165"/>
      <c r="I69" s="2417"/>
      <c r="J69" s="3156"/>
      <c r="K69" s="2498" t="s">
        <v>2254</v>
      </c>
      <c r="L69" s="2504"/>
      <c r="M69" s="24" t="e">
        <f>ROUND(SUM(M63:M68),0)</f>
        <v>#VALUE!</v>
      </c>
      <c r="N69" s="1753"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5" t="s">
        <v>2255</v>
      </c>
      <c r="B70" s="3116"/>
      <c r="C70" s="3116"/>
      <c r="D70" s="3116"/>
      <c r="E70" s="3116"/>
      <c r="F70" s="3116"/>
      <c r="G70" s="3116"/>
      <c r="H70" s="311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4" t="s">
        <v>2236</v>
      </c>
      <c r="B71" s="3095"/>
      <c r="C71" s="1804"/>
      <c r="D71" s="1804"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52980</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265</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089" t="s">
        <v>2264</v>
      </c>
      <c r="F76" s="3066"/>
      <c r="G76" s="3066"/>
      <c r="H76" s="311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265</v>
      </c>
      <c r="D78" s="226">
        <f>'数据-取费表'!B43</f>
        <v>5.000000000000001E-3</v>
      </c>
      <c r="E78" s="3075" t="s">
        <v>2269</v>
      </c>
      <c r="F78" s="3076"/>
      <c r="G78" s="3076"/>
      <c r="H78" s="308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52715</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198.9245283018868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31536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5" t="s">
        <v>2273</v>
      </c>
      <c r="B83" s="3116"/>
      <c r="C83" s="3116"/>
      <c r="D83" s="3116"/>
      <c r="E83" s="3116"/>
      <c r="F83" s="3116"/>
      <c r="G83" s="3116"/>
      <c r="H83" s="311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4" t="s">
        <v>2236</v>
      </c>
      <c r="B84" s="3095"/>
      <c r="C84" s="1804"/>
      <c r="D84" s="1804"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52980</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265</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800"/>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75" t="s">
        <v>2282</v>
      </c>
      <c r="F91" s="3076"/>
      <c r="G91" s="3076"/>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75" t="s">
        <v>2286</v>
      </c>
      <c r="F92" s="3076"/>
      <c r="G92" s="3076"/>
      <c r="H92" s="308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265</v>
      </c>
      <c r="D93" s="226">
        <f>'数据-取费表'!B43</f>
        <v>5.000000000000001E-3</v>
      </c>
      <c r="E93" s="3075" t="s">
        <v>2269</v>
      </c>
      <c r="F93" s="3076"/>
      <c r="G93" s="3076"/>
      <c r="H93" s="308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086" t="s">
        <v>2290</v>
      </c>
      <c r="F94" s="3087"/>
      <c r="G94" s="3087"/>
      <c r="H94" s="308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52715</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198.9245283018868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31536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2291</v>
      </c>
      <c r="B99" s="2417"/>
      <c r="C99" s="2417"/>
      <c r="D99" s="2417"/>
      <c r="E99" s="2166"/>
      <c r="F99" s="2166"/>
      <c r="G99" s="2166"/>
      <c r="H99" s="2165"/>
      <c r="I99" s="138"/>
    </row>
    <row r="100" spans="1:35" ht="18.75" customHeight="1">
      <c r="A100" s="3060" t="s">
        <v>2292</v>
      </c>
      <c r="B100" s="3061"/>
      <c r="C100" s="3061"/>
      <c r="D100" s="3077"/>
      <c r="E100" s="3061" t="s">
        <v>2293</v>
      </c>
      <c r="F100" s="3061"/>
      <c r="G100" s="3061"/>
      <c r="H100" s="3077"/>
      <c r="I100" s="138"/>
    </row>
    <row r="101" spans="1:35" ht="18.75" customHeight="1">
      <c r="A101" s="3139" t="s">
        <v>2294</v>
      </c>
      <c r="B101" s="3140"/>
      <c r="C101" s="736" t="str">
        <f>C4</f>
        <v>成本法</v>
      </c>
      <c r="D101" s="737" t="str">
        <f>D4</f>
        <v>比较法-住宅</v>
      </c>
      <c r="E101" s="3153" t="s">
        <v>2295</v>
      </c>
      <c r="F101" s="3107"/>
      <c r="G101" s="2519" t="s">
        <v>2296</v>
      </c>
      <c r="H101" s="1048">
        <f ca="1">H118</f>
        <v>52980</v>
      </c>
      <c r="I101" s="138"/>
    </row>
    <row r="102" spans="1:35" ht="18.75" customHeight="1">
      <c r="A102" s="3109" t="s">
        <v>2297</v>
      </c>
      <c r="B102" s="2519" t="s">
        <v>2296</v>
      </c>
      <c r="C102" s="736">
        <f ca="1">C19</f>
        <v>65349</v>
      </c>
      <c r="D102" s="737">
        <f ca="1">D19</f>
        <v>47679</v>
      </c>
      <c r="E102" s="3153"/>
      <c r="F102" s="3107"/>
      <c r="G102" s="2519" t="s">
        <v>2298</v>
      </c>
      <c r="H102" s="371">
        <f ca="1">I118</f>
        <v>7914</v>
      </c>
      <c r="I102" s="138"/>
    </row>
    <row r="103" spans="1:35" ht="42.75" customHeight="1">
      <c r="A103" s="3109"/>
      <c r="B103" s="2519" t="s">
        <v>2298</v>
      </c>
      <c r="C103" s="738">
        <f ca="1">C20</f>
        <v>9761</v>
      </c>
      <c r="D103" s="739">
        <f ca="1">D20</f>
        <v>7122</v>
      </c>
      <c r="E103" s="3148" t="s">
        <v>2299</v>
      </c>
      <c r="F103" s="3149"/>
      <c r="G103" s="2520" t="s">
        <v>2300</v>
      </c>
      <c r="H103" s="1048">
        <f>IF(D36="正常操作",H104+H105+H106,H105+H106)</f>
        <v>0</v>
      </c>
      <c r="I103" s="138"/>
    </row>
    <row r="104" spans="1:35" ht="18.75" customHeight="1">
      <c r="A104" s="3109" t="s">
        <v>2301</v>
      </c>
      <c r="B104" s="2521" t="s">
        <v>2296</v>
      </c>
      <c r="C104" s="740">
        <f ca="1">H118</f>
        <v>52980</v>
      </c>
      <c r="D104" s="741"/>
      <c r="E104" s="2266" t="s">
        <v>2302</v>
      </c>
      <c r="F104" s="2258"/>
      <c r="G104" s="2520" t="s">
        <v>2300</v>
      </c>
      <c r="H104" s="1049">
        <f>IF(D36="同一抵押权人同一抵押物续贷",C36&amp;"（未扣减，详见特别提示）",C36)</f>
        <v>0</v>
      </c>
      <c r="I104" s="138"/>
    </row>
    <row r="105" spans="1:35" ht="18.75" customHeight="1" thickBot="1">
      <c r="A105" s="3110"/>
      <c r="B105" s="2522" t="s">
        <v>2298</v>
      </c>
      <c r="C105" s="742">
        <f ca="1">I118</f>
        <v>7914</v>
      </c>
      <c r="D105" s="743"/>
      <c r="E105" s="2266" t="s">
        <v>2303</v>
      </c>
      <c r="F105" s="2258"/>
      <c r="G105" s="2520" t="s">
        <v>2300</v>
      </c>
      <c r="H105" s="1049">
        <f>C37</f>
        <v>0</v>
      </c>
      <c r="I105" s="138"/>
    </row>
    <row r="106" spans="1:35" ht="18.75" customHeight="1">
      <c r="A106" s="2417" t="s">
        <v>2304</v>
      </c>
      <c r="B106" s="2417"/>
      <c r="C106" s="2417"/>
      <c r="D106" s="2417"/>
      <c r="E106" s="2523" t="s">
        <v>2305</v>
      </c>
      <c r="F106" s="2258"/>
      <c r="G106" s="2520" t="s">
        <v>2300</v>
      </c>
      <c r="H106" s="1049">
        <f>C38</f>
        <v>0</v>
      </c>
      <c r="I106" s="138"/>
    </row>
    <row r="107" spans="1:35" ht="18.75" customHeight="1">
      <c r="A107" s="138"/>
      <c r="B107" s="138"/>
      <c r="C107" s="138"/>
      <c r="D107" s="138"/>
      <c r="E107" s="3106" t="str">
        <f>IF(项目基本情况!E8="已注销","——","3.房地产抵押价值")</f>
        <v>3.房地产抵押价值</v>
      </c>
      <c r="F107" s="3107"/>
      <c r="G107" s="2519" t="s">
        <v>2296</v>
      </c>
      <c r="H107" s="1048">
        <f ca="1">IF(E107="——","——",H101-H103)</f>
        <v>52980</v>
      </c>
      <c r="I107" s="138"/>
    </row>
    <row r="108" spans="1:35" ht="18.75" customHeight="1">
      <c r="A108" s="138"/>
      <c r="B108" s="138"/>
      <c r="C108" s="138"/>
      <c r="D108" s="138"/>
      <c r="E108" s="3106"/>
      <c r="F108" s="3107"/>
      <c r="G108" s="2519" t="s">
        <v>2298</v>
      </c>
      <c r="H108" s="371">
        <f ca="1">ROUND(H107*10000/'数据-汇总表'!E3,0)</f>
        <v>4920</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19" t="s">
        <v>2296</v>
      </c>
      <c r="H109" s="348" t="str">
        <f>IF(E109="——","——",H101-H105-H106)</f>
        <v>——</v>
      </c>
      <c r="I109" s="138"/>
    </row>
    <row r="110" spans="1:35" ht="18.75" customHeight="1">
      <c r="A110" s="138"/>
      <c r="B110" s="138"/>
      <c r="C110" s="138"/>
      <c r="D110" s="138"/>
      <c r="E110" s="3106"/>
      <c r="F110" s="3107"/>
      <c r="G110" s="2519" t="s">
        <v>2298</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19" t="s">
        <v>2296</v>
      </c>
      <c r="H111" s="1048" t="str">
        <f>IF(E111="——","——",N59)</f>
        <v>——</v>
      </c>
      <c r="I111" s="138"/>
    </row>
    <row r="112" spans="1:35" ht="18.75" customHeight="1" thickBot="1">
      <c r="A112" s="138"/>
      <c r="B112" s="138"/>
      <c r="C112" s="138"/>
      <c r="D112" s="138"/>
      <c r="E112" s="3143"/>
      <c r="F112" s="3144"/>
      <c r="G112" s="2524" t="s">
        <v>2298</v>
      </c>
      <c r="H112" s="790" t="str">
        <f>IF(E111="——","——",N61)</f>
        <v>——</v>
      </c>
      <c r="I112" s="138"/>
    </row>
    <row r="113" spans="1:11" ht="18.75" customHeight="1">
      <c r="A113" s="138"/>
      <c r="B113" s="138"/>
      <c r="C113" s="138"/>
      <c r="D113" s="138"/>
      <c r="E113" s="3111" t="s">
        <v>2304</v>
      </c>
      <c r="F113" s="3111"/>
      <c r="G113" s="3111"/>
      <c r="H113" s="3111"/>
      <c r="I113" s="138"/>
    </row>
    <row r="114" spans="1:11" ht="3.75" customHeight="1">
      <c r="A114" s="2417"/>
      <c r="B114" s="2417"/>
      <c r="C114" s="2417"/>
      <c r="D114" s="2417"/>
      <c r="E114" s="2495"/>
      <c r="F114" s="2495"/>
      <c r="G114" s="2495"/>
      <c r="H114" s="2495"/>
      <c r="I114" s="2417"/>
    </row>
    <row r="115" spans="1:11" ht="18.75" customHeight="1">
      <c r="A115" s="3124" t="s">
        <v>2306</v>
      </c>
      <c r="B115" s="3125"/>
      <c r="C115" s="3125"/>
      <c r="D115" s="3125"/>
      <c r="E115" s="3125"/>
      <c r="F115" s="3125"/>
      <c r="G115" s="3125"/>
      <c r="H115" s="3125"/>
      <c r="I115" s="3126"/>
    </row>
    <row r="116" spans="1:11" ht="27" customHeight="1">
      <c r="A116" s="3017" t="s">
        <v>2307</v>
      </c>
      <c r="B116" s="3112" t="s">
        <v>2308</v>
      </c>
      <c r="C116" s="3112" t="s">
        <v>2309</v>
      </c>
      <c r="D116" s="3128" t="s">
        <v>2310</v>
      </c>
      <c r="E116" s="3129"/>
      <c r="F116" s="3120" t="s">
        <v>2311</v>
      </c>
      <c r="G116" s="3120"/>
      <c r="H116" s="3017" t="s">
        <v>2312</v>
      </c>
      <c r="I116" s="3017"/>
    </row>
    <row r="117" spans="1:11" ht="18.75" customHeight="1">
      <c r="A117" s="3017"/>
      <c r="B117" s="3113"/>
      <c r="C117" s="3113"/>
      <c r="D117" s="1798" t="s">
        <v>2313</v>
      </c>
      <c r="E117" s="1798" t="s">
        <v>2314</v>
      </c>
      <c r="F117" s="1798" t="s">
        <v>2313</v>
      </c>
      <c r="G117" s="1798" t="s">
        <v>2315</v>
      </c>
      <c r="H117" s="1798" t="s">
        <v>2313</v>
      </c>
      <c r="I117" s="1798" t="s">
        <v>2315</v>
      </c>
    </row>
    <row r="118" spans="1:11" ht="24.75" customHeight="1">
      <c r="A118" s="2525" t="str">
        <f>项目基本情况!S2</f>
        <v>北京市通州区潞河镇（武夷花园东区）限价住宅及地下车库用房房地产市场价值房地产</v>
      </c>
      <c r="B118" s="1798">
        <f>M18</f>
        <v>66946.100000000006</v>
      </c>
      <c r="C118" s="1798">
        <f>M19</f>
        <v>15332.27</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52980</v>
      </c>
      <c r="I118" s="1798">
        <f ca="1">ROUND(IF(D32="楼面单价",C32,H118*10000/B118),0)</f>
        <v>7914</v>
      </c>
    </row>
    <row r="119" spans="1:11" ht="18.75" customHeight="1">
      <c r="A119" s="3017" t="s">
        <v>2316</v>
      </c>
      <c r="B119" s="3017"/>
      <c r="C119" s="3017"/>
      <c r="D119" s="3117" t="e">
        <f ca="1">NUMBERSTRING(INT(D118*10000),2)&amp;"元整"</f>
        <v>#REF!</v>
      </c>
      <c r="E119" s="3119"/>
      <c r="F119" s="3117" t="e">
        <f ca="1">NUMBERSTRING(INT(F118*10000),2)&amp;"元整"</f>
        <v>#REF!</v>
      </c>
      <c r="G119" s="3119"/>
      <c r="H119" s="3117" t="str">
        <f ca="1">NUMBERSTRING(INT(H118*10000),2)&amp;"元整"</f>
        <v>伍亿贰仟玖佰捌拾万元整</v>
      </c>
      <c r="I119" s="3119"/>
    </row>
    <row r="120" spans="1:11" ht="18.75" customHeight="1">
      <c r="A120" s="3145" t="str">
        <f>IF(项目基本情况!B9="房地产市场价值","",MID(E103,3,LEN(E103)-2))</f>
        <v/>
      </c>
      <c r="B120" s="3146"/>
      <c r="C120" s="3147"/>
      <c r="D120" s="3145">
        <f>H103</f>
        <v>0</v>
      </c>
      <c r="E120" s="3146"/>
      <c r="F120" s="3146"/>
      <c r="G120" s="3146"/>
      <c r="H120" s="3146"/>
      <c r="I120" s="3147"/>
      <c r="K120" s="2422" t="str">
        <f>IF(D120=0,"故，本次评估不存在"&amp;A120,"故，本次评估"&amp;A120&amp;"为人民币"&amp;D120&amp;"万元整。")</f>
        <v>故，本次评估不存在</v>
      </c>
    </row>
    <row r="121" spans="1:11" ht="18.75" customHeight="1">
      <c r="A121" s="3121" t="s">
        <v>2316</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
      </c>
      <c r="B122" s="3108"/>
      <c r="C122" s="3108"/>
      <c r="D122" s="3145">
        <f ca="1">H107</f>
        <v>52980</v>
      </c>
      <c r="E122" s="3146"/>
      <c r="F122" s="3146"/>
      <c r="G122" s="3146"/>
      <c r="H122" s="3146"/>
      <c r="I122" s="3147"/>
    </row>
    <row r="123" spans="1:11" ht="18.75" customHeight="1">
      <c r="A123" s="3017" t="s">
        <v>2316</v>
      </c>
      <c r="B123" s="3017"/>
      <c r="C123" s="3017"/>
      <c r="D123" s="3117" t="str">
        <f ca="1">NUMBERSTRING(INT(D122*10000),2)&amp;"元整"</f>
        <v>伍亿贰仟玖佰捌拾万元整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2316</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2316</v>
      </c>
      <c r="B127" s="3017"/>
      <c r="C127" s="3017"/>
      <c r="D127" s="3117" t="e">
        <f>NUMBERSTRING(INT(D126*10000),2)&amp;"元整"</f>
        <v>#VALUE!</v>
      </c>
      <c r="E127" s="3118"/>
      <c r="F127" s="3118"/>
      <c r="G127" s="3118"/>
      <c r="H127" s="3118"/>
      <c r="I127" s="3119"/>
    </row>
    <row r="128" spans="1:11" ht="21.75" customHeight="1">
      <c r="A128" s="3127" t="s">
        <v>2317</v>
      </c>
      <c r="B128" s="3127"/>
      <c r="C128" s="3127"/>
      <c r="D128" s="3127"/>
      <c r="E128" s="3127"/>
      <c r="F128" s="3127"/>
      <c r="G128" s="3127"/>
      <c r="H128" s="3127"/>
      <c r="I128" s="3127"/>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1" sqref="M21"/>
    </sheetView>
  </sheetViews>
  <sheetFormatPr defaultRowHeight="14.25"/>
  <cols>
    <col min="1" max="1" width="14.375" style="403" customWidth="1"/>
    <col min="2" max="2" width="15.75" style="403" customWidth="1"/>
    <col min="3" max="3" width="20" style="403" customWidth="1"/>
    <col min="4" max="4" width="14.125" style="403" customWidth="1"/>
    <col min="5" max="5" width="14.375" style="403" customWidth="1"/>
    <col min="6" max="6" width="12.25" style="403" customWidth="1"/>
    <col min="7" max="7" width="14.5" style="403" customWidth="1"/>
    <col min="8" max="8" width="12.25" style="403" customWidth="1"/>
    <col min="9" max="9" width="16.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34614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5170</v>
      </c>
      <c r="C3" s="247" t="s">
        <v>2745</v>
      </c>
      <c r="D3" s="1586">
        <f>'数据-汇总表'!F19</f>
        <v>66946.100000000006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63" t="s">
        <v>2645</v>
      </c>
      <c r="D4" s="3176"/>
      <c r="E4" s="3177" t="s">
        <v>2646</v>
      </c>
      <c r="F4" s="3178"/>
      <c r="G4" s="3163" t="s">
        <v>2647</v>
      </c>
      <c r="H4" s="3176"/>
      <c r="I4" s="3163" t="s">
        <v>2648</v>
      </c>
      <c r="J4" s="3176"/>
      <c r="K4" s="610" t="s">
        <v>2649</v>
      </c>
      <c r="L4" s="1133"/>
      <c r="M4" s="1134"/>
      <c r="N4" s="1134"/>
      <c r="O4" s="1134"/>
      <c r="P4" s="3179" t="s">
        <v>2650</v>
      </c>
      <c r="Q4" s="3180"/>
      <c r="R4" s="3185" t="s">
        <v>2646</v>
      </c>
      <c r="S4" s="3186"/>
      <c r="T4" s="3185" t="s">
        <v>2647</v>
      </c>
      <c r="U4" s="3186"/>
      <c r="V4" s="3172" t="s">
        <v>2648</v>
      </c>
      <c r="W4" s="3172"/>
      <c r="X4" s="1816"/>
      <c r="Y4" s="3185" t="s">
        <v>2650</v>
      </c>
      <c r="Z4" s="3186"/>
      <c r="AA4" s="3173" t="s">
        <v>2646</v>
      </c>
      <c r="AB4" s="3174" t="s">
        <v>2647</v>
      </c>
      <c r="AC4" s="3173" t="s">
        <v>2648</v>
      </c>
    </row>
    <row r="5" spans="1:30" ht="15">
      <c r="A5" s="404"/>
      <c r="B5" s="405"/>
      <c r="C5" s="3193" t="s">
        <v>2541</v>
      </c>
      <c r="D5" s="3194"/>
      <c r="E5" s="3200" t="str">
        <f>土地案例!A2</f>
        <v>通州区梨园镇0802-168地块F1住宅混合公建用地、0802-166地块C2商业金融用地、0802-164地块S31机动车停车场库用地(配建限价商品住房、经济适用房)</v>
      </c>
      <c r="F5" s="3201"/>
      <c r="G5" s="3193" t="str">
        <f>土地案例!A3</f>
        <v>昌平区沙河镇南一村二类居住用地(配建限价商品住房)</v>
      </c>
      <c r="H5" s="3194"/>
      <c r="I5" s="3193" t="str">
        <f>土地案例!A4</f>
        <v>通州区永顺镇居住、托幼及小学项目(配建限价商品住房和自住型商品住房)</v>
      </c>
      <c r="J5" s="3194"/>
      <c r="K5" s="610"/>
      <c r="L5" s="1133"/>
      <c r="M5" s="1134"/>
      <c r="N5" s="1134"/>
      <c r="O5" s="1134"/>
      <c r="P5" s="3181"/>
      <c r="Q5" s="3182"/>
      <c r="R5" s="3187"/>
      <c r="S5" s="3188"/>
      <c r="T5" s="3187"/>
      <c r="U5" s="3188"/>
      <c r="V5" s="3172"/>
      <c r="W5" s="3172"/>
      <c r="X5" s="1816"/>
      <c r="Y5" s="3187"/>
      <c r="Z5" s="3188"/>
      <c r="AA5" s="3174"/>
      <c r="AB5" s="3174"/>
      <c r="AC5" s="3174"/>
    </row>
    <row r="6" spans="1:30" ht="15.75" thickBot="1">
      <c r="A6" s="406"/>
      <c r="B6" s="407"/>
      <c r="C6" s="3191" t="s">
        <v>2545</v>
      </c>
      <c r="D6" s="3192"/>
      <c r="E6" s="3198" t="s">
        <v>2545</v>
      </c>
      <c r="F6" s="3199"/>
      <c r="G6" s="3191" t="s">
        <v>2545</v>
      </c>
      <c r="H6" s="3192"/>
      <c r="I6" s="3191" t="s">
        <v>2545</v>
      </c>
      <c r="J6" s="3192"/>
      <c r="K6" s="610" t="s">
        <v>2546</v>
      </c>
      <c r="L6" s="1133"/>
      <c r="M6" s="1134"/>
      <c r="N6" s="1134"/>
      <c r="O6" s="1134"/>
      <c r="P6" s="3183"/>
      <c r="Q6" s="3184"/>
      <c r="R6" s="3187"/>
      <c r="S6" s="3188"/>
      <c r="T6" s="3189"/>
      <c r="U6" s="3190"/>
      <c r="V6" s="3172"/>
      <c r="W6" s="3172"/>
      <c r="X6" s="1816"/>
      <c r="Y6" s="3189"/>
      <c r="Z6" s="3190"/>
      <c r="AA6" s="3175"/>
      <c r="AB6" s="3175"/>
      <c r="AC6" s="3175"/>
    </row>
    <row r="7" spans="1:30" s="117" customFormat="1" ht="15.75" thickBot="1">
      <c r="A7" s="408" t="s">
        <v>2547</v>
      </c>
      <c r="B7" s="409"/>
      <c r="C7" s="410">
        <f>'数据-取费表'!B2</f>
        <v>41273</v>
      </c>
      <c r="D7" s="411">
        <v>100</v>
      </c>
      <c r="E7" s="2960" t="str">
        <f>土地案例!AA2</f>
        <v>2012-12-31</v>
      </c>
      <c r="F7" s="2962">
        <f>SUMIF(70:70,YEAR(E7)&amp;"-"&amp;INT((MONTH(E7)+2)/3),71:71)</f>
        <v>100</v>
      </c>
      <c r="G7" s="2961" t="str">
        <f>土地案例!AA3</f>
        <v>2012-09-29</v>
      </c>
      <c r="H7" s="2962">
        <f>SUMIF(70:70,YEAR(G7)&amp;"-"&amp;INT((MONTH(G7)+2)/3),71:71)</f>
        <v>99.5</v>
      </c>
      <c r="I7" s="2961" t="str">
        <f>土地案例!AA4</f>
        <v>2013-12-24</v>
      </c>
      <c r="J7" s="2971">
        <v>102</v>
      </c>
      <c r="K7" s="611"/>
      <c r="L7" s="1135"/>
      <c r="M7" s="1136"/>
      <c r="N7" s="1136"/>
      <c r="O7" s="1136"/>
      <c r="P7" s="3195" t="s">
        <v>2548</v>
      </c>
      <c r="Q7" s="3197"/>
      <c r="R7" s="770" t="s">
        <v>17</v>
      </c>
      <c r="S7" s="771">
        <f t="shared" ref="S7:S15" si="0">F7</f>
        <v>100</v>
      </c>
      <c r="T7" s="770" t="s">
        <v>17</v>
      </c>
      <c r="U7" s="771">
        <f t="shared" ref="U7:U15" si="1">H7</f>
        <v>99.5</v>
      </c>
      <c r="V7" s="770" t="s">
        <v>17</v>
      </c>
      <c r="W7" s="771">
        <f t="shared" ref="W7:W15" si="2">J7</f>
        <v>102</v>
      </c>
      <c r="X7" s="772"/>
      <c r="Y7" s="3195" t="s">
        <v>2548</v>
      </c>
      <c r="Z7" s="3196"/>
      <c r="AA7" s="773">
        <f>D7/F7</f>
        <v>1</v>
      </c>
      <c r="AB7" s="773">
        <f>D7/H7</f>
        <v>1.0050251256281406</v>
      </c>
      <c r="AC7" s="773">
        <f>D7/J7</f>
        <v>0.98039215686274506</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5"/>
      <c r="M8" s="1136"/>
      <c r="N8" s="1136"/>
      <c r="O8" s="1136"/>
      <c r="P8" s="3195" t="s">
        <v>2551</v>
      </c>
      <c r="Q8" s="3196"/>
      <c r="R8" s="770" t="s">
        <v>17</v>
      </c>
      <c r="S8" s="771">
        <f t="shared" si="0"/>
        <v>100</v>
      </c>
      <c r="T8" s="770" t="s">
        <v>17</v>
      </c>
      <c r="U8" s="771">
        <f t="shared" si="1"/>
        <v>100</v>
      </c>
      <c r="V8" s="770" t="s">
        <v>17</v>
      </c>
      <c r="W8" s="771">
        <f t="shared" si="2"/>
        <v>100</v>
      </c>
      <c r="X8" s="772"/>
      <c r="Y8" s="3195" t="s">
        <v>2551</v>
      </c>
      <c r="Z8" s="3196"/>
      <c r="AA8" s="773">
        <f t="shared" ref="AA8:AA45" si="3">D8/F8</f>
        <v>1</v>
      </c>
      <c r="AB8" s="773">
        <f t="shared" ref="AB8:AB45" si="4">D8/H8</f>
        <v>1</v>
      </c>
      <c r="AC8" s="773">
        <f t="shared" ref="AC8:AC45" si="5">D8/J8</f>
        <v>1</v>
      </c>
    </row>
    <row r="9" spans="1:30" s="117" customFormat="1">
      <c r="A9" s="415" t="s">
        <v>2552</v>
      </c>
      <c r="B9" s="71" t="s">
        <v>2553</v>
      </c>
      <c r="C9" s="2697" t="s">
        <v>3058</v>
      </c>
      <c r="D9" s="135">
        <v>100</v>
      </c>
      <c r="E9" s="2697" t="s">
        <v>3058</v>
      </c>
      <c r="F9" s="135">
        <f>SUMIF(75:75,E9,76:76)-SUMIF(75:75,C9,76:76)+100</f>
        <v>100</v>
      </c>
      <c r="G9" s="2697" t="s">
        <v>3058</v>
      </c>
      <c r="H9" s="135">
        <f>SUMIF(75:75,G9,76:76)-SUMIF(75:75,C9,76:76)+100</f>
        <v>100</v>
      </c>
      <c r="I9" s="2697" t="s">
        <v>3058</v>
      </c>
      <c r="J9" s="135">
        <f>SUMIF(75:75,I9,76:76)-SUMIF(75:75,C9,76:76)+100</f>
        <v>100</v>
      </c>
      <c r="K9" s="611"/>
      <c r="L9" s="1135"/>
      <c r="M9" s="1136"/>
      <c r="N9" s="1136"/>
      <c r="O9" s="1137"/>
      <c r="P9" s="3166" t="s">
        <v>2554</v>
      </c>
      <c r="Q9" s="1798"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66"/>
      <c r="Q10" s="1798" t="str">
        <f t="shared" si="6"/>
        <v>土地使用年限（年）</v>
      </c>
      <c r="R10" s="770" t="s">
        <v>17</v>
      </c>
      <c r="S10" s="771">
        <f t="shared" si="0"/>
        <v>105</v>
      </c>
      <c r="T10" s="770" t="s">
        <v>17</v>
      </c>
      <c r="U10" s="771">
        <f t="shared" si="1"/>
        <v>105</v>
      </c>
      <c r="V10" s="770" t="s">
        <v>17</v>
      </c>
      <c r="W10" s="771">
        <f t="shared" si="2"/>
        <v>105</v>
      </c>
      <c r="X10" s="772"/>
      <c r="Y10" s="3017"/>
      <c r="Z10" s="55" t="str">
        <f t="shared" si="7"/>
        <v>土地使用年限（年）</v>
      </c>
      <c r="AA10" s="773">
        <f t="shared" si="3"/>
        <v>0.95238095238095233</v>
      </c>
      <c r="AB10" s="773">
        <f t="shared" si="4"/>
        <v>0.95238095238095233</v>
      </c>
      <c r="AC10" s="773">
        <f t="shared" si="5"/>
        <v>0.95238095238095233</v>
      </c>
    </row>
    <row r="11" spans="1:30" ht="15">
      <c r="A11" s="428"/>
      <c r="B11" s="422" t="s">
        <v>2557</v>
      </c>
      <c r="C11" s="429">
        <f>'数据-汇总表'!I7</f>
        <v>2.71</v>
      </c>
      <c r="D11" s="136">
        <v>100</v>
      </c>
      <c r="E11" s="429">
        <f>土地案例!L2</f>
        <v>2.0099999999999998</v>
      </c>
      <c r="F11" s="136">
        <f>LOOKUP(E11,80:80,81:81)-LOOKUP(C11,80:80,81:81)+100</f>
        <v>100</v>
      </c>
      <c r="G11" s="430">
        <f>土地案例!L3</f>
        <v>2.2799999999999998</v>
      </c>
      <c r="H11" s="136">
        <f>LOOKUP(G11,80:80,81:81)-LOOKUP(C11,80:80,81:81)+100</f>
        <v>100</v>
      </c>
      <c r="I11" s="429">
        <f>土地案例!L4</f>
        <v>2.38</v>
      </c>
      <c r="J11" s="136">
        <f>LOOKUP(I11,80:80,81:81)-LOOKUP(C11,80:80,81:81)+100</f>
        <v>100</v>
      </c>
      <c r="K11" s="673">
        <v>1</v>
      </c>
      <c r="L11" s="1141"/>
      <c r="M11" s="1134"/>
      <c r="N11" s="1134"/>
      <c r="O11" s="1142"/>
      <c r="P11" s="3166"/>
      <c r="Q11" s="1798" t="str">
        <f t="shared" si="6"/>
        <v>容积率</v>
      </c>
      <c r="R11" s="770" t="s">
        <v>17</v>
      </c>
      <c r="S11" s="771">
        <f t="shared" si="0"/>
        <v>100</v>
      </c>
      <c r="T11" s="770" t="s">
        <v>17</v>
      </c>
      <c r="U11" s="771">
        <f t="shared" si="1"/>
        <v>100</v>
      </c>
      <c r="V11" s="770" t="s">
        <v>17</v>
      </c>
      <c r="W11" s="771">
        <f t="shared" si="2"/>
        <v>100</v>
      </c>
      <c r="X11" s="772"/>
      <c r="Y11" s="3017"/>
      <c r="Z11" s="55" t="str">
        <f t="shared" si="7"/>
        <v>容积率</v>
      </c>
      <c r="AA11" s="773">
        <f t="shared" si="3"/>
        <v>1</v>
      </c>
      <c r="AB11" s="773">
        <f t="shared" si="4"/>
        <v>1</v>
      </c>
      <c r="AC11" s="773">
        <f t="shared" si="5"/>
        <v>1</v>
      </c>
    </row>
    <row r="12" spans="1:30" s="117" customFormat="1" ht="15.75" thickBot="1">
      <c r="A12" s="431"/>
      <c r="B12" s="2600" t="s">
        <v>2746</v>
      </c>
      <c r="C12" s="2957"/>
      <c r="D12" s="433">
        <v>100</v>
      </c>
      <c r="E12" s="2958"/>
      <c r="F12" s="136">
        <f>SUMIF(82:82,E12,83:83)-SUMIF(82:82,C12,83:83)+100</f>
        <v>100</v>
      </c>
      <c r="G12" s="2958"/>
      <c r="H12" s="136">
        <f>SUMIF(82:82,G12,83:83)-SUMIF(82:82,C12,83:83)+100</f>
        <v>100</v>
      </c>
      <c r="I12" s="2958"/>
      <c r="J12" s="136">
        <f>SUMIF(82:82,I12,83:83)-SUMIF(82:82,C12,83:83)+100</f>
        <v>100</v>
      </c>
      <c r="K12" s="672"/>
      <c r="L12" s="1135"/>
      <c r="M12" s="1136"/>
      <c r="N12" s="1136"/>
      <c r="O12" s="1137"/>
      <c r="P12" s="3166"/>
      <c r="Q12" s="1798"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hidden="1">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hidden="1"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6"/>
      <c r="Q14" s="1798">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110.25" customHeight="1">
      <c r="A15" s="440" t="s">
        <v>2558</v>
      </c>
      <c r="B15" s="69" t="s">
        <v>2087</v>
      </c>
      <c r="C15" s="2603" t="str">
        <f>估价对象房地状况!C15</f>
        <v>估价对象周边居住用地比例较高、居住小区规模较大、社区发展完善程度较好，有月季园、荔景园等多个住宅项目，综合评价居住社区成熟度较好</v>
      </c>
      <c r="D15" s="441">
        <v>100</v>
      </c>
      <c r="E15" s="2955"/>
      <c r="F15" s="441">
        <f>SUMIF(88:88,E16,89:89)-SUMIF(88:88,C16,89:89)+100</f>
        <v>100</v>
      </c>
      <c r="G15" s="2955"/>
      <c r="H15" s="441">
        <f>SUMIF(88:88,G16,89:89)-SUMIF(88:88,C16,89:89)+100</f>
        <v>100</v>
      </c>
      <c r="I15" s="2953"/>
      <c r="J15" s="441">
        <f>SUMIF(88:88,I16,89:89)-SUMIF(88:88,C16,89:89)+100</f>
        <v>100</v>
      </c>
      <c r="K15" s="673">
        <v>2</v>
      </c>
      <c r="L15" s="1143"/>
      <c r="M15" s="1134"/>
      <c r="N15" s="1134"/>
      <c r="O15" s="1142"/>
      <c r="P15" s="3168" t="s">
        <v>2559</v>
      </c>
      <c r="Q15" s="1813" t="str">
        <f t="shared" si="6"/>
        <v>居住社区成熟度</v>
      </c>
      <c r="R15" s="774" t="s">
        <v>17</v>
      </c>
      <c r="S15" s="775">
        <f t="shared" si="0"/>
        <v>100</v>
      </c>
      <c r="T15" s="774" t="s">
        <v>17</v>
      </c>
      <c r="U15" s="775">
        <f t="shared" si="1"/>
        <v>100</v>
      </c>
      <c r="V15" s="774" t="s">
        <v>17</v>
      </c>
      <c r="W15" s="775">
        <f t="shared" si="2"/>
        <v>100</v>
      </c>
      <c r="X15" s="1816"/>
      <c r="Y15" s="3168" t="s">
        <v>2559</v>
      </c>
      <c r="Z15" s="1817" t="str">
        <f t="shared" si="7"/>
        <v>居住社区成熟度</v>
      </c>
      <c r="AA15" s="1814">
        <f t="shared" si="3"/>
        <v>1</v>
      </c>
      <c r="AB15" s="1814">
        <f t="shared" si="4"/>
        <v>1</v>
      </c>
      <c r="AC15" s="1814">
        <f t="shared" si="5"/>
        <v>1</v>
      </c>
    </row>
    <row r="16" spans="1:30" ht="15">
      <c r="A16" s="428"/>
      <c r="B16" s="446"/>
      <c r="C16" s="447" t="s">
        <v>3140</v>
      </c>
      <c r="D16" s="448"/>
      <c r="E16" s="2605" t="s">
        <v>3140</v>
      </c>
      <c r="F16" s="448"/>
      <c r="G16" s="2605" t="s">
        <v>3140</v>
      </c>
      <c r="H16" s="450"/>
      <c r="I16" s="2604" t="s">
        <v>3140</v>
      </c>
      <c r="J16" s="448"/>
      <c r="K16" s="672"/>
      <c r="L16" s="1143"/>
      <c r="M16" s="1134"/>
      <c r="N16" s="1134"/>
      <c r="O16" s="1142"/>
      <c r="P16" s="3169"/>
      <c r="Q16" s="1813"/>
      <c r="R16" s="774"/>
      <c r="S16" s="775"/>
      <c r="T16" s="774"/>
      <c r="U16" s="775"/>
      <c r="V16" s="774"/>
      <c r="W16" s="775"/>
      <c r="X16" s="1816"/>
      <c r="Y16" s="3169"/>
      <c r="Z16" s="1817"/>
      <c r="AA16" s="1814">
        <v>1</v>
      </c>
      <c r="AB16" s="1814">
        <v>1</v>
      </c>
      <c r="AC16" s="1814">
        <v>1</v>
      </c>
    </row>
    <row r="17" spans="1:29" ht="15" hidden="1">
      <c r="A17" s="428"/>
      <c r="B17" s="451" t="s">
        <v>2652</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9"/>
      <c r="Q17" s="1813" t="str">
        <f>B17</f>
        <v>商业繁华度</v>
      </c>
      <c r="R17" s="774" t="s">
        <v>17</v>
      </c>
      <c r="S17" s="775">
        <f>F17</f>
        <v>100</v>
      </c>
      <c r="T17" s="774" t="s">
        <v>17</v>
      </c>
      <c r="U17" s="775">
        <f>H17</f>
        <v>100</v>
      </c>
      <c r="V17" s="774" t="s">
        <v>17</v>
      </c>
      <c r="W17" s="775">
        <f>J17</f>
        <v>100</v>
      </c>
      <c r="X17" s="1816"/>
      <c r="Y17" s="3169"/>
      <c r="Z17" s="1817" t="str">
        <f>Q17</f>
        <v>商业繁华度</v>
      </c>
      <c r="AA17" s="1814">
        <f t="shared" si="3"/>
        <v>1</v>
      </c>
      <c r="AB17" s="1814">
        <f t="shared" si="4"/>
        <v>1</v>
      </c>
      <c r="AC17" s="1814">
        <f t="shared" si="5"/>
        <v>1</v>
      </c>
    </row>
    <row r="18" spans="1:29" ht="15" hidden="1">
      <c r="A18" s="428"/>
      <c r="B18" s="456"/>
      <c r="C18" s="2608"/>
      <c r="D18" s="450"/>
      <c r="E18" s="2610"/>
      <c r="F18" s="450"/>
      <c r="G18" s="2610"/>
      <c r="H18" s="448"/>
      <c r="I18" s="2609"/>
      <c r="J18" s="448"/>
      <c r="K18" s="672"/>
      <c r="L18" s="1143"/>
      <c r="M18" s="1134"/>
      <c r="N18" s="1134"/>
      <c r="O18" s="1142"/>
      <c r="P18" s="3169"/>
      <c r="Q18" s="1813"/>
      <c r="R18" s="774"/>
      <c r="S18" s="775"/>
      <c r="T18" s="774"/>
      <c r="U18" s="775"/>
      <c r="V18" s="774"/>
      <c r="W18" s="775"/>
      <c r="X18" s="1816"/>
      <c r="Y18" s="3169"/>
      <c r="Z18" s="1817"/>
      <c r="AA18" s="1814">
        <v>1</v>
      </c>
      <c r="AB18" s="1814">
        <v>1</v>
      </c>
      <c r="AC18" s="1814">
        <v>1</v>
      </c>
    </row>
    <row r="19" spans="1:29" ht="15" hidden="1">
      <c r="A19" s="428"/>
      <c r="B19" s="451" t="s">
        <v>2686</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9"/>
      <c r="Q19" s="1813" t="str">
        <f>B19</f>
        <v>办公集聚程度</v>
      </c>
      <c r="R19" s="774" t="s">
        <v>17</v>
      </c>
      <c r="S19" s="775">
        <f>F19</f>
        <v>100</v>
      </c>
      <c r="T19" s="774" t="s">
        <v>17</v>
      </c>
      <c r="U19" s="775">
        <f>H19</f>
        <v>100</v>
      </c>
      <c r="V19" s="774" t="s">
        <v>17</v>
      </c>
      <c r="W19" s="775">
        <f>J19</f>
        <v>100</v>
      </c>
      <c r="X19" s="1816"/>
      <c r="Y19" s="3169"/>
      <c r="Z19" s="1817" t="str">
        <f>Q19</f>
        <v>办公集聚程度</v>
      </c>
      <c r="AA19" s="1814">
        <f t="shared" si="3"/>
        <v>1</v>
      </c>
      <c r="AB19" s="1814">
        <f t="shared" si="4"/>
        <v>1</v>
      </c>
      <c r="AC19" s="1814">
        <f t="shared" si="5"/>
        <v>1</v>
      </c>
    </row>
    <row r="20" spans="1:29" ht="15" hidden="1">
      <c r="A20" s="428"/>
      <c r="B20" s="456"/>
      <c r="C20" s="447"/>
      <c r="D20" s="448"/>
      <c r="E20" s="2605"/>
      <c r="F20" s="448"/>
      <c r="G20" s="2605"/>
      <c r="H20" s="448"/>
      <c r="I20" s="2604"/>
      <c r="J20" s="448"/>
      <c r="K20" s="672"/>
      <c r="L20" s="1143"/>
      <c r="M20" s="1134"/>
      <c r="N20" s="1134"/>
      <c r="O20" s="1142"/>
      <c r="P20" s="3169"/>
      <c r="Q20" s="1813"/>
      <c r="R20" s="774"/>
      <c r="S20" s="775"/>
      <c r="T20" s="774"/>
      <c r="U20" s="775"/>
      <c r="V20" s="774"/>
      <c r="W20" s="775"/>
      <c r="X20" s="1816"/>
      <c r="Y20" s="3169"/>
      <c r="Z20" s="1817"/>
      <c r="AA20" s="1814">
        <v>1</v>
      </c>
      <c r="AB20" s="1814">
        <v>1</v>
      </c>
      <c r="AC20" s="1814">
        <v>1</v>
      </c>
    </row>
    <row r="21" spans="1:29" ht="127.5" customHeight="1">
      <c r="A21" s="428"/>
      <c r="B21" s="451" t="s">
        <v>2708</v>
      </c>
      <c r="C21" s="2607" t="str">
        <f>估价对象房地状况!C18</f>
        <v>估价对象周边道路状况较好、公共交通通达情况较好、有322、342、442等多路公交车，距6号线北运河西站约1.5公里，停车便捷程度较好，综合评价交通便捷度较好</v>
      </c>
      <c r="D21" s="450">
        <v>100</v>
      </c>
      <c r="E21" s="2956"/>
      <c r="F21" s="455">
        <f>SUMIF(94:94,E22,95:95)-SUMIF(94:94,C22,95:95)+100</f>
        <v>100</v>
      </c>
      <c r="G21" s="452"/>
      <c r="H21" s="450">
        <f>SUMIF(94:94,G22,95:95)-SUMIF(94:94,C22,95:95)+100</f>
        <v>98</v>
      </c>
      <c r="I21" s="2956"/>
      <c r="J21" s="450">
        <f>SUMIF(94:94,I22,95:95)-SUMIF(94:94,C22,95:95)+100</f>
        <v>100</v>
      </c>
      <c r="K21" s="673">
        <v>2</v>
      </c>
      <c r="L21" s="1143"/>
      <c r="M21" s="1134"/>
      <c r="N21" s="1134"/>
      <c r="O21" s="1142"/>
      <c r="P21" s="3169"/>
      <c r="Q21" s="1813" t="str">
        <f>B21</f>
        <v>交通便捷度</v>
      </c>
      <c r="R21" s="774" t="s">
        <v>17</v>
      </c>
      <c r="S21" s="775">
        <f>F21</f>
        <v>100</v>
      </c>
      <c r="T21" s="774" t="s">
        <v>17</v>
      </c>
      <c r="U21" s="775">
        <f>H21</f>
        <v>98</v>
      </c>
      <c r="V21" s="774" t="s">
        <v>17</v>
      </c>
      <c r="W21" s="775">
        <f>J21</f>
        <v>100</v>
      </c>
      <c r="X21" s="1816"/>
      <c r="Y21" s="3169"/>
      <c r="Z21" s="1817" t="str">
        <f>Q21</f>
        <v>交通便捷度</v>
      </c>
      <c r="AA21" s="1814">
        <f t="shared" si="3"/>
        <v>1</v>
      </c>
      <c r="AB21" s="1814">
        <f t="shared" si="4"/>
        <v>1.0204081632653061</v>
      </c>
      <c r="AC21" s="1814">
        <f t="shared" si="5"/>
        <v>1</v>
      </c>
    </row>
    <row r="22" spans="1:29" ht="15">
      <c r="A22" s="428"/>
      <c r="B22" s="1387"/>
      <c r="C22" s="447" t="s">
        <v>3140</v>
      </c>
      <c r="D22" s="450"/>
      <c r="E22" s="2605" t="s">
        <v>3140</v>
      </c>
      <c r="F22" s="448"/>
      <c r="G22" s="2605" t="s">
        <v>3141</v>
      </c>
      <c r="H22" s="448"/>
      <c r="I22" s="2604" t="s">
        <v>3140</v>
      </c>
      <c r="J22" s="448"/>
      <c r="K22" s="672"/>
      <c r="L22" s="1143"/>
      <c r="M22" s="1134"/>
      <c r="N22" s="1134"/>
      <c r="O22" s="1142"/>
      <c r="P22" s="3169"/>
      <c r="Q22" s="1813"/>
      <c r="R22" s="774"/>
      <c r="S22" s="775"/>
      <c r="T22" s="774"/>
      <c r="U22" s="775"/>
      <c r="V22" s="774"/>
      <c r="W22" s="775"/>
      <c r="X22" s="1816"/>
      <c r="Y22" s="3169"/>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69"/>
      <c r="Q23" s="1813" t="str">
        <f t="shared" ref="Q23:Q37" si="8">B23</f>
        <v>区域土地利用方向</v>
      </c>
      <c r="R23" s="774" t="s">
        <v>17</v>
      </c>
      <c r="S23" s="775">
        <f>F23</f>
        <v>100</v>
      </c>
      <c r="T23" s="774" t="s">
        <v>17</v>
      </c>
      <c r="U23" s="775">
        <f>H23</f>
        <v>100</v>
      </c>
      <c r="V23" s="774" t="s">
        <v>17</v>
      </c>
      <c r="W23" s="775">
        <f>J23</f>
        <v>100</v>
      </c>
      <c r="X23" s="1816"/>
      <c r="Y23" s="3169"/>
      <c r="Z23" s="1817" t="str">
        <f>Q23</f>
        <v>区域土地利用方向</v>
      </c>
      <c r="AA23" s="1814">
        <f t="shared" si="3"/>
        <v>1</v>
      </c>
      <c r="AB23" s="1814">
        <f t="shared" si="4"/>
        <v>1</v>
      </c>
      <c r="AC23" s="1814">
        <f t="shared" si="5"/>
        <v>1</v>
      </c>
    </row>
    <row r="24" spans="1:29" ht="15">
      <c r="A24" s="404"/>
      <c r="B24" s="456"/>
      <c r="C24" s="616" t="s">
        <v>3140</v>
      </c>
      <c r="D24" s="448"/>
      <c r="E24" s="616" t="s">
        <v>3140</v>
      </c>
      <c r="F24" s="448"/>
      <c r="G24" s="616" t="s">
        <v>3140</v>
      </c>
      <c r="H24" s="448"/>
      <c r="I24" s="616" t="s">
        <v>3140</v>
      </c>
      <c r="J24" s="448"/>
      <c r="K24" s="812"/>
      <c r="L24" s="1143"/>
      <c r="M24" s="1134"/>
      <c r="N24" s="1134"/>
      <c r="O24" s="1142"/>
      <c r="P24" s="3169"/>
      <c r="Q24" s="1813"/>
      <c r="R24" s="774"/>
      <c r="S24" s="775"/>
      <c r="T24" s="774"/>
      <c r="U24" s="775"/>
      <c r="V24" s="774"/>
      <c r="W24" s="775"/>
      <c r="X24" s="1816"/>
      <c r="Y24" s="3169"/>
      <c r="Z24" s="1817"/>
      <c r="AA24" s="1814"/>
      <c r="AB24" s="1814"/>
      <c r="AC24" s="1814"/>
    </row>
    <row r="25" spans="1:29" ht="81" customHeight="1">
      <c r="A25" s="404"/>
      <c r="B25" s="1387" t="s">
        <v>2748</v>
      </c>
      <c r="C25" s="2662" t="str">
        <f>估价对象房地状况!C20</f>
        <v>区域自然环境：减河公园、运河奥体公园、潞河中学公园；人文环境：大运河美术馆；综合评价环境状况较好</v>
      </c>
      <c r="D25" s="450">
        <v>100</v>
      </c>
      <c r="E25" s="2956"/>
      <c r="F25" s="450">
        <f>SUMIF(98:98,E26,99:99)-SUMIF(98:98,C26,99:99)+100</f>
        <v>100</v>
      </c>
      <c r="G25" s="2956"/>
      <c r="H25" s="450">
        <f>SUMIF(98:98,G26,99:99)-SUMIF(98:98,C26,99:99)+100</f>
        <v>100</v>
      </c>
      <c r="I25" s="454"/>
      <c r="J25" s="450">
        <f>SUMIF(98:98,I26,99:99)-SUMIF(98:98,C26,99:99)+100</f>
        <v>100</v>
      </c>
      <c r="K25" s="673">
        <v>1</v>
      </c>
      <c r="L25" s="1143"/>
      <c r="M25" s="1134"/>
      <c r="N25" s="1134"/>
      <c r="O25" s="1142"/>
      <c r="P25" s="3169"/>
      <c r="Q25" s="1813" t="str">
        <f t="shared" si="8"/>
        <v>自然及人文环境状况</v>
      </c>
      <c r="R25" s="774" t="s">
        <v>17</v>
      </c>
      <c r="S25" s="775">
        <f>F25</f>
        <v>100</v>
      </c>
      <c r="T25" s="774" t="s">
        <v>17</v>
      </c>
      <c r="U25" s="775">
        <f>H25</f>
        <v>100</v>
      </c>
      <c r="V25" s="774" t="s">
        <v>17</v>
      </c>
      <c r="W25" s="775">
        <f>J25</f>
        <v>100</v>
      </c>
      <c r="X25" s="1816"/>
      <c r="Y25" s="3169"/>
      <c r="Z25" s="1817" t="str">
        <f>Q25</f>
        <v>自然及人文环境状况</v>
      </c>
      <c r="AA25" s="1814">
        <f t="shared" si="3"/>
        <v>1</v>
      </c>
      <c r="AB25" s="1814">
        <f t="shared" si="4"/>
        <v>1</v>
      </c>
      <c r="AC25" s="1814">
        <f t="shared" si="5"/>
        <v>1</v>
      </c>
    </row>
    <row r="26" spans="1:29" ht="15">
      <c r="A26" s="404"/>
      <c r="B26" s="456"/>
      <c r="C26" s="447" t="s">
        <v>3140</v>
      </c>
      <c r="D26" s="448"/>
      <c r="E26" s="2611" t="s">
        <v>3140</v>
      </c>
      <c r="F26" s="448"/>
      <c r="G26" s="2611" t="s">
        <v>3140</v>
      </c>
      <c r="H26" s="448"/>
      <c r="I26" s="2611" t="s">
        <v>3140</v>
      </c>
      <c r="J26" s="448"/>
      <c r="K26" s="672"/>
      <c r="L26" s="1143"/>
      <c r="M26" s="1134"/>
      <c r="N26" s="1134"/>
      <c r="O26" s="1142"/>
      <c r="P26" s="3169"/>
      <c r="Q26" s="1813"/>
      <c r="R26" s="774"/>
      <c r="S26" s="775"/>
      <c r="T26" s="774"/>
      <c r="U26" s="775"/>
      <c r="V26" s="774"/>
      <c r="W26" s="775"/>
      <c r="X26" s="1816"/>
      <c r="Y26" s="3169"/>
      <c r="Z26" s="1817"/>
      <c r="AA26" s="1814">
        <v>1</v>
      </c>
      <c r="AB26" s="1814">
        <v>1</v>
      </c>
      <c r="AC26" s="1814">
        <v>1</v>
      </c>
    </row>
    <row r="27" spans="1:29" s="117" customFormat="1" ht="28.5">
      <c r="A27" s="649"/>
      <c r="B27" s="1387" t="s">
        <v>2653</v>
      </c>
      <c r="C27" s="2607" t="str">
        <f>估价对象房地状况!C21</f>
        <v>估价对象所在区域公共配套设施齐备情况一般</v>
      </c>
      <c r="D27" s="450">
        <v>100</v>
      </c>
      <c r="E27" s="452"/>
      <c r="F27" s="450">
        <f>SUMIF(100:100,E28,101:101)-SUMIF(100:100,C28,101:101)+100</f>
        <v>100</v>
      </c>
      <c r="G27" s="452"/>
      <c r="H27" s="450">
        <f>SUMIF(100:100,G28,101:101)-SUMIF(100:100,C28,101:101)+100</f>
        <v>102</v>
      </c>
      <c r="I27" s="454"/>
      <c r="J27" s="450">
        <f>SUMIF(100:100,I28,101:101)-SUMIF(100:100,C28,101:101)+100</f>
        <v>100</v>
      </c>
      <c r="K27" s="673">
        <v>2</v>
      </c>
      <c r="L27" s="1135"/>
      <c r="M27" s="1136"/>
      <c r="N27" s="1136"/>
      <c r="O27" s="1137"/>
      <c r="P27" s="3169"/>
      <c r="Q27" s="1798" t="str">
        <f t="shared" si="8"/>
        <v>公共配套设施</v>
      </c>
      <c r="R27" s="770" t="s">
        <v>17</v>
      </c>
      <c r="S27" s="771">
        <f>F27</f>
        <v>100</v>
      </c>
      <c r="T27" s="770" t="s">
        <v>17</v>
      </c>
      <c r="U27" s="771">
        <f>H27</f>
        <v>102</v>
      </c>
      <c r="V27" s="770" t="s">
        <v>17</v>
      </c>
      <c r="W27" s="771">
        <f>J27</f>
        <v>100</v>
      </c>
      <c r="X27" s="772"/>
      <c r="Y27" s="3169"/>
      <c r="Z27" s="55" t="str">
        <f>Q27</f>
        <v>公共配套设施</v>
      </c>
      <c r="AA27" s="1814">
        <f>D27/F27</f>
        <v>1</v>
      </c>
      <c r="AB27" s="1814">
        <f>D27/H27</f>
        <v>0.98039215686274506</v>
      </c>
      <c r="AC27" s="1814">
        <f>D27/J27</f>
        <v>1</v>
      </c>
    </row>
    <row r="28" spans="1:29" s="117" customFormat="1" ht="15">
      <c r="A28" s="649"/>
      <c r="B28" s="456"/>
      <c r="C28" s="2698" t="s">
        <v>3141</v>
      </c>
      <c r="D28" s="448"/>
      <c r="E28" s="2611" t="s">
        <v>3141</v>
      </c>
      <c r="F28" s="448"/>
      <c r="G28" s="2611" t="s">
        <v>3140</v>
      </c>
      <c r="H28" s="448"/>
      <c r="I28" s="2611" t="s">
        <v>3141</v>
      </c>
      <c r="J28" s="448"/>
      <c r="K28" s="672"/>
      <c r="L28" s="1135"/>
      <c r="M28" s="1136"/>
      <c r="N28" s="1136"/>
      <c r="O28" s="1137"/>
      <c r="P28" s="3169"/>
      <c r="Q28" s="1798"/>
      <c r="R28" s="770"/>
      <c r="S28" s="771"/>
      <c r="T28" s="770"/>
      <c r="U28" s="771"/>
      <c r="V28" s="770"/>
      <c r="W28" s="771"/>
      <c r="X28" s="772"/>
      <c r="Y28" s="3169"/>
      <c r="Z28" s="55"/>
      <c r="AA28" s="1814">
        <v>1</v>
      </c>
      <c r="AB28" s="1814">
        <v>1</v>
      </c>
      <c r="AC28" s="1814">
        <v>1</v>
      </c>
    </row>
    <row r="29" spans="1:29" s="117" customFormat="1" ht="15">
      <c r="A29" s="649"/>
      <c r="B29" s="1387" t="s">
        <v>2654</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9"/>
      <c r="Q29" s="1798" t="str">
        <f t="shared" ref="Q29" si="9">B29</f>
        <v>基础设施水平</v>
      </c>
      <c r="R29" s="770" t="s">
        <v>17</v>
      </c>
      <c r="S29" s="771">
        <f>F29</f>
        <v>100</v>
      </c>
      <c r="T29" s="770" t="s">
        <v>17</v>
      </c>
      <c r="U29" s="771">
        <f>H29</f>
        <v>100</v>
      </c>
      <c r="V29" s="770" t="s">
        <v>17</v>
      </c>
      <c r="W29" s="771">
        <f>J29</f>
        <v>100</v>
      </c>
      <c r="X29" s="772"/>
      <c r="Y29" s="3169"/>
      <c r="Z29" s="55" t="str">
        <f>Q29</f>
        <v>基础设施水平</v>
      </c>
      <c r="AA29" s="1814">
        <f>D29/F29</f>
        <v>1</v>
      </c>
      <c r="AB29" s="1814">
        <f>D29/H29</f>
        <v>1</v>
      </c>
      <c r="AC29" s="1814">
        <f>D29/J29</f>
        <v>1</v>
      </c>
    </row>
    <row r="30" spans="1:29" s="117" customFormat="1" ht="15">
      <c r="A30" s="649"/>
      <c r="B30" s="456"/>
      <c r="C30" s="2698" t="s">
        <v>3137</v>
      </c>
      <c r="D30" s="448"/>
      <c r="E30" s="2698" t="s">
        <v>3137</v>
      </c>
      <c r="F30" s="448"/>
      <c r="G30" s="2698" t="s">
        <v>3137</v>
      </c>
      <c r="H30" s="448"/>
      <c r="I30" s="2698" t="s">
        <v>3137</v>
      </c>
      <c r="J30" s="448"/>
      <c r="K30" s="672"/>
      <c r="L30" s="1135"/>
      <c r="M30" s="1136"/>
      <c r="N30" s="1136"/>
      <c r="O30" s="1137"/>
      <c r="P30" s="3169"/>
      <c r="Q30" s="1798"/>
      <c r="R30" s="770"/>
      <c r="S30" s="771"/>
      <c r="T30" s="770"/>
      <c r="U30" s="771"/>
      <c r="V30" s="770"/>
      <c r="W30" s="771"/>
      <c r="X30" s="772"/>
      <c r="Y30" s="3169"/>
      <c r="Z30" s="55"/>
      <c r="AA30" s="1814">
        <v>1</v>
      </c>
      <c r="AB30" s="1814">
        <v>1</v>
      </c>
      <c r="AC30" s="1814">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v>1</v>
      </c>
      <c r="L31" s="1143"/>
      <c r="M31" s="1134"/>
      <c r="N31" s="1134"/>
      <c r="O31" s="1142"/>
      <c r="P31" s="316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9"/>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43"/>
      <c r="M32" s="1134"/>
      <c r="N32" s="1134"/>
      <c r="O32" s="1142"/>
      <c r="P32" s="3169"/>
      <c r="Q32" s="1813" t="str">
        <f t="shared" si="8"/>
        <v>毗邻道路的类型与等级</v>
      </c>
      <c r="R32" s="774" t="s">
        <v>17</v>
      </c>
      <c r="S32" s="775">
        <f t="shared" si="10"/>
        <v>100</v>
      </c>
      <c r="T32" s="774" t="s">
        <v>17</v>
      </c>
      <c r="U32" s="775">
        <f t="shared" si="11"/>
        <v>100</v>
      </c>
      <c r="V32" s="774" t="s">
        <v>17</v>
      </c>
      <c r="W32" s="775">
        <f t="shared" si="12"/>
        <v>100</v>
      </c>
      <c r="X32" s="1816"/>
      <c r="Y32" s="3169"/>
      <c r="Z32" s="1817" t="str">
        <f t="shared" si="13"/>
        <v>毗邻道路的类型与等级</v>
      </c>
      <c r="AA32" s="1814">
        <f t="shared" si="3"/>
        <v>1</v>
      </c>
      <c r="AB32" s="1814">
        <f t="shared" si="4"/>
        <v>1</v>
      </c>
      <c r="AC32" s="1814">
        <f t="shared" si="5"/>
        <v>1</v>
      </c>
    </row>
    <row r="33" spans="1:29" ht="15">
      <c r="A33" s="428"/>
      <c r="B33" s="456"/>
      <c r="C33" s="447" t="s">
        <v>3168</v>
      </c>
      <c r="D33" s="448"/>
      <c r="E33" s="2611" t="s">
        <v>3168</v>
      </c>
      <c r="F33" s="448"/>
      <c r="G33" s="2611" t="s">
        <v>3168</v>
      </c>
      <c r="H33" s="448"/>
      <c r="I33" s="447" t="s">
        <v>3168</v>
      </c>
      <c r="J33" s="448"/>
      <c r="K33" s="613"/>
      <c r="L33" s="1143"/>
      <c r="M33" s="1134"/>
      <c r="N33" s="1134"/>
      <c r="O33" s="1142"/>
      <c r="P33" s="3169"/>
      <c r="Q33" s="1813"/>
      <c r="R33" s="774"/>
      <c r="S33" s="775"/>
      <c r="T33" s="774"/>
      <c r="U33" s="775"/>
      <c r="V33" s="774"/>
      <c r="W33" s="775"/>
      <c r="X33" s="1816"/>
      <c r="Y33" s="3169"/>
      <c r="Z33" s="1817"/>
      <c r="AA33" s="1814">
        <v>1</v>
      </c>
      <c r="AB33" s="1814">
        <v>1</v>
      </c>
      <c r="AC33" s="1814">
        <v>1</v>
      </c>
    </row>
    <row r="34" spans="1:29" ht="15.75" thickBot="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9"/>
      <c r="Q34" s="1813" t="str">
        <f t="shared" si="8"/>
        <v>土地级别</v>
      </c>
      <c r="R34" s="774" t="s">
        <v>17</v>
      </c>
      <c r="S34" s="775">
        <f t="shared" si="10"/>
        <v>100</v>
      </c>
      <c r="T34" s="774" t="s">
        <v>17</v>
      </c>
      <c r="U34" s="775">
        <f t="shared" si="11"/>
        <v>100</v>
      </c>
      <c r="V34" s="774" t="s">
        <v>17</v>
      </c>
      <c r="W34" s="775">
        <f t="shared" si="12"/>
        <v>100</v>
      </c>
      <c r="X34" s="1816"/>
      <c r="Y34" s="3169"/>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9"/>
      <c r="Q35" s="1813">
        <f t="shared" si="8"/>
        <v>111</v>
      </c>
      <c r="R35" s="774" t="s">
        <v>17</v>
      </c>
      <c r="S35" s="775">
        <f t="shared" si="10"/>
        <v>100</v>
      </c>
      <c r="T35" s="774" t="s">
        <v>17</v>
      </c>
      <c r="U35" s="775">
        <f t="shared" si="11"/>
        <v>100</v>
      </c>
      <c r="V35" s="774" t="s">
        <v>17</v>
      </c>
      <c r="W35" s="775">
        <f t="shared" si="12"/>
        <v>100</v>
      </c>
      <c r="X35" s="1816"/>
      <c r="Y35" s="3169"/>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0" t="s">
        <v>2564</v>
      </c>
      <c r="Q36" s="1813">
        <f t="shared" si="8"/>
        <v>111</v>
      </c>
      <c r="R36" s="774" t="s">
        <v>17</v>
      </c>
      <c r="S36" s="775">
        <f t="shared" si="10"/>
        <v>100</v>
      </c>
      <c r="T36" s="774" t="s">
        <v>17</v>
      </c>
      <c r="U36" s="775">
        <f t="shared" si="11"/>
        <v>100</v>
      </c>
      <c r="V36" s="774" t="s">
        <v>17</v>
      </c>
      <c r="W36" s="775">
        <f t="shared" si="12"/>
        <v>100</v>
      </c>
      <c r="X36" s="1816"/>
      <c r="Y36" s="3171" t="s">
        <v>2564</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1"/>
      <c r="Q37" s="1813">
        <f t="shared" si="8"/>
        <v>111</v>
      </c>
      <c r="R37" s="777" t="s">
        <v>17</v>
      </c>
      <c r="S37" s="778">
        <f t="shared" si="10"/>
        <v>100</v>
      </c>
      <c r="T37" s="777" t="s">
        <v>17</v>
      </c>
      <c r="U37" s="778">
        <f t="shared" si="11"/>
        <v>100</v>
      </c>
      <c r="V37" s="777" t="s">
        <v>17</v>
      </c>
      <c r="W37" s="778">
        <f t="shared" si="12"/>
        <v>100</v>
      </c>
      <c r="X37" s="779"/>
      <c r="Y37" s="3171"/>
      <c r="Z37" s="780">
        <f t="shared" si="13"/>
        <v>111</v>
      </c>
      <c r="AA37" s="1814">
        <f t="shared" si="3"/>
        <v>1</v>
      </c>
      <c r="AB37" s="1814">
        <f t="shared" si="4"/>
        <v>1</v>
      </c>
      <c r="AC37" s="1814">
        <f t="shared" si="5"/>
        <v>1</v>
      </c>
    </row>
    <row r="38" spans="1:29" ht="15">
      <c r="A38" s="472" t="s">
        <v>2562</v>
      </c>
      <c r="B38" s="456" t="s">
        <v>2750</v>
      </c>
      <c r="C38" s="679">
        <f>'数据-汇总表'!D3</f>
        <v>24664.240000000002</v>
      </c>
      <c r="D38" s="467">
        <v>100</v>
      </c>
      <c r="E38" s="679">
        <f>华远铭悦世家!T8</f>
        <v>38899</v>
      </c>
      <c r="F38" s="467">
        <f>LOOKUP(E38,117:117,118:118)-LOOKUP(C38,117:117,118:118)+100</f>
        <v>102</v>
      </c>
      <c r="G38" s="679">
        <f>保利罗兰香谷!T10</f>
        <v>27797</v>
      </c>
      <c r="H38" s="467">
        <f>LOOKUP(G38,117:117,118:118)-LOOKUP(C38,117:117,118:118)+100</f>
        <v>100</v>
      </c>
      <c r="I38" s="530">
        <f>富力惠兰美居!S9</f>
        <v>56947</v>
      </c>
      <c r="J38" s="467">
        <f>LOOKUP(I38,117:117,118:118)-LOOKUP(C38,117:117,118:118)+100</f>
        <v>102</v>
      </c>
      <c r="K38" s="613"/>
      <c r="L38" s="1143"/>
      <c r="M38" s="1134"/>
      <c r="N38" s="1134"/>
      <c r="O38" s="1142"/>
      <c r="P38" s="3171"/>
      <c r="Q38" s="1813" t="str">
        <f>B38</f>
        <v>宗地面积</v>
      </c>
      <c r="R38" s="774" t="s">
        <v>17</v>
      </c>
      <c r="S38" s="775">
        <f t="shared" si="10"/>
        <v>102</v>
      </c>
      <c r="T38" s="774" t="s">
        <v>17</v>
      </c>
      <c r="U38" s="775">
        <f t="shared" si="11"/>
        <v>100</v>
      </c>
      <c r="V38" s="774" t="s">
        <v>17</v>
      </c>
      <c r="W38" s="775">
        <f t="shared" si="12"/>
        <v>102</v>
      </c>
      <c r="X38" s="1816"/>
      <c r="Y38" s="3171"/>
      <c r="Z38" s="1817" t="str">
        <f t="shared" si="13"/>
        <v>宗地面积</v>
      </c>
      <c r="AA38" s="1814">
        <f t="shared" si="3"/>
        <v>0.98039215686274506</v>
      </c>
      <c r="AB38" s="1814">
        <f t="shared" si="4"/>
        <v>1</v>
      </c>
      <c r="AC38" s="1814">
        <f t="shared" si="5"/>
        <v>0.98039215686274506</v>
      </c>
    </row>
    <row r="39" spans="1:29" ht="15">
      <c r="A39" s="472"/>
      <c r="B39" s="422" t="s">
        <v>2751</v>
      </c>
      <c r="C39" s="2613" t="s">
        <v>3171</v>
      </c>
      <c r="D39" s="435">
        <v>100</v>
      </c>
      <c r="E39" s="2613" t="s">
        <v>3171</v>
      </c>
      <c r="F39" s="435">
        <f>SUMIF(119:119,E39,120:120)-SUMIF(119:119,C39,120:120)+100</f>
        <v>100</v>
      </c>
      <c r="G39" s="2613" t="s">
        <v>3171</v>
      </c>
      <c r="H39" s="435">
        <f>SUMIF(119:119,G39,120:120)-SUMIF(119:119,C39,120:120)+100</f>
        <v>100</v>
      </c>
      <c r="I39" s="2613" t="s">
        <v>3171</v>
      </c>
      <c r="J39" s="435">
        <f>SUMIF(119:119,I39,120:120)-SUMIF(119:119,C39,120:120)+100</f>
        <v>100</v>
      </c>
      <c r="K39" s="612">
        <v>2</v>
      </c>
      <c r="L39" s="1143"/>
      <c r="M39" s="1134"/>
      <c r="N39" s="1134"/>
      <c r="O39" s="1142"/>
      <c r="P39" s="3171"/>
      <c r="Q39" s="1813" t="str">
        <f t="shared" ref="Q39:Q45" si="14">B39</f>
        <v>宗地形状</v>
      </c>
      <c r="R39" s="774" t="s">
        <v>17</v>
      </c>
      <c r="S39" s="775">
        <f t="shared" si="10"/>
        <v>100</v>
      </c>
      <c r="T39" s="774" t="s">
        <v>17</v>
      </c>
      <c r="U39" s="775">
        <f t="shared" si="11"/>
        <v>100</v>
      </c>
      <c r="V39" s="774" t="s">
        <v>17</v>
      </c>
      <c r="W39" s="775">
        <f t="shared" si="12"/>
        <v>100</v>
      </c>
      <c r="X39" s="1816"/>
      <c r="Y39" s="3171"/>
      <c r="Z39" s="1817" t="str">
        <f t="shared" si="13"/>
        <v>宗地形状</v>
      </c>
      <c r="AA39" s="1814">
        <f t="shared" si="3"/>
        <v>1</v>
      </c>
      <c r="AB39" s="1814">
        <f t="shared" si="4"/>
        <v>1</v>
      </c>
      <c r="AC39" s="1814">
        <f t="shared" si="5"/>
        <v>1</v>
      </c>
    </row>
    <row r="40" spans="1:29" ht="15">
      <c r="A40" s="472"/>
      <c r="B40" s="422" t="s">
        <v>2752</v>
      </c>
      <c r="C40" s="2613" t="s">
        <v>3176</v>
      </c>
      <c r="D40" s="435">
        <v>100</v>
      </c>
      <c r="E40" s="2613" t="s">
        <v>3176</v>
      </c>
      <c r="F40" s="435">
        <f>SUMIF(121:121,E40,122:122)-SUMIF(121:121,C40,122:122)+100</f>
        <v>100</v>
      </c>
      <c r="G40" s="2613" t="s">
        <v>3176</v>
      </c>
      <c r="H40" s="435">
        <f>SUMIF(121:121,G40,122:122)-SUMIF(121:121,C40,122:122)+100</f>
        <v>100</v>
      </c>
      <c r="I40" s="2613" t="s">
        <v>3176</v>
      </c>
      <c r="J40" s="435">
        <f>SUMIF(121:121,I40,122:122)-SUMIF(121:121,C40,122:122)+100</f>
        <v>100</v>
      </c>
      <c r="K40" s="612">
        <v>2</v>
      </c>
      <c r="L40" s="1143"/>
      <c r="M40" s="1134"/>
      <c r="N40" s="1134"/>
      <c r="O40" s="1142"/>
      <c r="P40" s="3171"/>
      <c r="Q40" s="1813" t="str">
        <f t="shared" si="14"/>
        <v>临街宽度及深度</v>
      </c>
      <c r="R40" s="774" t="s">
        <v>17</v>
      </c>
      <c r="S40" s="775">
        <f t="shared" si="10"/>
        <v>100</v>
      </c>
      <c r="T40" s="774" t="s">
        <v>17</v>
      </c>
      <c r="U40" s="775">
        <f t="shared" si="11"/>
        <v>100</v>
      </c>
      <c r="V40" s="774" t="s">
        <v>17</v>
      </c>
      <c r="W40" s="775">
        <f t="shared" si="12"/>
        <v>100</v>
      </c>
      <c r="X40" s="1816"/>
      <c r="Y40" s="3171"/>
      <c r="Z40" s="1817" t="str">
        <f t="shared" si="13"/>
        <v>临街宽度及深度</v>
      </c>
      <c r="AA40" s="1814">
        <f t="shared" si="3"/>
        <v>1</v>
      </c>
      <c r="AB40" s="1814">
        <f t="shared" si="4"/>
        <v>1</v>
      </c>
      <c r="AC40" s="1814">
        <f t="shared" si="5"/>
        <v>1</v>
      </c>
    </row>
    <row r="41" spans="1:29" s="117" customFormat="1" ht="15">
      <c r="A41" s="473"/>
      <c r="B41" s="422" t="s">
        <v>2753</v>
      </c>
      <c r="C41" s="2700" t="s">
        <v>3137</v>
      </c>
      <c r="D41" s="136">
        <v>100</v>
      </c>
      <c r="E41" s="2700" t="s">
        <v>3153</v>
      </c>
      <c r="F41" s="435">
        <f>SUMIF(123:123,E41,124:124)-SUMIF(123:123,C41,124:124)+100</f>
        <v>98</v>
      </c>
      <c r="G41" s="2700" t="s">
        <v>3137</v>
      </c>
      <c r="H41" s="435">
        <f>SUMIF(123:123,G41,124:124)-SUMIF(123:123,C41,124:124)+100</f>
        <v>100</v>
      </c>
      <c r="I41" s="2700" t="s">
        <v>3137</v>
      </c>
      <c r="J41" s="435">
        <f>SUMIF(123:123,I41,124:124)-SUMIF(123:123,C41,124:124)+100</f>
        <v>100</v>
      </c>
      <c r="K41" s="612">
        <v>0.5</v>
      </c>
      <c r="L41" s="1135"/>
      <c r="M41" s="1136"/>
      <c r="N41" s="1136"/>
      <c r="O41" s="1137"/>
      <c r="P41" s="3171"/>
      <c r="Q41" s="1813" t="str">
        <f t="shared" si="14"/>
        <v>宗地开发程度</v>
      </c>
      <c r="R41" s="770" t="s">
        <v>17</v>
      </c>
      <c r="S41" s="771">
        <f t="shared" si="10"/>
        <v>98</v>
      </c>
      <c r="T41" s="770" t="s">
        <v>17</v>
      </c>
      <c r="U41" s="771">
        <f t="shared" si="11"/>
        <v>100</v>
      </c>
      <c r="V41" s="770" t="s">
        <v>17</v>
      </c>
      <c r="W41" s="771">
        <f t="shared" si="12"/>
        <v>100</v>
      </c>
      <c r="X41" s="772"/>
      <c r="Y41" s="3171"/>
      <c r="Z41" s="55" t="str">
        <f t="shared" si="13"/>
        <v>宗地开发程度</v>
      </c>
      <c r="AA41" s="773">
        <f t="shared" si="3"/>
        <v>1.0204081632653061</v>
      </c>
      <c r="AB41" s="773">
        <f t="shared" si="4"/>
        <v>1</v>
      </c>
      <c r="AC41" s="773">
        <f t="shared" si="5"/>
        <v>1</v>
      </c>
    </row>
    <row r="42" spans="1:29" ht="15.75" thickBot="1">
      <c r="A42" s="472"/>
      <c r="B42" s="422" t="s">
        <v>2754</v>
      </c>
      <c r="C42" s="2613" t="s">
        <v>3140</v>
      </c>
      <c r="D42" s="435">
        <v>100</v>
      </c>
      <c r="E42" s="2613" t="s">
        <v>3140</v>
      </c>
      <c r="F42" s="435">
        <f>SUMIF(125:125,E42,126:126)-SUMIF(125:125,C42,126:126)+100</f>
        <v>100</v>
      </c>
      <c r="G42" s="2613" t="s">
        <v>3140</v>
      </c>
      <c r="H42" s="435">
        <f>SUMIF(125:125,G42,126:126)-SUMIF(125:125,C42,126:126)+100</f>
        <v>100</v>
      </c>
      <c r="I42" s="2613" t="s">
        <v>3140</v>
      </c>
      <c r="J42" s="435">
        <f>SUMIF(125:125,I42,126:126)-SUMIF(125:125,C42,126:126)+100</f>
        <v>100</v>
      </c>
      <c r="K42" s="612">
        <v>2</v>
      </c>
      <c r="L42" s="1143"/>
      <c r="M42" s="1134"/>
      <c r="N42" s="1134"/>
      <c r="O42" s="1142"/>
      <c r="P42" s="3171" t="s">
        <v>2564</v>
      </c>
      <c r="Q42" s="1813" t="str">
        <f t="shared" si="14"/>
        <v>工程地质条件</v>
      </c>
      <c r="R42" s="774" t="s">
        <v>17</v>
      </c>
      <c r="S42" s="775">
        <f t="shared" si="10"/>
        <v>100</v>
      </c>
      <c r="T42" s="774" t="s">
        <v>17</v>
      </c>
      <c r="U42" s="775">
        <f t="shared" si="11"/>
        <v>100</v>
      </c>
      <c r="V42" s="774" t="s">
        <v>17</v>
      </c>
      <c r="W42" s="775">
        <f t="shared" si="12"/>
        <v>100</v>
      </c>
      <c r="X42" s="1816"/>
      <c r="Y42" s="3171" t="s">
        <v>2564</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1"/>
      <c r="Q43" s="1813">
        <f t="shared" si="14"/>
        <v>111</v>
      </c>
      <c r="R43" s="774" t="s">
        <v>17</v>
      </c>
      <c r="S43" s="775">
        <f t="shared" si="10"/>
        <v>100</v>
      </c>
      <c r="T43" s="774" t="s">
        <v>17</v>
      </c>
      <c r="U43" s="775">
        <f t="shared" si="11"/>
        <v>100</v>
      </c>
      <c r="V43" s="774" t="s">
        <v>17</v>
      </c>
      <c r="W43" s="775">
        <f t="shared" si="12"/>
        <v>100</v>
      </c>
      <c r="X43" s="1816"/>
      <c r="Y43" s="3171"/>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1"/>
      <c r="Q44" s="1813">
        <f t="shared" si="14"/>
        <v>111</v>
      </c>
      <c r="R44" s="774" t="s">
        <v>17</v>
      </c>
      <c r="S44" s="775">
        <f t="shared" si="10"/>
        <v>100</v>
      </c>
      <c r="T44" s="774" t="s">
        <v>17</v>
      </c>
      <c r="U44" s="775">
        <f t="shared" si="11"/>
        <v>100</v>
      </c>
      <c r="V44" s="774" t="s">
        <v>17</v>
      </c>
      <c r="W44" s="775">
        <f t="shared" si="12"/>
        <v>100</v>
      </c>
      <c r="X44" s="1816"/>
      <c r="Y44" s="3171"/>
      <c r="Z44" s="1817">
        <f t="shared" si="13"/>
        <v>111</v>
      </c>
      <c r="AA44" s="1814">
        <f t="shared" si="3"/>
        <v>1</v>
      </c>
      <c r="AB44" s="1814">
        <f t="shared" si="4"/>
        <v>1</v>
      </c>
      <c r="AC44" s="1814">
        <f t="shared" si="5"/>
        <v>1</v>
      </c>
    </row>
    <row r="45" spans="1:29" s="471" customFormat="1" ht="15.75" hidden="1"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1"/>
      <c r="Q45" s="1813">
        <f t="shared" si="14"/>
        <v>111</v>
      </c>
      <c r="R45" s="777" t="s">
        <v>17</v>
      </c>
      <c r="S45" s="778">
        <f t="shared" si="10"/>
        <v>100</v>
      </c>
      <c r="T45" s="777" t="s">
        <v>17</v>
      </c>
      <c r="U45" s="778">
        <f t="shared" si="11"/>
        <v>100</v>
      </c>
      <c r="V45" s="777" t="s">
        <v>17</v>
      </c>
      <c r="W45" s="778">
        <f t="shared" si="12"/>
        <v>100</v>
      </c>
      <c r="X45" s="779"/>
      <c r="Y45" s="3171"/>
      <c r="Z45" s="780">
        <f t="shared" si="13"/>
        <v>111</v>
      </c>
      <c r="AA45" s="1814">
        <f t="shared" si="3"/>
        <v>1</v>
      </c>
      <c r="AB45" s="1814">
        <f t="shared" si="4"/>
        <v>1</v>
      </c>
      <c r="AC45" s="1814">
        <f t="shared" si="5"/>
        <v>1</v>
      </c>
    </row>
    <row r="46" spans="1:29" ht="15">
      <c r="A46" s="479" t="s">
        <v>2719</v>
      </c>
      <c r="B46" s="2702" t="s">
        <v>2755</v>
      </c>
      <c r="C46" s="682" t="s">
        <v>1</v>
      </c>
      <c r="D46" s="481"/>
      <c r="E46" s="482">
        <f>华远铭悦世家!U8</f>
        <v>6033</v>
      </c>
      <c r="F46" s="483"/>
      <c r="G46" s="482">
        <f>保利罗兰香谷!U10</f>
        <v>4346</v>
      </c>
      <c r="H46" s="485"/>
      <c r="I46" s="482">
        <f>富力惠兰美居!T9</f>
        <v>5586</v>
      </c>
      <c r="J46" s="485"/>
      <c r="K46" s="783"/>
      <c r="L46" s="1146"/>
      <c r="M46" s="1147"/>
      <c r="N46" s="1134"/>
      <c r="O46" s="1147"/>
      <c r="P46" s="3166" t="str">
        <f>A46</f>
        <v>成交单价</v>
      </c>
      <c r="Q46" s="3166"/>
      <c r="R46" s="3172">
        <f>E46</f>
        <v>6033</v>
      </c>
      <c r="S46" s="3172"/>
      <c r="T46" s="3172">
        <f>G46</f>
        <v>4346</v>
      </c>
      <c r="U46" s="3172"/>
      <c r="V46" s="3172">
        <f>I46</f>
        <v>5586</v>
      </c>
      <c r="W46" s="3172"/>
      <c r="X46" s="759"/>
      <c r="Y46" s="781"/>
      <c r="Z46" s="759"/>
      <c r="AA46" s="759"/>
      <c r="AB46" s="759"/>
      <c r="AC46" s="759"/>
    </row>
    <row r="47" spans="1:29" ht="15.75" thickBot="1">
      <c r="A47" s="486" t="s">
        <v>2668</v>
      </c>
      <c r="B47" s="683"/>
      <c r="C47" s="490">
        <f>R48</f>
        <v>5008</v>
      </c>
      <c r="D47" s="489"/>
      <c r="E47" s="490">
        <f>R47</f>
        <v>5748</v>
      </c>
      <c r="F47" s="491"/>
      <c r="G47" s="488">
        <f>T47</f>
        <v>4162</v>
      </c>
      <c r="H47" s="489"/>
      <c r="I47" s="490">
        <f>V47</f>
        <v>5113</v>
      </c>
      <c r="J47" s="489"/>
      <c r="K47" s="784"/>
      <c r="L47" s="1146"/>
      <c r="M47" s="1147"/>
      <c r="N47" s="1147"/>
      <c r="O47" s="1147"/>
      <c r="P47" s="3166" t="str">
        <f>A47</f>
        <v>比较价值（元/平方米）</v>
      </c>
      <c r="Q47" s="3166"/>
      <c r="R47" s="3159">
        <f>ROUND(PRODUCT(R46,AA7:AA45),0)</f>
        <v>5748</v>
      </c>
      <c r="S47" s="3159"/>
      <c r="T47" s="3159">
        <f>ROUND(PRODUCT(T46,AB7:AB45),0)</f>
        <v>4162</v>
      </c>
      <c r="U47" s="3159"/>
      <c r="V47" s="3159">
        <f>ROUND(PRODUCT(V46,AC7:AC45),0)</f>
        <v>5113</v>
      </c>
      <c r="W47" s="3159"/>
      <c r="X47" s="759"/>
      <c r="Y47" s="759"/>
      <c r="Z47" s="759"/>
      <c r="AA47" s="759"/>
      <c r="AB47" s="759"/>
      <c r="AC47" s="759"/>
    </row>
    <row r="48" spans="1:29" ht="15.75" thickBot="1">
      <c r="A48" s="492" t="s">
        <v>2756</v>
      </c>
      <c r="B48" s="493"/>
      <c r="C48" s="494">
        <f>R48</f>
        <v>5008</v>
      </c>
      <c r="D48" s="494"/>
      <c r="E48" s="494"/>
      <c r="F48" s="494"/>
      <c r="G48" s="494"/>
      <c r="H48" s="494"/>
      <c r="I48" s="494"/>
      <c r="J48" s="494"/>
      <c r="K48" s="785"/>
      <c r="L48" s="1146"/>
      <c r="M48" s="1147"/>
      <c r="N48" s="1147"/>
      <c r="O48" s="1147"/>
      <c r="P48" s="3160" t="str">
        <f>A48</f>
        <v>估价对象XX用房的比较价值（楼面单价，元/平方米）</v>
      </c>
      <c r="Q48" s="3161"/>
      <c r="R48" s="3162">
        <f>ROUND(AVERAGE(R47:V47),0)</f>
        <v>5008</v>
      </c>
      <c r="S48" s="3162"/>
      <c r="T48" s="3162"/>
      <c r="U48" s="3162"/>
      <c r="V48" s="3162"/>
      <c r="W48" s="316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4.9582463465553284E-2</v>
      </c>
      <c r="F51" s="500" t="str">
        <f>IF(OR(E51&gt;=0.3,E51&lt;=-0.3),"超过30%","")</f>
        <v/>
      </c>
      <c r="G51" s="499">
        <f>IF(G46&lt;G47,G47/G46-1,G46/G47-1)</f>
        <v>4.4209514656415205E-2</v>
      </c>
      <c r="H51" s="500" t="str">
        <f>IF(OR(G51&gt;=0.3,G51&lt;=-0.3),"超过30%","")</f>
        <v/>
      </c>
      <c r="I51" s="499">
        <f>IF(I46&lt;I47,I47/I46-1,I46/I47-1)</f>
        <v>9.2509290044983317E-2</v>
      </c>
      <c r="J51" s="500" t="str">
        <f>IF(OR(I51&gt;=0.3,I51&lt;=-0.3),"超过30%","")</f>
        <v/>
      </c>
      <c r="K51" s="1108"/>
      <c r="L51" s="1109"/>
      <c r="M51" s="1147"/>
      <c r="N51" s="1147"/>
      <c r="O51" s="1147"/>
    </row>
    <row r="52" spans="1:15" ht="13.5" customHeight="1">
      <c r="A52" s="1147"/>
      <c r="B52" s="1147"/>
      <c r="C52" s="497" t="s">
        <v>2671</v>
      </c>
      <c r="D52" s="501"/>
      <c r="E52" s="499">
        <f>IF(E47&lt;G47,G47/E47-1,E47/G47-1)</f>
        <v>0.38106679481018735</v>
      </c>
      <c r="F52" s="500" t="str">
        <f>IF(OR(E52&gt;=0.2,E52&lt;=-0.2),"超过20%","")</f>
        <v>超过20%</v>
      </c>
      <c r="G52" s="499">
        <f>IF(G47&lt;I47,I47/G47-1,G47/I47-1)</f>
        <v>0.22849591542527636</v>
      </c>
      <c r="H52" s="500" t="str">
        <f>IF(OR(G52&gt;=0.2,G52&lt;=-0.2),"超过20%","")</f>
        <v>超过20%</v>
      </c>
      <c r="I52" s="499">
        <f>IF(I47&lt;E47,E47/I47-1,I47/E47-1)</f>
        <v>0.12419323293565432</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0.38817303267372294</v>
      </c>
      <c r="F53" s="500" t="str">
        <f>IF(OR(E53&gt;=0.3,E53&lt;=-0.3),"超过30%","")</f>
        <v>超过30%</v>
      </c>
      <c r="G53" s="499">
        <f>IF(G46&lt;I46,I46/G46-1,G46/I46-1)</f>
        <v>0.28531983433041885</v>
      </c>
      <c r="H53" s="500" t="str">
        <f>IF(OR(G53&gt;=0.3,G53&lt;=-0.3),"超过30%","")</f>
        <v/>
      </c>
      <c r="I53" s="499">
        <f>IF(I46&lt;E46,E46/I46-1,I46/E46-1)</f>
        <v>8.002148227712147E-2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3" t="s">
        <v>2759</v>
      </c>
      <c r="D55" s="2704" t="s">
        <v>2760</v>
      </c>
      <c r="E55" s="686" t="s">
        <v>2761</v>
      </c>
      <c r="F55" s="1110" t="s">
        <v>2762</v>
      </c>
      <c r="G55" s="3163" t="s">
        <v>2763</v>
      </c>
      <c r="H55" s="3164"/>
      <c r="I55" s="144" t="s">
        <v>2764</v>
      </c>
      <c r="J55" s="2705">
        <f>项目基本情况!F35</f>
        <v>0</v>
      </c>
      <c r="K55" s="2706" t="s">
        <v>2765</v>
      </c>
      <c r="L55" s="1109"/>
      <c r="M55" s="1147"/>
      <c r="N55" s="1147"/>
      <c r="O55" s="1147"/>
    </row>
    <row r="56" spans="1:15" s="692" customFormat="1">
      <c r="A56" s="688" t="s">
        <v>2766</v>
      </c>
      <c r="B56" s="689">
        <f>C48</f>
        <v>5008</v>
      </c>
      <c r="C56" s="690">
        <v>1</v>
      </c>
      <c r="D56" s="1166">
        <v>1</v>
      </c>
      <c r="E56" s="690">
        <f>'数据-汇总表'!E8+'数据-汇总表'!E9</f>
        <v>66946.100000000006</v>
      </c>
      <c r="F56" s="1106">
        <f t="shared" ref="F56:F65" si="15">ROUND(B56*E56/10000,0)</f>
        <v>33527</v>
      </c>
      <c r="G56" s="3165"/>
      <c r="H56" s="3166"/>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c r="F57" s="1106">
        <f t="shared" si="15"/>
        <v>0</v>
      </c>
      <c r="G57" s="3167"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167"/>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167"/>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167"/>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07" t="s">
        <v>2773</v>
      </c>
      <c r="H61" s="1107">
        <f>项目基本情况!C37</f>
        <v>0</v>
      </c>
      <c r="I61" s="1111">
        <f>SUMIF(修正!A45:A56,H61,修正!F45:F56)</f>
        <v>0</v>
      </c>
      <c r="J61" s="1115"/>
      <c r="K61" s="1147"/>
      <c r="L61" s="944"/>
      <c r="M61" s="944"/>
      <c r="N61" s="944"/>
      <c r="O61" s="944"/>
    </row>
    <row r="62" spans="1:15" s="692" customFormat="1">
      <c r="A62" s="693" t="s">
        <v>2774</v>
      </c>
      <c r="B62" s="262">
        <f t="shared" si="17"/>
        <v>313</v>
      </c>
      <c r="C62" s="200">
        <f t="shared" si="16"/>
        <v>0.25</v>
      </c>
      <c r="D62" s="1167">
        <v>0.25</v>
      </c>
      <c r="E62" s="261">
        <f>'数据-汇总表'!E12</f>
        <v>10888.3</v>
      </c>
      <c r="F62" s="1106">
        <f t="shared" si="15"/>
        <v>341</v>
      </c>
      <c r="G62" s="1112" t="s">
        <v>3058</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2776</v>
      </c>
      <c r="B63" s="262">
        <f t="shared" si="17"/>
        <v>250</v>
      </c>
      <c r="C63" s="200">
        <f t="shared" si="16"/>
        <v>0.2</v>
      </c>
      <c r="D63" s="1167">
        <v>0.25</v>
      </c>
      <c r="E63" s="261">
        <f>'数据-汇总表'!E13</f>
        <v>29858.400000000001</v>
      </c>
      <c r="F63" s="1106">
        <f t="shared" si="15"/>
        <v>746</v>
      </c>
      <c r="G63" s="1112" t="s">
        <v>2777</v>
      </c>
      <c r="H63" s="1107" t="str">
        <f>IF(G63="商业",项目基本情况!B37,IF(G63="办公",项目基本情况!C37,IF(G63="住宅",项目基本情况!D37,项目基本情况!E37)))</f>
        <v>六级</v>
      </c>
      <c r="I63" s="1111">
        <f>SUMIF(修正!A45:A56,H63,修正!H45:H56)</f>
        <v>0.2</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07"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08"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107692.80000000002</v>
      </c>
      <c r="F66" s="697">
        <f>IF(B46="楼面地价",SUM(F56:F65),ROUND(C48*E66/10000,0))</f>
        <v>34614</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2012-12-1</v>
      </c>
      <c r="D68" s="761">
        <f>EDATE(C68,-3)</f>
        <v>41153</v>
      </c>
      <c r="E68" s="761">
        <f>EDATE(D68,-3)</f>
        <v>41061</v>
      </c>
      <c r="F68" s="761">
        <f t="shared" ref="F68:O68" si="18">EDATE(E68,-3)</f>
        <v>40969</v>
      </c>
      <c r="G68" s="761">
        <f t="shared" si="18"/>
        <v>40878</v>
      </c>
      <c r="H68" s="761">
        <f t="shared" si="18"/>
        <v>40787</v>
      </c>
      <c r="I68" s="761">
        <f t="shared" si="18"/>
        <v>40695</v>
      </c>
      <c r="J68" s="761">
        <f t="shared" si="18"/>
        <v>40603</v>
      </c>
      <c r="K68" s="761">
        <f t="shared" si="18"/>
        <v>40513</v>
      </c>
      <c r="L68" s="761">
        <f t="shared" si="18"/>
        <v>40422</v>
      </c>
      <c r="M68" s="761">
        <f t="shared" si="18"/>
        <v>40330</v>
      </c>
      <c r="N68" s="761">
        <f t="shared" si="18"/>
        <v>40238</v>
      </c>
      <c r="O68" s="761">
        <f t="shared" si="18"/>
        <v>40148</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09" t="s">
        <v>2781</v>
      </c>
      <c r="B70" s="1362"/>
      <c r="C70" s="1575" t="str">
        <f>YEAR(C68)&amp;"-"&amp;ROUNDUP(MONTH(C68)/3,0)</f>
        <v>2012-4</v>
      </c>
      <c r="D70" s="1575" t="str">
        <f>YEAR(D68)&amp;"-"&amp;ROUNDUP(MONTH(D68)/3,0)</f>
        <v>2012-3</v>
      </c>
      <c r="E70" s="1575" t="str">
        <f t="shared" ref="E70:O70" si="19">YEAR(E68)&amp;"-"&amp;ROUNDUP(MONTH(E68)/3,0)</f>
        <v>2012-2</v>
      </c>
      <c r="F70" s="1575" t="str">
        <f t="shared" si="19"/>
        <v>2012-1</v>
      </c>
      <c r="G70" s="1575" t="str">
        <f t="shared" si="19"/>
        <v>2011-4</v>
      </c>
      <c r="H70" s="1575" t="str">
        <f t="shared" si="19"/>
        <v>2011-3</v>
      </c>
      <c r="I70" s="1575" t="str">
        <f t="shared" si="19"/>
        <v>2011-2</v>
      </c>
      <c r="J70" s="1575" t="str">
        <f t="shared" si="19"/>
        <v>2011-1</v>
      </c>
      <c r="K70" s="1575" t="str">
        <f t="shared" si="19"/>
        <v>2010-4</v>
      </c>
      <c r="L70" s="1575" t="str">
        <f t="shared" si="19"/>
        <v>2010-3</v>
      </c>
      <c r="M70" s="1575" t="str">
        <f t="shared" si="19"/>
        <v>2010-2</v>
      </c>
      <c r="N70" s="1575" t="str">
        <f t="shared" si="19"/>
        <v>2010-1</v>
      </c>
      <c r="O70" s="1575" t="str">
        <f t="shared" si="19"/>
        <v>2009-4</v>
      </c>
      <c r="P70" s="507"/>
    </row>
    <row r="71" spans="1:17" s="117" customFormat="1" ht="30" customHeight="1">
      <c r="A71" s="2710" t="s">
        <v>2782</v>
      </c>
      <c r="B71" s="332" t="str">
        <f>"北京市平均增长率"&amp;TEXT(SUMIF(基准地价修正!N21:N25,A71,基准地价修正!P21:P25),"0.00%")</f>
        <v>北京市平均增长率0.00%</v>
      </c>
      <c r="C71" s="603">
        <v>100</v>
      </c>
      <c r="D71" s="595">
        <f>C71-0.5</f>
        <v>99.5</v>
      </c>
      <c r="E71" s="595">
        <f t="shared" ref="E71:I71" si="20">D71-0.5</f>
        <v>99</v>
      </c>
      <c r="F71" s="595">
        <f t="shared" si="20"/>
        <v>98.5</v>
      </c>
      <c r="G71" s="595">
        <f t="shared" si="20"/>
        <v>98</v>
      </c>
      <c r="H71" s="595">
        <f t="shared" si="20"/>
        <v>97.5</v>
      </c>
      <c r="I71" s="595">
        <f t="shared" si="20"/>
        <v>97</v>
      </c>
      <c r="J71" s="595"/>
      <c r="K71" s="595"/>
      <c r="L71" s="595"/>
      <c r="M71" s="1570"/>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51" t="s">
        <v>3182</v>
      </c>
      <c r="D75" s="2951" t="s">
        <v>3183</v>
      </c>
      <c r="E75" s="2951" t="s">
        <v>3160</v>
      </c>
      <c r="F75" s="530"/>
      <c r="G75" s="530"/>
      <c r="H75" s="530"/>
      <c r="I75" s="530"/>
      <c r="J75" s="530"/>
      <c r="K75" s="531"/>
      <c r="L75" s="532"/>
      <c r="M75" s="533"/>
      <c r="N75" s="1155"/>
      <c r="O75" s="1155"/>
      <c r="P75" s="45"/>
      <c r="Q75" s="504"/>
    </row>
    <row r="76" spans="1:17" ht="15.75" thickBot="1">
      <c r="A76" s="534"/>
      <c r="B76" s="535"/>
      <c r="C76" s="536">
        <v>100</v>
      </c>
      <c r="D76" s="536">
        <v>98</v>
      </c>
      <c r="E76" s="536">
        <v>96</v>
      </c>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6"/>
      <c r="O81" s="1156"/>
      <c r="P81" s="45"/>
      <c r="Q81" s="504"/>
    </row>
    <row r="82" spans="1:17" s="471" customFormat="1" ht="15.75" thickTop="1">
      <c r="A82" s="553"/>
      <c r="B82" s="538" t="str">
        <f>B12</f>
        <v>配建</v>
      </c>
      <c r="C82" s="2958" t="s">
        <v>3163</v>
      </c>
      <c r="D82" s="2957" t="s">
        <v>3162</v>
      </c>
      <c r="E82" s="554"/>
      <c r="F82" s="554"/>
      <c r="G82" s="554"/>
      <c r="H82" s="555"/>
      <c r="I82" s="555"/>
      <c r="J82" s="555"/>
      <c r="K82" s="555"/>
      <c r="L82" s="556"/>
      <c r="M82" s="557"/>
      <c r="N82" s="1157"/>
      <c r="O82" s="1157"/>
      <c r="P82" s="558"/>
      <c r="Q82" s="559"/>
    </row>
    <row r="83" spans="1:17" s="471" customFormat="1" ht="15.75" thickBot="1">
      <c r="A83" s="553"/>
      <c r="B83" s="543"/>
      <c r="C83" s="560">
        <v>100</v>
      </c>
      <c r="D83" s="536">
        <v>70</v>
      </c>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6"/>
      <c r="O105" s="1156"/>
      <c r="P105" s="45"/>
      <c r="Q105" s="504"/>
    </row>
    <row r="106" spans="1:17" ht="27.75" thickTop="1">
      <c r="A106" s="534"/>
      <c r="B106" s="538" t="s">
        <v>2690</v>
      </c>
      <c r="C106" s="2950" t="s">
        <v>3164</v>
      </c>
      <c r="D106" s="2950" t="s">
        <v>3165</v>
      </c>
      <c r="E106" s="2950" t="s">
        <v>3166</v>
      </c>
      <c r="F106" s="2950" t="s">
        <v>3167</v>
      </c>
      <c r="G106" s="2950" t="s">
        <v>3169</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2790</v>
      </c>
      <c r="C116" s="529" t="str">
        <f>C117&amp;"(含)"&amp;"-"&amp;D117</f>
        <v>0(含)-30000</v>
      </c>
      <c r="D116" s="529" t="str">
        <f t="shared" ref="D116:M116" si="26">D117&amp;"(含)"&amp;"-"&amp;E117</f>
        <v>30000(含)-60000</v>
      </c>
      <c r="E116" s="529" t="str">
        <f t="shared" si="26"/>
        <v>60000(含)-90000</v>
      </c>
      <c r="F116" s="529" t="str">
        <f t="shared" si="26"/>
        <v>90000(含)-120000</v>
      </c>
      <c r="G116" s="529" t="str">
        <f t="shared" si="26"/>
        <v>120000(含)-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30000</v>
      </c>
      <c r="E117" s="595">
        <v>60000</v>
      </c>
      <c r="F117" s="595">
        <v>90000</v>
      </c>
      <c r="G117" s="595">
        <v>120000</v>
      </c>
      <c r="H117" s="595"/>
      <c r="I117" s="595"/>
      <c r="J117" s="596"/>
      <c r="K117" s="596"/>
      <c r="L117" s="597"/>
      <c r="M117" s="598"/>
      <c r="N117" s="1155"/>
      <c r="O117" s="1155"/>
      <c r="P117" s="45"/>
      <c r="Q117" s="504"/>
    </row>
    <row r="118" spans="1:17" ht="15.75" thickBot="1">
      <c r="A118" s="534"/>
      <c r="B118" s="543"/>
      <c r="C118" s="570">
        <v>100</v>
      </c>
      <c r="D118" s="591">
        <f>C118+2</f>
        <v>102</v>
      </c>
      <c r="E118" s="591">
        <f t="shared" ref="E118:G118" si="27">D118+2</f>
        <v>104</v>
      </c>
      <c r="F118" s="591">
        <f t="shared" si="27"/>
        <v>106</v>
      </c>
      <c r="G118" s="591">
        <f t="shared" si="27"/>
        <v>108</v>
      </c>
      <c r="H118" s="591"/>
      <c r="I118" s="591"/>
      <c r="J118" s="591"/>
      <c r="K118" s="591"/>
      <c r="L118" s="591"/>
      <c r="M118" s="592"/>
      <c r="N118" s="1156"/>
      <c r="O118" s="1156"/>
      <c r="P118" s="45"/>
      <c r="Q118" s="504"/>
    </row>
    <row r="119" spans="1:17" ht="15" thickTop="1">
      <c r="A119" s="599"/>
      <c r="B119" s="538" t="s">
        <v>2791</v>
      </c>
      <c r="C119" s="2952" t="s">
        <v>3170</v>
      </c>
      <c r="D119" s="2952" t="s">
        <v>3172</v>
      </c>
      <c r="E119" s="2952" t="s">
        <v>3173</v>
      </c>
      <c r="F119" s="2952" t="s">
        <v>3174</v>
      </c>
      <c r="G119" s="583"/>
      <c r="H119" s="583"/>
      <c r="I119" s="583"/>
      <c r="J119" s="583"/>
      <c r="K119" s="584"/>
      <c r="L119" s="585"/>
      <c r="M119" s="586"/>
      <c r="N119" s="1155"/>
      <c r="O119" s="1155"/>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6"/>
      <c r="O120" s="1156"/>
      <c r="P120" s="45"/>
      <c r="Q120" s="504"/>
    </row>
    <row r="121" spans="1:17" ht="15" thickTop="1">
      <c r="A121" s="599"/>
      <c r="B121" s="538" t="s">
        <v>2792</v>
      </c>
      <c r="C121" s="2950" t="s">
        <v>3175</v>
      </c>
      <c r="D121" s="2950" t="s">
        <v>3177</v>
      </c>
      <c r="E121" s="2950" t="s">
        <v>3178</v>
      </c>
      <c r="F121" s="2952" t="s">
        <v>3179</v>
      </c>
      <c r="G121" s="583"/>
      <c r="H121" s="583"/>
      <c r="I121" s="583"/>
      <c r="J121" s="583"/>
      <c r="K121" s="584"/>
      <c r="L121" s="585"/>
      <c r="M121" s="586"/>
      <c r="N121" s="1155"/>
      <c r="O121" s="1155"/>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6"/>
      <c r="O122" s="1156"/>
      <c r="P122" s="45"/>
      <c r="Q122" s="504"/>
    </row>
    <row r="123" spans="1:17" s="471" customFormat="1" ht="15" thickTop="1">
      <c r="A123" s="593"/>
      <c r="B123" s="538" t="s">
        <v>2793</v>
      </c>
      <c r="C123" s="554" t="s">
        <v>3137</v>
      </c>
      <c r="D123" s="554" t="s">
        <v>3150</v>
      </c>
      <c r="E123" s="554" t="s">
        <v>3151</v>
      </c>
      <c r="F123" s="554" t="s">
        <v>3152</v>
      </c>
      <c r="G123" s="554" t="s">
        <v>3153</v>
      </c>
      <c r="H123" s="583"/>
      <c r="I123" s="583"/>
      <c r="J123" s="583"/>
      <c r="K123" s="584"/>
      <c r="L123" s="585"/>
      <c r="M123" s="586"/>
      <c r="N123" s="1157"/>
      <c r="O123" s="1157"/>
      <c r="P123" s="558"/>
      <c r="Q123" s="559"/>
    </row>
    <row r="124" spans="1:17" s="471" customFormat="1" ht="15.75" thickBot="1">
      <c r="A124" s="553"/>
      <c r="B124" s="543"/>
      <c r="C124" s="544">
        <v>100</v>
      </c>
      <c r="D124" s="544">
        <f>C124-$K41</f>
        <v>99.5</v>
      </c>
      <c r="E124" s="544">
        <f t="shared" ref="E124:M124" si="30">D124-$K41</f>
        <v>99</v>
      </c>
      <c r="F124" s="544">
        <f t="shared" si="30"/>
        <v>98.5</v>
      </c>
      <c r="G124" s="544">
        <f t="shared" si="30"/>
        <v>98</v>
      </c>
      <c r="H124" s="544">
        <f t="shared" si="30"/>
        <v>97.5</v>
      </c>
      <c r="I124" s="544">
        <f t="shared" si="30"/>
        <v>97</v>
      </c>
      <c r="J124" s="544">
        <f t="shared" si="30"/>
        <v>96.5</v>
      </c>
      <c r="K124" s="544">
        <f t="shared" si="30"/>
        <v>96</v>
      </c>
      <c r="L124" s="544">
        <f t="shared" si="30"/>
        <v>95.5</v>
      </c>
      <c r="M124" s="545">
        <f t="shared" si="30"/>
        <v>95</v>
      </c>
      <c r="N124" s="1157"/>
      <c r="O124" s="1157"/>
      <c r="P124" s="558"/>
      <c r="Q124" s="559"/>
    </row>
    <row r="125" spans="1:17" ht="15" thickTop="1">
      <c r="A125" s="599"/>
      <c r="B125" s="538" t="s">
        <v>2794</v>
      </c>
      <c r="C125" s="554" t="s">
        <v>3180</v>
      </c>
      <c r="D125" s="554" t="s">
        <v>3140</v>
      </c>
      <c r="E125" s="583" t="s">
        <v>3141</v>
      </c>
      <c r="F125" s="583" t="s">
        <v>3159</v>
      </c>
      <c r="G125" s="583" t="s">
        <v>3181</v>
      </c>
      <c r="H125" s="583"/>
      <c r="I125" s="583"/>
      <c r="J125" s="583"/>
      <c r="K125" s="584"/>
      <c r="L125" s="585"/>
      <c r="M125" s="586"/>
      <c r="N125" s="1155"/>
      <c r="O125" s="1155"/>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3" t="str">
        <f>项目基本情况!B1</f>
        <v>北京市通州区潞河镇（武夷花园东区）限价住宅及地下车库用房房地产市场价值房地产市场价值预评估</v>
      </c>
      <c r="C37" s="2973"/>
      <c r="D37" s="2973"/>
      <c r="E37" s="2973"/>
      <c r="F37" s="2973"/>
      <c r="G37" s="2973"/>
      <c r="H37" s="2973"/>
      <c r="I37" s="2973"/>
    </row>
    <row r="38" spans="1:9">
      <c r="A38" s="1019"/>
      <c r="B38" s="1019"/>
    </row>
    <row r="39" spans="1:9">
      <c r="A39" s="1017" t="s">
        <v>818</v>
      </c>
      <c r="B39" s="1017" t="s">
        <v>820</v>
      </c>
    </row>
    <row r="40" spans="1:9">
      <c r="A40" s="1017"/>
      <c r="B40" s="1945" t="str">
        <f>项目基本情况!B5</f>
        <v>北京市保障性住房建设投资中心</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3074</v>
      </c>
      <c r="C1" s="242"/>
      <c r="D1" s="242"/>
      <c r="E1" s="242"/>
      <c r="F1" s="242"/>
      <c r="G1" s="1382">
        <f>MATCH(B1,'数据-取费表'!A6:A16,0)+5</f>
        <v>6</v>
      </c>
    </row>
    <row r="2" spans="1:9" s="244" customFormat="1" ht="18" customHeight="1">
      <c r="A2" s="245" t="s">
        <v>2326</v>
      </c>
      <c r="B2" s="246">
        <f ca="1">IF(D2="——",C52,C52-E2)</f>
        <v>65349</v>
      </c>
      <c r="C2" s="243" t="s">
        <v>2327</v>
      </c>
      <c r="D2" s="2548" t="s">
        <v>70</v>
      </c>
      <c r="E2" s="1443"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9761</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35621</v>
      </c>
      <c r="D5" s="255" t="s">
        <v>2333</v>
      </c>
      <c r="E5" s="256" t="s">
        <v>2334</v>
      </c>
      <c r="F5" s="256" t="s">
        <v>2335</v>
      </c>
      <c r="G5" s="257"/>
    </row>
    <row r="6" spans="1:9" s="258" customFormat="1" ht="13.5" customHeight="1">
      <c r="A6" s="952" t="s">
        <v>2336</v>
      </c>
      <c r="B6" s="259" t="s">
        <v>2337</v>
      </c>
      <c r="C6" s="260">
        <f>'土地比较法-住宅、综合'!F56</f>
        <v>33527</v>
      </c>
      <c r="D6" s="261"/>
      <c r="E6" s="262"/>
      <c r="F6" s="262"/>
      <c r="G6" s="263"/>
    </row>
    <row r="7" spans="1:9" s="258" customFormat="1" ht="13.5" customHeight="1">
      <c r="A7" s="952" t="s">
        <v>2338</v>
      </c>
      <c r="B7" s="259" t="s">
        <v>2339</v>
      </c>
      <c r="C7" s="264">
        <f>ROUND(C6*F7,0)</f>
        <v>1023</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1071</v>
      </c>
      <c r="D8" s="266"/>
      <c r="E8" s="264"/>
      <c r="F8" s="265"/>
      <c r="G8" s="2551" t="s">
        <v>3190</v>
      </c>
    </row>
    <row r="9" spans="1:9" s="258" customFormat="1" ht="13.5" customHeight="1">
      <c r="A9" s="953" t="s">
        <v>800</v>
      </c>
      <c r="B9" s="268" t="s">
        <v>2342</v>
      </c>
      <c r="C9" s="269">
        <f ca="1">ROUND(D9*E9/10000,0)</f>
        <v>1071</v>
      </c>
      <c r="D9" s="1035">
        <f ca="1">IF(B1="",'数据-汇总表'!E5,IF(INDIRECT("'数据-取费表'!c"&amp;$G$1)="住宅",INDIRECT("'数据-取费表'!k"&amp;$G$1),0))</f>
        <v>66946.100000000006</v>
      </c>
      <c r="E9" s="269">
        <f>'数据-取费表'!B27</f>
        <v>160</v>
      </c>
      <c r="F9" s="265"/>
      <c r="G9" s="2552" t="s">
        <v>3191</v>
      </c>
      <c r="H9" s="1393">
        <v>1071</v>
      </c>
      <c r="I9" s="2553" t="s">
        <v>2343</v>
      </c>
    </row>
    <row r="10" spans="1:9" s="258" customFormat="1" ht="13.5" customHeight="1">
      <c r="A10" s="953" t="s">
        <v>801</v>
      </c>
      <c r="B10" s="268" t="s">
        <v>2344</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66946.100000000006</v>
      </c>
      <c r="E19" s="255">
        <f>'数据-取费表'!B31</f>
        <v>150</v>
      </c>
      <c r="F19" s="275"/>
      <c r="G19" s="2551" t="s">
        <v>3192</v>
      </c>
    </row>
    <row r="20" spans="1:7" s="258" customFormat="1" ht="13.5" customHeight="1">
      <c r="A20" s="299" t="s">
        <v>2357</v>
      </c>
      <c r="B20" s="254" t="s">
        <v>2358</v>
      </c>
      <c r="C20" s="276">
        <f>ROUND((C5+C19)*F20,0)</f>
        <v>356</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3352</v>
      </c>
      <c r="D22" s="279">
        <f ca="1">C26</f>
        <v>5.0000000000000001E-4</v>
      </c>
      <c r="E22" s="280" t="s">
        <v>2362</v>
      </c>
      <c r="F22" s="281">
        <f ca="1">'数据-取费表'!B40</f>
        <v>6.1500000000000006E-2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3336</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16</v>
      </c>
      <c r="D25" s="282"/>
      <c r="E25" s="285"/>
      <c r="F25" s="283"/>
      <c r="G25" s="286" t="s">
        <v>2374</v>
      </c>
    </row>
    <row r="26" spans="1:7" s="258" customFormat="1">
      <c r="A26" s="954" t="s">
        <v>795</v>
      </c>
      <c r="B26" s="259" t="s">
        <v>2375</v>
      </c>
      <c r="C26" s="282">
        <f ca="1">ROUND(IF('数据-取费表'!B22&lt;=1,F21*F22*'数据-取费表'!B23/2,F21*(POWER((1+F22),'数据-取费表'!B23/2)-1)),4)</f>
        <v>5.0000000000000001E-4</v>
      </c>
      <c r="D26" s="282"/>
      <c r="E26" s="285"/>
      <c r="F26" s="283"/>
      <c r="G26" s="287"/>
    </row>
    <row r="27" spans="1:7" s="258" customFormat="1" ht="24.75">
      <c r="A27" s="299" t="s">
        <v>2376</v>
      </c>
      <c r="B27" s="288" t="s">
        <v>2377</v>
      </c>
      <c r="C27" s="289">
        <f ca="1">C28</f>
        <v>1079</v>
      </c>
      <c r="D27" s="279">
        <f ca="1">C29</f>
        <v>2.9999999999999997E-4</v>
      </c>
      <c r="E27" s="280" t="s">
        <v>2378</v>
      </c>
      <c r="F27" s="290">
        <f ca="1">IF(B1="",'数据-取费表'!Q16,INDIRECT("'数据-取费表'!q"&amp;$G$1))</f>
        <v>0.03</v>
      </c>
      <c r="G27" s="291" t="s">
        <v>2379</v>
      </c>
    </row>
    <row r="28" spans="1:7" s="258" customFormat="1" ht="13.5" customHeight="1">
      <c r="A28" s="954" t="s">
        <v>791</v>
      </c>
      <c r="B28" s="292" t="s">
        <v>2380</v>
      </c>
      <c r="C28" s="293">
        <f ca="1">ROUND((C5+C19+C20)*F27*'数据-取费表'!B21/'数据-取费表'!B20,0)</f>
        <v>1079</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5.5E-2</v>
      </c>
      <c r="D30" s="280" t="s">
        <v>2378</v>
      </c>
      <c r="E30" s="285"/>
      <c r="F30" s="281">
        <f>'数据-取费表'!B41</f>
        <v>5.5000000000000007E-2</v>
      </c>
      <c r="G30" s="278" t="s">
        <v>2384</v>
      </c>
    </row>
    <row r="31" spans="1:7" ht="16.5" customHeight="1">
      <c r="A31" s="253">
        <v>1</v>
      </c>
      <c r="B31" s="254" t="s">
        <v>2385</v>
      </c>
      <c r="C31" s="255">
        <f ca="1">ROUND((C5+C19+C20+C22+C27)/(1-C21-D22-D27-C30),0)</f>
        <v>43254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18996</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16737</v>
      </c>
      <c r="D34" s="261"/>
      <c r="E34" s="264"/>
      <c r="F34" s="301">
        <f ca="1">IF('数据-取费表'!B24=0,1,IF(B1="",'数据-取费表'!N16,INDIRECT("'数据-取费表'!n"&amp;$G$1)))</f>
        <v>1</v>
      </c>
      <c r="G34" s="263" t="s">
        <v>2390</v>
      </c>
    </row>
    <row r="35" spans="1:7" ht="13.5" customHeight="1">
      <c r="A35" s="954" t="s">
        <v>796</v>
      </c>
      <c r="B35" s="259" t="s">
        <v>2391</v>
      </c>
      <c r="C35" s="264">
        <f ca="1">ROUND(C34*F35,0)</f>
        <v>502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502</v>
      </c>
      <c r="D36" s="264"/>
      <c r="E36" s="264"/>
      <c r="F36" s="303">
        <f>'数据-取费表'!B34</f>
        <v>0.03</v>
      </c>
      <c r="G36" s="304" t="s">
        <v>2394</v>
      </c>
    </row>
    <row r="37" spans="1:7" s="302" customFormat="1" ht="13.5" customHeight="1">
      <c r="A37" s="954" t="s">
        <v>798</v>
      </c>
      <c r="B37" s="259" t="s">
        <v>2395</v>
      </c>
      <c r="C37" s="293">
        <f ca="1">ROUND(E37*D37*F34/10000,0)</f>
        <v>1004</v>
      </c>
      <c r="D37" s="261">
        <f ca="1">D19</f>
        <v>66946.100000000006</v>
      </c>
      <c r="E37" s="293">
        <f>'数据-取费表'!B35</f>
        <v>150</v>
      </c>
      <c r="F37" s="303"/>
      <c r="G37" s="305" t="s">
        <v>2396</v>
      </c>
    </row>
    <row r="38" spans="1:7" ht="13.5" customHeight="1">
      <c r="A38" s="954" t="s">
        <v>799</v>
      </c>
      <c r="B38" s="259" t="s">
        <v>2397</v>
      </c>
      <c r="C38" s="264">
        <f ca="1">ROUND(C34*F38,0)</f>
        <v>251</v>
      </c>
      <c r="D38" s="264"/>
      <c r="E38" s="264"/>
      <c r="F38" s="303">
        <f>'数据-取费表'!B36</f>
        <v>1.4999999999999999E-2</v>
      </c>
      <c r="G38" s="263" t="s">
        <v>2392</v>
      </c>
    </row>
    <row r="39" spans="1:7" s="258" customFormat="1" ht="13.5" customHeight="1">
      <c r="A39" s="299" t="s">
        <v>2398</v>
      </c>
      <c r="B39" s="254" t="s">
        <v>2399</v>
      </c>
      <c r="C39" s="276">
        <f ca="1">ROUND(C33*F20,0)</f>
        <v>190</v>
      </c>
      <c r="D39" s="276"/>
      <c r="E39" s="276"/>
      <c r="F39" s="277"/>
      <c r="G39" s="278" t="s">
        <v>2400</v>
      </c>
    </row>
    <row r="40" spans="1:7" s="258" customFormat="1" ht="13.5" customHeight="1">
      <c r="A40" s="299" t="s">
        <v>2401</v>
      </c>
      <c r="B40" s="254" t="s">
        <v>2402</v>
      </c>
      <c r="C40" s="1731">
        <f>F21</f>
        <v>0.01</v>
      </c>
      <c r="D40" s="280" t="s">
        <v>2403</v>
      </c>
      <c r="E40" s="276"/>
      <c r="F40" s="277"/>
      <c r="G40" s="278" t="s">
        <v>2404</v>
      </c>
    </row>
    <row r="41" spans="1:7" s="258" customFormat="1" ht="13.5" customHeight="1">
      <c r="A41" s="299" t="s">
        <v>2405</v>
      </c>
      <c r="B41" s="254" t="s">
        <v>2406</v>
      </c>
      <c r="C41" s="276">
        <f ca="1">ROUND(SUM(C42:C43),0)</f>
        <v>879</v>
      </c>
      <c r="D41" s="279">
        <f ca="1">C44</f>
        <v>5.0000000000000001E-4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870</v>
      </c>
      <c r="D42" s="282"/>
      <c r="E42" s="282"/>
      <c r="F42" s="283"/>
      <c r="G42" s="3202" t="s">
        <v>2408</v>
      </c>
    </row>
    <row r="43" spans="1:7" ht="13.5" customHeight="1">
      <c r="A43" s="954" t="s">
        <v>792</v>
      </c>
      <c r="B43" s="259" t="s">
        <v>2409</v>
      </c>
      <c r="C43" s="282">
        <f ca="1">ROUND(IF('数据-取费表'!B22&lt;=1,C39*F22*'数据-取费表'!B21/2,C39*(POWER((1+F22),'数据-取费表'!B21/2)-1)),0)</f>
        <v>9</v>
      </c>
      <c r="D43" s="282"/>
      <c r="E43" s="282"/>
      <c r="F43" s="283"/>
      <c r="G43" s="3203"/>
    </row>
    <row r="44" spans="1:7" ht="13.5" customHeight="1">
      <c r="A44" s="954" t="s">
        <v>793</v>
      </c>
      <c r="B44" s="259" t="s">
        <v>2410</v>
      </c>
      <c r="C44" s="282">
        <f ca="1">ROUND(IF('数据-取费表'!B22&lt;=1,C40*F22*'数据-取费表'!B21/2,C40*(POWER((1+F22),'数据-取费表'!B21/2)-1)),4)</f>
        <v>5.0000000000000001E-4</v>
      </c>
      <c r="D44" s="282"/>
      <c r="E44" s="282"/>
      <c r="F44" s="283"/>
      <c r="G44" s="3204"/>
    </row>
    <row r="45" spans="1:7" s="258" customFormat="1" ht="13.5" customHeight="1">
      <c r="A45" s="299" t="s">
        <v>2411</v>
      </c>
      <c r="B45" s="288" t="s">
        <v>2377</v>
      </c>
      <c r="C45" s="289">
        <f ca="1">C46</f>
        <v>576</v>
      </c>
      <c r="D45" s="279">
        <f ca="1">C47</f>
        <v>2.9999999999999997E-4</v>
      </c>
      <c r="E45" s="280" t="s">
        <v>2403</v>
      </c>
      <c r="F45" s="290"/>
      <c r="G45" s="291" t="s">
        <v>2412</v>
      </c>
    </row>
    <row r="46" spans="1:7" s="258" customFormat="1" ht="13.5" customHeight="1">
      <c r="A46" s="954" t="s">
        <v>791</v>
      </c>
      <c r="B46" s="292" t="s">
        <v>2413</v>
      </c>
      <c r="C46" s="293">
        <f ca="1">ROUND((C33+C39)*F27,0)</f>
        <v>576</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1731">
        <f>ROUND(F30/(1+'数据-取费表'!C42),4)</f>
        <v>5.5E-2</v>
      </c>
      <c r="D48" s="280" t="s">
        <v>2403</v>
      </c>
      <c r="E48" s="276"/>
      <c r="F48" s="281"/>
      <c r="G48" s="278" t="s">
        <v>2416</v>
      </c>
    </row>
    <row r="49" spans="1:7" ht="16.5" customHeight="1">
      <c r="A49" s="299" t="s">
        <v>2382</v>
      </c>
      <c r="B49" s="254" t="s">
        <v>2417</v>
      </c>
      <c r="C49" s="276">
        <f ca="1">ROUND((C33+C39+C41+C45)/(1-C40-D41-D45-C48),0)</f>
        <v>22095</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22095</v>
      </c>
      <c r="D51" s="276"/>
      <c r="E51" s="276"/>
      <c r="F51" s="308"/>
      <c r="G51" s="278" t="s">
        <v>2424</v>
      </c>
    </row>
    <row r="52" spans="1:7" s="252" customFormat="1" ht="16.5" thickBot="1">
      <c r="A52" s="309" t="s">
        <v>2425</v>
      </c>
      <c r="B52" s="310"/>
      <c r="C52" s="311">
        <f ca="1">C31+C51</f>
        <v>65349</v>
      </c>
      <c r="D52" s="310"/>
      <c r="E52" s="310"/>
      <c r="F52" s="310"/>
      <c r="G52" s="312"/>
    </row>
    <row r="55" spans="1:7" ht="15">
      <c r="B55" s="314" t="s">
        <v>2426</v>
      </c>
      <c r="C55" s="315"/>
    </row>
    <row r="56" spans="1:7">
      <c r="B56" s="317" t="s">
        <v>1513</v>
      </c>
      <c r="C56" s="319">
        <f ca="1">1-C57</f>
        <v>0.66199999999999992</v>
      </c>
    </row>
    <row r="57" spans="1:7">
      <c r="B57" s="317" t="s">
        <v>1514</v>
      </c>
      <c r="C57" s="318">
        <f ca="1">ROUND(C51/C52,3)</f>
        <v>0.33800000000000002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4" t="s">
        <v>2427</v>
      </c>
      <c r="D1" s="242"/>
      <c r="E1" s="242"/>
      <c r="F1" s="242"/>
      <c r="G1" s="1382">
        <f>MATCH(B1,'数据-取费表'!A6:A16,0)+5</f>
        <v>9</v>
      </c>
      <c r="H1" s="1285" t="str">
        <f>IF(ISERROR(FIND("住宅",B1)),"非住宅","住宅")</f>
        <v>非住宅</v>
      </c>
    </row>
    <row r="2" spans="1:8" s="244" customFormat="1" ht="18" customHeight="1">
      <c r="A2" s="245" t="s">
        <v>2326</v>
      </c>
      <c r="B2" s="246">
        <f ca="1">ROUND(IF(D2="——",C52/10000,C52/10000-E2),0)</f>
        <v>39437</v>
      </c>
      <c r="C2" s="243" t="s">
        <v>2327</v>
      </c>
      <c r="D2" s="2548" t="s">
        <v>70</v>
      </c>
      <c r="E2" s="1443"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3662</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18860716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18860716</v>
      </c>
      <c r="D8" s="266"/>
      <c r="E8" s="264"/>
      <c r="F8" s="265"/>
      <c r="G8" s="2551"/>
    </row>
    <row r="9" spans="1:8" s="258" customFormat="1" ht="13.5" customHeight="1">
      <c r="A9" s="953" t="s">
        <v>800</v>
      </c>
      <c r="B9" s="268" t="s">
        <v>2342</v>
      </c>
      <c r="C9" s="269">
        <f ca="1">ROUND(D9*E9,0)</f>
        <v>10711376</v>
      </c>
      <c r="D9" s="1035">
        <f ca="1">IF(B1="",'数据-汇总表'!E5,IF(INDIRECT("'数据-取费表'!c"&amp;$G$1)="住宅",INDIRECT("'数据-取费表'!k"&amp;$G$1),0))</f>
        <v>66946.100000000006</v>
      </c>
      <c r="E9" s="269">
        <f>'数据-取费表'!B27</f>
        <v>160</v>
      </c>
      <c r="F9" s="265"/>
      <c r="G9" s="270"/>
    </row>
    <row r="10" spans="1:8" s="258" customFormat="1" ht="13.5" customHeight="1">
      <c r="A10" s="953" t="s">
        <v>801</v>
      </c>
      <c r="B10" s="268" t="s">
        <v>2344</v>
      </c>
      <c r="C10" s="269">
        <f ca="1">ROUND(D10*E10,0)</f>
        <v>8149340</v>
      </c>
      <c r="D10" s="1035">
        <f ca="1">IF(B1="",'数据-汇总表'!E6,IF(INDIRECT("'数据-取费表'!c"&amp;$G$1)="住宅",INDIRECT("'数据-取费表'!s"&amp;$G$1),INDIRECT("'数据-取费表'!k"&amp;$G$1)+INDIRECT("'数据-取费表'!s"&amp;$G$1)))</f>
        <v>40746.699999999997</v>
      </c>
      <c r="E10" s="269">
        <f>'数据-取费表'!B28</f>
        <v>200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16153920</v>
      </c>
      <c r="D19" s="1039">
        <f ca="1">D9+D10</f>
        <v>107692.8</v>
      </c>
      <c r="E19" s="255">
        <f>'数据-取费表'!B31</f>
        <v>150</v>
      </c>
      <c r="F19" s="275"/>
      <c r="G19" s="2551"/>
    </row>
    <row r="20" spans="1:7" s="258" customFormat="1" ht="13.5" customHeight="1">
      <c r="A20" s="299" t="s">
        <v>2438</v>
      </c>
      <c r="B20" s="254" t="s">
        <v>2439</v>
      </c>
      <c r="C20" s="276">
        <f ca="1">ROUND((C5+C19)*F20,0)</f>
        <v>350146</v>
      </c>
      <c r="D20" s="276"/>
      <c r="E20" s="276"/>
      <c r="F20" s="277">
        <f>'数据-取费表'!B37</f>
        <v>0.01</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83">
        <f ca="1">ROUND(SUM(C23:C25),0)</f>
        <v>3295294</v>
      </c>
      <c r="D22" s="279">
        <f ca="1">C26</f>
        <v>5.0000000000000001E-4</v>
      </c>
      <c r="E22" s="280" t="s">
        <v>2443</v>
      </c>
      <c r="F22" s="281">
        <f ca="1">'数据-取费表'!B40</f>
        <v>6.1500000000000006E-2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1766384</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1512881</v>
      </c>
      <c r="D24" s="282"/>
      <c r="E24" s="282"/>
      <c r="F24" s="283"/>
      <c r="G24" s="284" t="s">
        <v>2450</v>
      </c>
    </row>
    <row r="25" spans="1:7" s="258" customFormat="1" ht="24">
      <c r="A25" s="954" t="s">
        <v>2340</v>
      </c>
      <c r="B25" s="259" t="s">
        <v>2451</v>
      </c>
      <c r="C25" s="1384">
        <f ca="1">ROUND(IF('数据-取费表'!B22&lt;=1,C20*F22*'数据-取费表'!B22/2,C20*(POWER((1+F22),'数据-取费表'!B22/2)-1)),0)</f>
        <v>16029</v>
      </c>
      <c r="D25" s="282"/>
      <c r="E25" s="285"/>
      <c r="F25" s="283"/>
      <c r="G25" s="286" t="s">
        <v>2452</v>
      </c>
    </row>
    <row r="26" spans="1:7" s="258" customFormat="1">
      <c r="A26" s="954" t="s">
        <v>795</v>
      </c>
      <c r="B26" s="259" t="s">
        <v>2375</v>
      </c>
      <c r="C26" s="282">
        <f ca="1">ROUND(IF('数据-取费表'!B22&lt;=1,F21*F22*'数据-取费表'!B22/2,F21*(POWER((1+F22),'数据-取费表'!B22/2)-1)),4)</f>
        <v>5.0000000000000001E-4</v>
      </c>
      <c r="D26" s="282"/>
      <c r="E26" s="285"/>
      <c r="F26" s="283"/>
      <c r="G26" s="287"/>
    </row>
    <row r="27" spans="1:7" s="258" customFormat="1" ht="24.75">
      <c r="A27" s="299" t="s">
        <v>2376</v>
      </c>
      <c r="B27" s="288" t="s">
        <v>2377</v>
      </c>
      <c r="C27" s="289">
        <f ca="1">C28</f>
        <v>1060943</v>
      </c>
      <c r="D27" s="279">
        <f ca="1">C29</f>
        <v>2.9999999999999997E-4</v>
      </c>
      <c r="E27" s="280" t="s">
        <v>2378</v>
      </c>
      <c r="F27" s="290">
        <f ca="1">IF(B1="",'数据-取费表'!Q16,INDIRECT("'数据-取费表'!q"&amp;$G$1))</f>
        <v>0.03</v>
      </c>
      <c r="G27" s="291" t="s">
        <v>2379</v>
      </c>
    </row>
    <row r="28" spans="1:7" s="258" customFormat="1" ht="13.5" customHeight="1">
      <c r="A28" s="954" t="s">
        <v>791</v>
      </c>
      <c r="B28" s="292" t="s">
        <v>2380</v>
      </c>
      <c r="C28" s="293">
        <f ca="1">ROUND((C5+C19+C20)*F27,0)</f>
        <v>1060943</v>
      </c>
      <c r="D28" s="279"/>
      <c r="E28" s="280"/>
      <c r="F28" s="290"/>
      <c r="G28" s="291"/>
    </row>
    <row r="29" spans="1:7" s="258" customFormat="1" ht="13.5" customHeight="1">
      <c r="A29" s="954" t="s">
        <v>792</v>
      </c>
      <c r="B29" s="292" t="s">
        <v>2381</v>
      </c>
      <c r="C29" s="282">
        <f ca="1">ROUND(C21*F27,4)</f>
        <v>2.9999999999999997E-4</v>
      </c>
      <c r="D29" s="279"/>
      <c r="E29" s="280"/>
      <c r="F29" s="290"/>
      <c r="G29" s="291"/>
    </row>
    <row r="30" spans="1:7" s="258" customFormat="1" ht="13.5" customHeight="1">
      <c r="A30" s="299" t="s">
        <v>2382</v>
      </c>
      <c r="B30" s="254" t="s">
        <v>2383</v>
      </c>
      <c r="C30" s="279">
        <f>ROUND(F30/(1+'数据-取费表'!C42),4)</f>
        <v>5.5E-2</v>
      </c>
      <c r="D30" s="280" t="s">
        <v>2378</v>
      </c>
      <c r="E30" s="285"/>
      <c r="F30" s="281">
        <f>'数据-取费表'!B41</f>
        <v>5.5000000000000007E-2</v>
      </c>
      <c r="G30" s="278" t="s">
        <v>2384</v>
      </c>
    </row>
    <row r="31" spans="1:7" ht="16.5" customHeight="1">
      <c r="A31" s="253">
        <v>1</v>
      </c>
      <c r="B31" s="254" t="s">
        <v>2385</v>
      </c>
      <c r="C31" s="255">
        <f ca="1">ROUND((C5+C19+C20+C22+C27)/(1-C21-D22-D27-C30),0)</f>
        <v>42518753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302522318</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269232000</v>
      </c>
      <c r="D34" s="261"/>
      <c r="E34" s="264"/>
      <c r="F34" s="301"/>
      <c r="G34" s="263"/>
    </row>
    <row r="35" spans="1:7" ht="13.5" customHeight="1">
      <c r="A35" s="954" t="s">
        <v>796</v>
      </c>
      <c r="B35" s="259" t="s">
        <v>2391</v>
      </c>
      <c r="C35" s="264">
        <f ca="1">ROUND(C34*F35,0)</f>
        <v>8076960</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5020958</v>
      </c>
      <c r="D36" s="264"/>
      <c r="E36" s="264"/>
      <c r="F36" s="303">
        <f>'数据-取费表'!B34</f>
        <v>0.03</v>
      </c>
      <c r="G36" s="304" t="s">
        <v>2394</v>
      </c>
    </row>
    <row r="37" spans="1:7" s="302" customFormat="1" ht="13.5" customHeight="1">
      <c r="A37" s="954" t="s">
        <v>798</v>
      </c>
      <c r="B37" s="259" t="s">
        <v>2395</v>
      </c>
      <c r="C37" s="293">
        <f ca="1">ROUND(E37*D37,0)</f>
        <v>16153920</v>
      </c>
      <c r="D37" s="261">
        <f ca="1">D19</f>
        <v>107692.8</v>
      </c>
      <c r="E37" s="293">
        <f>'数据-取费表'!B35</f>
        <v>150</v>
      </c>
      <c r="F37" s="303"/>
      <c r="G37" s="305"/>
    </row>
    <row r="38" spans="1:7" ht="13.5" customHeight="1">
      <c r="A38" s="954" t="s">
        <v>799</v>
      </c>
      <c r="B38" s="259" t="s">
        <v>2397</v>
      </c>
      <c r="C38" s="264">
        <f ca="1">ROUND(C34*F38,0)</f>
        <v>4038480</v>
      </c>
      <c r="D38" s="264"/>
      <c r="E38" s="264"/>
      <c r="F38" s="303">
        <f>'数据-取费表'!B36</f>
        <v>1.4999999999999999E-2</v>
      </c>
      <c r="G38" s="263" t="s">
        <v>2392</v>
      </c>
    </row>
    <row r="39" spans="1:7" s="258" customFormat="1" ht="13.5" customHeight="1">
      <c r="A39" s="299" t="s">
        <v>2398</v>
      </c>
      <c r="B39" s="254" t="s">
        <v>2399</v>
      </c>
      <c r="C39" s="276">
        <f ca="1">ROUND(C33*F20,0)</f>
        <v>3025223</v>
      </c>
      <c r="D39" s="276"/>
      <c r="E39" s="276"/>
      <c r="F39" s="277"/>
      <c r="G39" s="278" t="s">
        <v>2400</v>
      </c>
    </row>
    <row r="40" spans="1:7" s="258" customFormat="1" ht="13.5" customHeight="1">
      <c r="A40" s="299" t="s">
        <v>2401</v>
      </c>
      <c r="B40" s="254" t="s">
        <v>2402</v>
      </c>
      <c r="C40" s="1731">
        <f>F21</f>
        <v>0.01</v>
      </c>
      <c r="D40" s="280" t="s">
        <v>2403</v>
      </c>
      <c r="E40" s="276"/>
      <c r="F40" s="277"/>
      <c r="G40" s="278" t="s">
        <v>2404</v>
      </c>
    </row>
    <row r="41" spans="1:7" s="258" customFormat="1" ht="13.5" customHeight="1">
      <c r="A41" s="299" t="s">
        <v>2405</v>
      </c>
      <c r="B41" s="254" t="s">
        <v>2406</v>
      </c>
      <c r="C41" s="276">
        <f ca="1">ROUND(SUM(C42:C43),0)</f>
        <v>13987721</v>
      </c>
      <c r="D41" s="279">
        <f ca="1">C44</f>
        <v>5.0000000000000001E-4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13849229</v>
      </c>
      <c r="D42" s="282"/>
      <c r="E42" s="282"/>
      <c r="F42" s="283"/>
      <c r="G42" s="3202" t="s">
        <v>2455</v>
      </c>
    </row>
    <row r="43" spans="1:7" ht="13.5" customHeight="1">
      <c r="A43" s="954" t="s">
        <v>792</v>
      </c>
      <c r="B43" s="259" t="s">
        <v>2409</v>
      </c>
      <c r="C43" s="282">
        <f ca="1">ROUND(IF('数据-取费表'!B22&lt;=1,C39*F22*'数据-取费表'!B20/2,C39*(POWER((1+F22),'数据-取费表'!B20/2)-1)),0)</f>
        <v>138492</v>
      </c>
      <c r="D43" s="282"/>
      <c r="E43" s="282"/>
      <c r="F43" s="283"/>
      <c r="G43" s="3203"/>
    </row>
    <row r="44" spans="1:7" ht="13.5" customHeight="1">
      <c r="A44" s="954" t="s">
        <v>793</v>
      </c>
      <c r="B44" s="259" t="s">
        <v>2410</v>
      </c>
      <c r="C44" s="282">
        <f ca="1">ROUND(IF('数据-取费表'!B22&lt;=1,C40*F22*'数据-取费表'!B20/2,C40*(POWER((1+F22),'数据-取费表'!B20/2)-1)),4)</f>
        <v>5.0000000000000001E-4</v>
      </c>
      <c r="D44" s="282"/>
      <c r="E44" s="282"/>
      <c r="F44" s="283"/>
      <c r="G44" s="3204"/>
    </row>
    <row r="45" spans="1:7" s="258" customFormat="1" ht="13.5" customHeight="1">
      <c r="A45" s="299" t="s">
        <v>2411</v>
      </c>
      <c r="B45" s="288" t="s">
        <v>2377</v>
      </c>
      <c r="C45" s="289">
        <f ca="1">C46</f>
        <v>9166426</v>
      </c>
      <c r="D45" s="279">
        <f ca="1">C47</f>
        <v>2.9999999999999997E-4</v>
      </c>
      <c r="E45" s="280" t="s">
        <v>2403</v>
      </c>
      <c r="F45" s="290"/>
      <c r="G45" s="291" t="s">
        <v>2412</v>
      </c>
    </row>
    <row r="46" spans="1:7" s="258" customFormat="1" ht="13.5" customHeight="1">
      <c r="A46" s="954" t="s">
        <v>791</v>
      </c>
      <c r="B46" s="292" t="s">
        <v>2413</v>
      </c>
      <c r="C46" s="293">
        <f ca="1">ROUND((C33+C39)*F27,0)</f>
        <v>9166426</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306">
        <f>ROUND(F30/(1+'数据-取费表'!C42),4)</f>
        <v>5.5E-2</v>
      </c>
      <c r="D48" s="280" t="s">
        <v>2403</v>
      </c>
      <c r="E48" s="276"/>
      <c r="F48" s="281"/>
      <c r="G48" s="278" t="s">
        <v>2416</v>
      </c>
    </row>
    <row r="49" spans="1:7" ht="16.5" customHeight="1">
      <c r="A49" s="299" t="s">
        <v>2382</v>
      </c>
      <c r="B49" s="254" t="s">
        <v>2456</v>
      </c>
      <c r="C49" s="276">
        <f ca="1">ROUND((C33+C39+C41+C45)/(1-C40-D41-D45-C48),0)</f>
        <v>351853659</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351853659</v>
      </c>
      <c r="D51" s="276"/>
      <c r="E51" s="276"/>
      <c r="F51" s="308"/>
      <c r="G51" s="278" t="s">
        <v>2424</v>
      </c>
    </row>
    <row r="52" spans="1:7" s="252" customFormat="1" ht="16.5" thickBot="1">
      <c r="A52" s="309" t="s">
        <v>2425</v>
      </c>
      <c r="B52" s="310"/>
      <c r="C52" s="311">
        <f ca="1">C31+C51</f>
        <v>394372412</v>
      </c>
      <c r="D52" s="310"/>
      <c r="E52" s="310"/>
      <c r="F52" s="310"/>
      <c r="G52" s="312"/>
    </row>
    <row r="55" spans="1:7" ht="15">
      <c r="B55" s="314" t="s">
        <v>2426</v>
      </c>
      <c r="C55" s="315"/>
    </row>
    <row r="56" spans="1:7">
      <c r="B56" s="317" t="s">
        <v>1513</v>
      </c>
      <c r="C56" s="319">
        <f ca="1">1-C57</f>
        <v>0.10799999999999998</v>
      </c>
    </row>
    <row r="57" spans="1:7">
      <c r="B57" s="317" t="s">
        <v>1514</v>
      </c>
      <c r="C57" s="318">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9</v>
      </c>
    </row>
    <row r="2" spans="1:33" ht="18" customHeight="1">
      <c r="A2" s="245" t="s">
        <v>2326</v>
      </c>
      <c r="B2" s="248">
        <f ca="1">C32</f>
        <v>-1904</v>
      </c>
      <c r="C2" s="320" t="s">
        <v>2459</v>
      </c>
      <c r="D2" s="320"/>
      <c r="E2" s="320"/>
      <c r="F2" s="320"/>
      <c r="G2" s="320"/>
      <c r="H2" s="320"/>
      <c r="I2" s="320"/>
      <c r="J2" s="320"/>
      <c r="K2" s="320"/>
    </row>
    <row r="3" spans="1:33" ht="18" customHeight="1" thickBot="1">
      <c r="A3" s="247" t="s">
        <v>2328</v>
      </c>
      <c r="B3" s="248">
        <f ca="1">ROUND(B2*10000/IF(C1="",'数据-汇总表'!E3,INDIRECT("'数据-取费表'!K"&amp;$K$1)),0)</f>
        <v>-177</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5" t="s">
        <v>2464</v>
      </c>
      <c r="D5" s="2555" t="s">
        <v>2465</v>
      </c>
      <c r="E5" s="2555" t="s">
        <v>2466</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29858.400000000001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0.03</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107692.8</v>
      </c>
      <c r="E14" s="24">
        <f>'数据-取费表'!B35</f>
        <v>150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107692.8</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1886</v>
      </c>
      <c r="D18" s="1036"/>
      <c r="E18" s="24"/>
      <c r="F18" s="979"/>
      <c r="G18" s="2557"/>
      <c r="H18" s="1580"/>
      <c r="I18" s="2558" t="s">
        <v>2492</v>
      </c>
      <c r="J18" s="982"/>
      <c r="K18" s="983"/>
    </row>
    <row r="19" spans="1:33" s="978" customFormat="1" ht="13.5" customHeight="1">
      <c r="A19" s="974" t="s">
        <v>805</v>
      </c>
      <c r="B19" s="975" t="s">
        <v>2493</v>
      </c>
      <c r="C19" s="24">
        <f ca="1">ROUND(D19*E19/10000,0)</f>
        <v>1071</v>
      </c>
      <c r="D19" s="1036">
        <f ca="1">IF(C1="",'数据-汇总表'!E5,IF(INDIRECT("'数据-取费表'!c"&amp;$K$1)="住宅",INDIRECT("'数据-取费表'!k"&amp;$K$1),0))</f>
        <v>66946.100000000006</v>
      </c>
      <c r="E19" s="24">
        <f>'数据-取费表'!B27</f>
        <v>160</v>
      </c>
      <c r="F19" s="979"/>
      <c r="G19" s="15"/>
      <c r="H19" s="1582"/>
      <c r="I19" s="984"/>
      <c r="J19" s="984"/>
      <c r="K19" s="985"/>
    </row>
    <row r="20" spans="1:33" s="978" customFormat="1" ht="13.5" customHeight="1">
      <c r="A20" s="974" t="s">
        <v>806</v>
      </c>
      <c r="B20" s="975" t="s">
        <v>2494</v>
      </c>
      <c r="C20" s="24">
        <f ca="1">ROUND(D20*E20/10000,0)</f>
        <v>815</v>
      </c>
      <c r="D20" s="1036">
        <f ca="1">IF(C1="",'数据-汇总表'!E6,IF(INDIRECT("'数据-取费表'!c"&amp;$K$1)="住宅",INDIRECT("'数据-取费表'!s"&amp;$K$1),INDIRECT("'数据-取费表'!k"&amp;$K$1)+INDIRECT("'数据-取费表'!s"&amp;$K$1)))</f>
        <v>40746.699999999997</v>
      </c>
      <c r="E20" s="24">
        <f>'数据-取费表'!B28</f>
        <v>200</v>
      </c>
      <c r="F20" s="979"/>
      <c r="G20" s="15"/>
      <c r="H20" s="984"/>
      <c r="I20" s="984"/>
      <c r="J20" s="984"/>
      <c r="K20" s="985"/>
    </row>
    <row r="21" spans="1:33" s="978" customFormat="1" ht="13.5" customHeight="1">
      <c r="A21" s="964" t="s">
        <v>802</v>
      </c>
      <c r="B21" s="988" t="s">
        <v>2495</v>
      </c>
      <c r="C21" s="989">
        <f ca="1">C16+C17+C18</f>
        <v>1886</v>
      </c>
      <c r="D21" s="990"/>
      <c r="E21" s="325"/>
      <c r="F21" s="325"/>
      <c r="G21" s="140" t="s">
        <v>2496</v>
      </c>
      <c r="H21" s="982"/>
      <c r="I21" s="982"/>
      <c r="J21" s="982"/>
      <c r="K21" s="983"/>
    </row>
    <row r="22" spans="1:33" s="978" customFormat="1" ht="13.5" customHeight="1">
      <c r="A22" s="964" t="s">
        <v>2468</v>
      </c>
      <c r="B22" s="988" t="s">
        <v>2497</v>
      </c>
      <c r="C22" s="989">
        <f ca="1">ROUND(C21*F22,0)</f>
        <v>19</v>
      </c>
      <c r="D22" s="325"/>
      <c r="E22" s="325"/>
      <c r="F22" s="991">
        <f>'数据-取费表'!B37</f>
        <v>0.01</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0.01</v>
      </c>
      <c r="G23" s="8" t="s">
        <v>2500</v>
      </c>
      <c r="H23" s="971"/>
      <c r="I23" s="971"/>
      <c r="J23" s="971"/>
      <c r="K23" s="972"/>
    </row>
    <row r="24" spans="1:33" s="978" customFormat="1" ht="13.5" customHeight="1">
      <c r="A24" s="964" t="s">
        <v>2501</v>
      </c>
      <c r="B24" s="988" t="s">
        <v>2502</v>
      </c>
      <c r="C24" s="324">
        <f>ROUND(F24/(1+'数据-取费表'!C42),4)</f>
        <v>3.0499999999999999E-2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6.1500000000000006E-2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2508</v>
      </c>
      <c r="B28" s="2560" t="s">
        <v>2509</v>
      </c>
      <c r="C28" s="331">
        <f ca="1">C30</f>
        <v>57</v>
      </c>
      <c r="D28" s="324">
        <f ca="1">C29</f>
        <v>0</v>
      </c>
      <c r="E28" s="326" t="s">
        <v>15</v>
      </c>
      <c r="F28" s="332">
        <f ca="1">IF(C1="",'数据-取费表'!Q16,INDIRECT("'数据-取费表'!q"&amp;$K$1))</f>
        <v>0.03</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57</v>
      </c>
      <c r="D30" s="328"/>
      <c r="E30" s="329"/>
      <c r="F30" s="334"/>
      <c r="G30" s="140"/>
      <c r="H30" s="982"/>
      <c r="I30" s="982"/>
      <c r="J30" s="982"/>
      <c r="K30" s="983"/>
    </row>
    <row r="31" spans="1:33" s="978" customFormat="1" ht="13.5" customHeight="1" thickBot="1">
      <c r="A31" s="2561" t="s">
        <v>2513</v>
      </c>
      <c r="B31" s="1008" t="s">
        <v>2514</v>
      </c>
      <c r="C31" s="1009">
        <f>ROUND(C4*F31/(1+'数据-取费表'!C42),0)</f>
        <v>0</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-1904</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207" t="s">
        <v>1403</v>
      </c>
      <c r="C6" s="1299">
        <f ca="1">ROUND(F6*F8*F7*(1-F9)/10000,0)</f>
        <v>0</v>
      </c>
      <c r="D6" s="164" t="s">
        <v>3033</v>
      </c>
      <c r="E6" s="347" t="s">
        <v>1405</v>
      </c>
      <c r="F6" s="348">
        <f ca="1">INDIRECT("'数据-取费表'!u"&amp;$G$1)</f>
        <v>0</v>
      </c>
      <c r="G6" s="1854"/>
      <c r="H6" s="1294" t="s">
        <v>1035</v>
      </c>
      <c r="I6" s="3207" t="s">
        <v>1403</v>
      </c>
      <c r="J6" s="346">
        <f ca="1">ROUND(M6*M8*M7*(1-M9)/10000,0)</f>
        <v>0</v>
      </c>
      <c r="K6" s="164" t="s">
        <v>3032</v>
      </c>
      <c r="L6" s="347" t="s">
        <v>1405</v>
      </c>
      <c r="M6" s="348">
        <f ca="1">INDIRECT("'数据-取费表'!z"&amp;$G$1)</f>
        <v>0</v>
      </c>
    </row>
    <row r="7" spans="1:37" ht="18" customHeight="1">
      <c r="A7" s="1298"/>
      <c r="B7" s="3208"/>
      <c r="C7" s="1300"/>
      <c r="D7" s="352"/>
      <c r="E7" s="1301" t="s">
        <v>1406</v>
      </c>
      <c r="F7" s="348">
        <f ca="1">IF(INDIRECT("'数据-取费表'!ah"&amp;$G$1)="",INDIRECT("'数据-取费表'!k"&amp;$G$1),INDIRECT("'数据-取费表'!ah"&amp;$G$1))</f>
        <v>0</v>
      </c>
      <c r="G7" s="1854"/>
      <c r="H7" s="349"/>
      <c r="I7" s="3208"/>
      <c r="J7" s="351"/>
      <c r="K7" s="352"/>
      <c r="L7" s="347" t="s">
        <v>1406</v>
      </c>
      <c r="M7" s="348">
        <f ca="1">F7</f>
        <v>0</v>
      </c>
    </row>
    <row r="8" spans="1:37" ht="18" customHeight="1">
      <c r="A8" s="349"/>
      <c r="B8" s="3208"/>
      <c r="C8" s="351"/>
      <c r="D8" s="352"/>
      <c r="E8" s="347" t="s">
        <v>1407</v>
      </c>
      <c r="F8" s="348">
        <f ca="1">INDIRECT("'数据-取费表'!ai"&amp;$G$1)</f>
        <v>0</v>
      </c>
      <c r="G8" s="1854"/>
      <c r="H8" s="349"/>
      <c r="I8" s="3208"/>
      <c r="J8" s="351"/>
      <c r="K8" s="352"/>
      <c r="L8" s="347" t="s">
        <v>1407</v>
      </c>
      <c r="M8" s="348">
        <f ca="1">INDIRECT("'数据-取费表'!ai"&amp;$G$1)</f>
        <v>0</v>
      </c>
    </row>
    <row r="9" spans="1:37" ht="18" customHeight="1">
      <c r="A9" s="349"/>
      <c r="B9" s="3209"/>
      <c r="C9" s="351"/>
      <c r="D9" s="352"/>
      <c r="E9" s="347" t="s">
        <v>1408</v>
      </c>
      <c r="F9" s="357">
        <f ca="1">INDIRECT("'数据-取费表'!w"&amp;$G$1)</f>
        <v>0</v>
      </c>
      <c r="G9" s="1854"/>
      <c r="H9" s="349"/>
      <c r="I9" s="320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3042</v>
      </c>
      <c r="E10" s="358" t="s">
        <v>1410</v>
      </c>
      <c r="F10" s="1369"/>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0.03</v>
      </c>
      <c r="G11" s="1854"/>
      <c r="H11" s="1302"/>
      <c r="I11" s="1828" t="s">
        <v>1388</v>
      </c>
      <c r="J11" s="1181"/>
      <c r="K11" s="748"/>
      <c r="L11" s="358" t="s">
        <v>1412</v>
      </c>
      <c r="M11" s="1059">
        <f ca="1">'数据-取费表'!B39</f>
        <v>0.03</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150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ROUND(M20*M21/10000,2)</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6.1500000000000006E-2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5.5E-2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5" t="s">
        <v>1548</v>
      </c>
      <c r="L53" s="3206"/>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7" t="s">
        <v>1403</v>
      </c>
      <c r="C6" s="1299">
        <f ca="1">ROUND(F6*F8*F7*(1-F9),0)</f>
        <v>0</v>
      </c>
      <c r="D6" s="164" t="s">
        <v>3030</v>
      </c>
      <c r="E6" s="347" t="s">
        <v>1405</v>
      </c>
      <c r="F6" s="348">
        <f ca="1">INDIRECT("'数据-取费表'!u"&amp;$G$1)</f>
        <v>0</v>
      </c>
      <c r="G6" s="1854"/>
      <c r="H6" s="1294" t="s">
        <v>1035</v>
      </c>
      <c r="I6" s="3207" t="s">
        <v>1403</v>
      </c>
      <c r="J6" s="346">
        <f ca="1">ROUND(M6*M8*M7*(1-M9),0)</f>
        <v>0</v>
      </c>
      <c r="K6" s="1837" t="s">
        <v>3031</v>
      </c>
      <c r="L6" s="347" t="s">
        <v>1405</v>
      </c>
      <c r="M6" s="348">
        <f ca="1">INDIRECT("'数据-取费表'!z"&amp;$G$1)</f>
        <v>0</v>
      </c>
    </row>
    <row r="7" spans="1:37" ht="18" customHeight="1">
      <c r="A7" s="1298"/>
      <c r="B7" s="3208"/>
      <c r="C7" s="1300"/>
      <c r="D7" s="352"/>
      <c r="E7" s="1301" t="s">
        <v>1406</v>
      </c>
      <c r="F7" s="348">
        <f ca="1">IF(INDIRECT("'数据-取费表'!ah"&amp;$G$1)="",INDIRECT("'数据-取费表'!k"&amp;$G$1),INDIRECT("'数据-取费表'!ah"&amp;$G$1))</f>
        <v>0</v>
      </c>
      <c r="G7" s="1854"/>
      <c r="H7" s="349"/>
      <c r="I7" s="3208"/>
      <c r="J7" s="351"/>
      <c r="K7" s="352"/>
      <c r="L7" s="347" t="s">
        <v>1406</v>
      </c>
      <c r="M7" s="348">
        <f ca="1">F7</f>
        <v>0</v>
      </c>
    </row>
    <row r="8" spans="1:37" ht="18" customHeight="1">
      <c r="A8" s="349"/>
      <c r="B8" s="3208"/>
      <c r="C8" s="351"/>
      <c r="D8" s="352"/>
      <c r="E8" s="347" t="s">
        <v>1407</v>
      </c>
      <c r="F8" s="348">
        <f ca="1">INDIRECT("'数据-取费表'!ai"&amp;$G$1)</f>
        <v>0</v>
      </c>
      <c r="G8" s="1854"/>
      <c r="H8" s="349"/>
      <c r="I8" s="3208"/>
      <c r="J8" s="351"/>
      <c r="K8" s="352"/>
      <c r="L8" s="347" t="s">
        <v>1407</v>
      </c>
      <c r="M8" s="348">
        <f ca="1">INDIRECT("'数据-取费表'!ai"&amp;$G$1)</f>
        <v>0</v>
      </c>
    </row>
    <row r="9" spans="1:37" ht="18" customHeight="1">
      <c r="A9" s="349"/>
      <c r="B9" s="3209"/>
      <c r="C9" s="351"/>
      <c r="D9" s="352"/>
      <c r="E9" s="347" t="s">
        <v>1408</v>
      </c>
      <c r="F9" s="357">
        <f ca="1">INDIRECT("'数据-取费表'!w"&amp;$G$1)</f>
        <v>0</v>
      </c>
      <c r="G9" s="1854"/>
      <c r="H9" s="349"/>
      <c r="I9" s="320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1602</v>
      </c>
      <c r="C11" s="1181"/>
      <c r="D11" s="352"/>
      <c r="E11" s="358" t="s">
        <v>1412</v>
      </c>
      <c r="F11" s="359">
        <f ca="1">'数据-取费表'!B39</f>
        <v>0.03</v>
      </c>
      <c r="G11" s="1854"/>
      <c r="H11" s="1302"/>
      <c r="I11" s="1828" t="s">
        <v>1603</v>
      </c>
      <c r="J11" s="1181"/>
      <c r="K11" s="748"/>
      <c r="L11" s="358" t="s">
        <v>1412</v>
      </c>
      <c r="M11" s="1059">
        <f ca="1">'数据-取费表'!B39</f>
        <v>0.03</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150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6.1500000000000006E-2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5.5E-2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5" t="s">
        <v>1548</v>
      </c>
      <c r="L53" s="3206"/>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E18" sqref="E18"/>
    </sheetView>
  </sheetViews>
  <sheetFormatPr defaultRowHeight="14.25"/>
  <cols>
    <col min="1" max="1" width="10.5" style="403" customWidth="1"/>
    <col min="2" max="2" width="15.75" style="403" customWidth="1"/>
    <col min="3" max="3" width="21.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3" t="s">
        <v>2528</v>
      </c>
      <c r="C1" s="1637" t="s">
        <v>2529</v>
      </c>
      <c r="D1" s="1624" t="s">
        <v>3074</v>
      </c>
      <c r="E1" s="2584"/>
      <c r="F1" s="2585" t="s">
        <v>2530</v>
      </c>
      <c r="G1" s="1634" t="s">
        <v>2531</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47679</v>
      </c>
      <c r="C2" s="2587" t="s">
        <v>70</v>
      </c>
      <c r="D2" s="1368" t="e">
        <f ca="1">SUMIF(INDIRECT("'"&amp;F2&amp;"'"&amp;"!A:A"),"承租人权益价值",INDIRECT("'"&amp;F2&amp;"'"&amp;"!c:c"))</f>
        <v>#REF!</v>
      </c>
      <c r="E2" s="2588" t="s">
        <v>2532</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7122</v>
      </c>
      <c r="C3" s="400" t="s">
        <v>2533</v>
      </c>
      <c r="D3" s="399">
        <f>IF(D1="",'数据-汇总表'!E3,SUMIF('数据-汇总表'!$C19:$C33,D1,'数据-汇总表'!$E19:$E33))</f>
        <v>66946.100000000006</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2534</v>
      </c>
      <c r="B4" s="402"/>
      <c r="C4" s="3163" t="s">
        <v>2535</v>
      </c>
      <c r="D4" s="3176"/>
      <c r="E4" s="3177" t="s">
        <v>2536</v>
      </c>
      <c r="F4" s="3178"/>
      <c r="G4" s="3163" t="s">
        <v>2537</v>
      </c>
      <c r="H4" s="3176"/>
      <c r="I4" s="3163" t="s">
        <v>2538</v>
      </c>
      <c r="J4" s="3176"/>
      <c r="K4" s="2597" t="s">
        <v>2539</v>
      </c>
      <c r="L4" s="1133"/>
      <c r="M4" s="1134"/>
      <c r="N4" s="1134"/>
      <c r="O4" s="1134"/>
      <c r="P4" s="3179" t="s">
        <v>2540</v>
      </c>
      <c r="Q4" s="3180"/>
      <c r="R4" s="3185" t="s">
        <v>2536</v>
      </c>
      <c r="S4" s="3186"/>
      <c r="T4" s="3185" t="s">
        <v>2537</v>
      </c>
      <c r="U4" s="3186"/>
      <c r="V4" s="3172" t="s">
        <v>2538</v>
      </c>
      <c r="W4" s="3172"/>
      <c r="X4" s="1816"/>
      <c r="Y4" s="3185" t="s">
        <v>2540</v>
      </c>
      <c r="Z4" s="3186"/>
      <c r="AA4" s="3173" t="s">
        <v>2536</v>
      </c>
      <c r="AB4" s="3173" t="s">
        <v>2537</v>
      </c>
      <c r="AC4" s="3173" t="s">
        <v>2538</v>
      </c>
    </row>
    <row r="5" spans="1:29" ht="15">
      <c r="A5" s="404"/>
      <c r="B5" s="405"/>
      <c r="C5" s="3219" t="s">
        <v>3130</v>
      </c>
      <c r="D5" s="3194"/>
      <c r="E5" s="3220" t="s">
        <v>3339</v>
      </c>
      <c r="F5" s="3201"/>
      <c r="G5" s="3219" t="s">
        <v>3347</v>
      </c>
      <c r="H5" s="3194"/>
      <c r="I5" s="3219" t="s">
        <v>3348</v>
      </c>
      <c r="J5" s="3194"/>
      <c r="K5" s="2598"/>
      <c r="L5" s="1133"/>
      <c r="M5" s="1134"/>
      <c r="N5" s="1134"/>
      <c r="O5" s="1134"/>
      <c r="P5" s="3181"/>
      <c r="Q5" s="3182"/>
      <c r="R5" s="3187"/>
      <c r="S5" s="3188"/>
      <c r="T5" s="3187"/>
      <c r="U5" s="3188"/>
      <c r="V5" s="3172"/>
      <c r="W5" s="3172"/>
      <c r="X5" s="1816"/>
      <c r="Y5" s="3187"/>
      <c r="Z5" s="3188"/>
      <c r="AA5" s="3174"/>
      <c r="AB5" s="3174"/>
      <c r="AC5" s="3174"/>
    </row>
    <row r="6" spans="1:29" ht="15.75" thickBot="1">
      <c r="A6" s="406"/>
      <c r="B6" s="407"/>
      <c r="C6" s="3191" t="s">
        <v>2545</v>
      </c>
      <c r="D6" s="3192"/>
      <c r="E6" s="3218" t="s">
        <v>3273</v>
      </c>
      <c r="F6" s="3199"/>
      <c r="G6" s="3218" t="s">
        <v>3273</v>
      </c>
      <c r="H6" s="3199"/>
      <c r="I6" s="3218" t="s">
        <v>713</v>
      </c>
      <c r="J6" s="3199"/>
      <c r="K6" s="2598" t="s">
        <v>2546</v>
      </c>
      <c r="L6" s="1133"/>
      <c r="M6" s="1134"/>
      <c r="N6" s="1134"/>
      <c r="O6" s="1134"/>
      <c r="P6" s="3183"/>
      <c r="Q6" s="3184"/>
      <c r="R6" s="3187"/>
      <c r="S6" s="3188"/>
      <c r="T6" s="3189"/>
      <c r="U6" s="3190"/>
      <c r="V6" s="3172"/>
      <c r="W6" s="3172"/>
      <c r="X6" s="1816"/>
      <c r="Y6" s="3189"/>
      <c r="Z6" s="3190"/>
      <c r="AA6" s="3175"/>
      <c r="AB6" s="3175"/>
      <c r="AC6" s="3175"/>
    </row>
    <row r="7" spans="1:29" s="117" customFormat="1" ht="15.75" thickBot="1">
      <c r="A7" s="408" t="s">
        <v>2547</v>
      </c>
      <c r="B7" s="409"/>
      <c r="C7" s="410">
        <f>'数据-取费表'!B2</f>
        <v>41273</v>
      </c>
      <c r="D7" s="411">
        <v>100</v>
      </c>
      <c r="E7" s="412">
        <v>40909</v>
      </c>
      <c r="F7" s="413">
        <f>SUMIF(58:58,YEAR(E7)&amp;"-"&amp;MONTH(E7),59:59)</f>
        <v>97</v>
      </c>
      <c r="G7" s="412">
        <v>40909</v>
      </c>
      <c r="H7" s="413">
        <f>SUMIF(58:58,YEAR(G7)&amp;"-"&amp;MONTH(G7),59:59)</f>
        <v>97</v>
      </c>
      <c r="I7" s="412">
        <v>40940</v>
      </c>
      <c r="J7" s="413">
        <f>SUMIF(58:58,YEAR(I7)&amp;"-"&amp;MONTH(I7),59:59)</f>
        <v>97</v>
      </c>
      <c r="K7" s="2599"/>
      <c r="L7" s="1135"/>
      <c r="M7" s="1136"/>
      <c r="N7" s="1136"/>
      <c r="O7" s="1136"/>
      <c r="P7" s="3195" t="s">
        <v>2548</v>
      </c>
      <c r="Q7" s="3197"/>
      <c r="R7" s="770" t="s">
        <v>23</v>
      </c>
      <c r="S7" s="771">
        <f t="shared" ref="S7:S15" si="0">F7</f>
        <v>97</v>
      </c>
      <c r="T7" s="770" t="s">
        <v>23</v>
      </c>
      <c r="U7" s="771">
        <f t="shared" ref="U7:U15" si="1">H7</f>
        <v>97</v>
      </c>
      <c r="V7" s="770" t="s">
        <v>23</v>
      </c>
      <c r="W7" s="771">
        <f t="shared" ref="W7:W15" si="2">J7</f>
        <v>97</v>
      </c>
      <c r="X7" s="772"/>
      <c r="Y7" s="3195" t="s">
        <v>2548</v>
      </c>
      <c r="Z7" s="3196"/>
      <c r="AA7" s="773">
        <f>D7/F7</f>
        <v>1.0309278350515463</v>
      </c>
      <c r="AB7" s="773">
        <f>D7/H7</f>
        <v>1.0309278350515463</v>
      </c>
      <c r="AC7" s="773">
        <f>D7/J7</f>
        <v>1.0309278350515463</v>
      </c>
    </row>
    <row r="8" spans="1:29" s="117" customFormat="1" ht="15.75" thickBot="1">
      <c r="A8" s="408" t="s">
        <v>2549</v>
      </c>
      <c r="B8" s="409"/>
      <c r="C8" s="414" t="s">
        <v>2550</v>
      </c>
      <c r="D8" s="411">
        <v>100</v>
      </c>
      <c r="E8" s="414" t="s">
        <v>2550</v>
      </c>
      <c r="F8" s="413">
        <f>SUMIF(61:61,E8,62:62)-SUMIF(61:61,C8,62:62)+100</f>
        <v>100</v>
      </c>
      <c r="G8" s="414" t="s">
        <v>2550</v>
      </c>
      <c r="H8" s="411">
        <f>SUMIF(61:61,G8,62:62)-SUMIF(61:61,C8,62:62)+100</f>
        <v>100</v>
      </c>
      <c r="I8" s="414" t="s">
        <v>2550</v>
      </c>
      <c r="J8" s="411">
        <f>SUMIF(61:61,I8,62:62)-SUMIF(61:61,C8,62:62)+100</f>
        <v>100</v>
      </c>
      <c r="K8" s="2599"/>
      <c r="L8" s="1135"/>
      <c r="M8" s="1136"/>
      <c r="N8" s="1136"/>
      <c r="O8" s="1136"/>
      <c r="P8" s="3195" t="s">
        <v>2551</v>
      </c>
      <c r="Q8" s="3196"/>
      <c r="R8" s="770" t="s">
        <v>23</v>
      </c>
      <c r="S8" s="771">
        <f t="shared" si="0"/>
        <v>100</v>
      </c>
      <c r="T8" s="770" t="s">
        <v>23</v>
      </c>
      <c r="U8" s="771">
        <f t="shared" si="1"/>
        <v>100</v>
      </c>
      <c r="V8" s="770" t="s">
        <v>23</v>
      </c>
      <c r="W8" s="771">
        <f t="shared" si="2"/>
        <v>100</v>
      </c>
      <c r="X8" s="772"/>
      <c r="Y8" s="3195" t="s">
        <v>2551</v>
      </c>
      <c r="Z8" s="3196"/>
      <c r="AA8" s="773">
        <f t="shared" ref="AA8:AA19" si="3">D8/F8</f>
        <v>1</v>
      </c>
      <c r="AB8" s="773">
        <f t="shared" ref="AB8:AB19" si="4">D8/H8</f>
        <v>1</v>
      </c>
      <c r="AC8" s="773">
        <f t="shared" ref="AC8:AC19" si="5">D8/J8</f>
        <v>1</v>
      </c>
    </row>
    <row r="9" spans="1:29" s="117" customFormat="1">
      <c r="A9" s="415" t="s">
        <v>2552</v>
      </c>
      <c r="B9" s="71" t="s">
        <v>2553</v>
      </c>
      <c r="C9" s="2945" t="s">
        <v>3131</v>
      </c>
      <c r="D9" s="135">
        <v>100</v>
      </c>
      <c r="E9" s="417" t="s">
        <v>3058</v>
      </c>
      <c r="F9" s="418">
        <f>SUMIF(63:63,E9,64:64)-SUMIF(63:63,C9,64:64)+100</f>
        <v>100</v>
      </c>
      <c r="G9" s="417" t="s">
        <v>3058</v>
      </c>
      <c r="H9" s="135">
        <f>SUMIF(63:63,G9,64:64)-SUMIF(63:63,C9,64:64)+100</f>
        <v>100</v>
      </c>
      <c r="I9" s="417" t="s">
        <v>3058</v>
      </c>
      <c r="J9" s="135">
        <f>SUMIF(63:63,I9,64:64)-SUMIF(63:63,C9,64:64)+100</f>
        <v>100</v>
      </c>
      <c r="K9" s="2599"/>
      <c r="L9" s="1135"/>
      <c r="M9" s="1136"/>
      <c r="N9" s="1136"/>
      <c r="O9" s="1136"/>
      <c r="P9" s="3165" t="s">
        <v>2554</v>
      </c>
      <c r="Q9" s="1798"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29" s="427" customFormat="1" ht="27.75" thickBot="1">
      <c r="A10" s="421"/>
      <c r="B10" s="422" t="s">
        <v>2556</v>
      </c>
      <c r="C10" s="423" t="s">
        <v>3132</v>
      </c>
      <c r="D10" s="136">
        <v>100</v>
      </c>
      <c r="E10" s="424" t="s">
        <v>3133</v>
      </c>
      <c r="F10" s="425">
        <f>SUMIF(65:65,E10,66:66)-SUMIF(65:65,C10,66:66)+100</f>
        <v>101</v>
      </c>
      <c r="G10" s="424" t="s">
        <v>3133</v>
      </c>
      <c r="H10" s="136">
        <f>SUMIF(65:65,G10,66:66)-SUMIF(65:65,C10,66:66)+100</f>
        <v>101</v>
      </c>
      <c r="I10" s="424" t="s">
        <v>3133</v>
      </c>
      <c r="J10" s="136">
        <f>SUMIF(65:65,I10,66:66)-SUMIF(65:65,C10,66:66)+100</f>
        <v>101</v>
      </c>
      <c r="K10" s="426">
        <v>1</v>
      </c>
      <c r="L10" s="1138"/>
      <c r="M10" s="1139"/>
      <c r="N10" s="1139"/>
      <c r="O10" s="1139"/>
      <c r="P10" s="3165"/>
      <c r="Q10" s="1798" t="str">
        <f t="shared" si="6"/>
        <v>土地使用年限（年）</v>
      </c>
      <c r="R10" s="770" t="s">
        <v>17</v>
      </c>
      <c r="S10" s="771">
        <f t="shared" si="0"/>
        <v>101</v>
      </c>
      <c r="T10" s="770" t="s">
        <v>17</v>
      </c>
      <c r="U10" s="771">
        <f t="shared" si="1"/>
        <v>101</v>
      </c>
      <c r="V10" s="770" t="s">
        <v>17</v>
      </c>
      <c r="W10" s="771">
        <f t="shared" si="2"/>
        <v>101</v>
      </c>
      <c r="X10" s="772"/>
      <c r="Y10" s="3017"/>
      <c r="Z10" s="55" t="str">
        <f t="shared" si="7"/>
        <v>土地使用年限（年）</v>
      </c>
      <c r="AA10" s="773">
        <f t="shared" si="3"/>
        <v>0.99009900990099009</v>
      </c>
      <c r="AB10" s="773">
        <f t="shared" si="4"/>
        <v>0.99009900990099009</v>
      </c>
      <c r="AC10" s="773">
        <f t="shared" si="5"/>
        <v>0.99009900990099009</v>
      </c>
    </row>
    <row r="11" spans="1:29" ht="15" hidden="1">
      <c r="A11" s="428"/>
      <c r="B11" s="422" t="s">
        <v>2557</v>
      </c>
      <c r="C11" s="429">
        <f>'数据-汇总表'!I7</f>
        <v>2.71</v>
      </c>
      <c r="D11" s="136">
        <v>100</v>
      </c>
      <c r="E11" s="430">
        <v>1.6</v>
      </c>
      <c r="F11" s="425">
        <f>LOOKUP(E11,68:68,69:69)-LOOKUP(C11,68:68,69:69)+100</f>
        <v>100</v>
      </c>
      <c r="G11" s="429">
        <v>2.5</v>
      </c>
      <c r="H11" s="136">
        <f>LOOKUP(G11,68:68,69:69)-LOOKUP(C11,68:68,69:69)+100</f>
        <v>100</v>
      </c>
      <c r="I11" s="2966">
        <f>G11</f>
        <v>2.5</v>
      </c>
      <c r="J11" s="136">
        <f>LOOKUP(I11,68:68,69:69)-LOOKUP(C11,68:68,69:69)+100</f>
        <v>100</v>
      </c>
      <c r="K11" s="426"/>
      <c r="L11" s="1141"/>
      <c r="M11" s="1134"/>
      <c r="N11" s="1134"/>
      <c r="O11" s="1134"/>
      <c r="P11" s="3165"/>
      <c r="Q11" s="1798" t="str">
        <f t="shared" si="6"/>
        <v>容积率</v>
      </c>
      <c r="R11" s="770" t="s">
        <v>21</v>
      </c>
      <c r="S11" s="771">
        <f t="shared" si="0"/>
        <v>100</v>
      </c>
      <c r="T11" s="770" t="s">
        <v>21</v>
      </c>
      <c r="U11" s="771">
        <f t="shared" si="1"/>
        <v>100</v>
      </c>
      <c r="V11" s="770" t="s">
        <v>21</v>
      </c>
      <c r="W11" s="771">
        <f t="shared" si="2"/>
        <v>100</v>
      </c>
      <c r="X11" s="772"/>
      <c r="Y11" s="3017"/>
      <c r="Z11" s="55" t="str">
        <f t="shared" si="7"/>
        <v>容积率</v>
      </c>
      <c r="AA11" s="773">
        <f t="shared" si="3"/>
        <v>1</v>
      </c>
      <c r="AB11" s="773">
        <f t="shared" si="4"/>
        <v>1</v>
      </c>
      <c r="AC11" s="773">
        <f t="shared" si="5"/>
        <v>1</v>
      </c>
    </row>
    <row r="12" spans="1:29" s="117" customFormat="1" ht="15" hidden="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65"/>
      <c r="Q12" s="1798">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65"/>
      <c r="Q13" s="1798">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65"/>
      <c r="Q14" s="1798">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2558</v>
      </c>
      <c r="B15" s="69" t="s">
        <v>2087</v>
      </c>
      <c r="C15" s="2603" t="str">
        <f>估价对象房地状况!C3</f>
        <v>估价对象周边居住用地比例较高、居住小区规模较大、社区发展完善程度较好，有月季园、荔景园等多个住宅项目，综合评价居住社区成熟度较好</v>
      </c>
      <c r="D15" s="441">
        <v>100</v>
      </c>
      <c r="E15" s="2953"/>
      <c r="F15" s="441">
        <f>SUMIF(76:76,E16,77:77)-SUMIF(76:76,C16,77:77)+100</f>
        <v>100</v>
      </c>
      <c r="G15" s="2955"/>
      <c r="H15" s="441">
        <f>SUMIF(76:76,G16,77:77)-SUMIF(76:76,C16,77:77)+100</f>
        <v>100</v>
      </c>
      <c r="I15" s="2955"/>
      <c r="J15" s="441">
        <f>SUMIF(76:76,I16,77:77)-SUMIF(76:76,C16,77:77)+100</f>
        <v>100</v>
      </c>
      <c r="K15" s="445">
        <f>'土地比较法-住宅、综合'!K15</f>
        <v>2</v>
      </c>
      <c r="L15" s="1143"/>
      <c r="M15" s="1134"/>
      <c r="N15" s="1134"/>
      <c r="O15" s="1134"/>
      <c r="P15" s="3216" t="s">
        <v>2559</v>
      </c>
      <c r="Q15" s="1813" t="str">
        <f t="shared" si="6"/>
        <v>居住社区成熟度</v>
      </c>
      <c r="R15" s="774" t="s">
        <v>21</v>
      </c>
      <c r="S15" s="775">
        <f t="shared" si="0"/>
        <v>100</v>
      </c>
      <c r="T15" s="774" t="s">
        <v>21</v>
      </c>
      <c r="U15" s="775">
        <f t="shared" si="1"/>
        <v>100</v>
      </c>
      <c r="V15" s="774" t="s">
        <v>21</v>
      </c>
      <c r="W15" s="775">
        <f t="shared" si="2"/>
        <v>100</v>
      </c>
      <c r="X15" s="1816"/>
      <c r="Y15" s="3168" t="s">
        <v>2559</v>
      </c>
      <c r="Z15" s="1817" t="str">
        <f t="shared" si="7"/>
        <v>居住社区成熟度</v>
      </c>
      <c r="AA15" s="1814">
        <f t="shared" si="3"/>
        <v>1</v>
      </c>
      <c r="AB15" s="1814">
        <f t="shared" si="4"/>
        <v>1</v>
      </c>
      <c r="AC15" s="1814">
        <f t="shared" si="5"/>
        <v>1</v>
      </c>
    </row>
    <row r="16" spans="1:29" ht="15">
      <c r="A16" s="428"/>
      <c r="B16" s="446"/>
      <c r="C16" s="447" t="s">
        <v>3140</v>
      </c>
      <c r="D16" s="448"/>
      <c r="E16" s="447" t="s">
        <v>3140</v>
      </c>
      <c r="F16" s="448"/>
      <c r="G16" s="447" t="s">
        <v>3140</v>
      </c>
      <c r="H16" s="450"/>
      <c r="I16" s="447" t="s">
        <v>3140</v>
      </c>
      <c r="J16" s="448"/>
      <c r="K16" s="2606"/>
      <c r="L16" s="1143"/>
      <c r="M16" s="1134"/>
      <c r="N16" s="1134"/>
      <c r="O16" s="1134"/>
      <c r="P16" s="3217"/>
      <c r="Q16" s="1813"/>
      <c r="R16" s="774"/>
      <c r="S16" s="775"/>
      <c r="T16" s="774"/>
      <c r="U16" s="775"/>
      <c r="V16" s="774"/>
      <c r="W16" s="775"/>
      <c r="X16" s="1816"/>
      <c r="Y16" s="3169"/>
      <c r="Z16" s="1817"/>
      <c r="AA16" s="1814">
        <v>1</v>
      </c>
      <c r="AB16" s="1814">
        <v>1</v>
      </c>
      <c r="AC16" s="1814">
        <v>1</v>
      </c>
    </row>
    <row r="17" spans="1:29" ht="99.75" customHeight="1">
      <c r="A17" s="428"/>
      <c r="B17" s="451" t="s">
        <v>2096</v>
      </c>
      <c r="C17" s="2607" t="str">
        <f>估价对象房地状况!C6</f>
        <v>估价对象周边道路状况较好、公共交通通达情况较好、有322、342、442等多路公交车，距6号线北运河西站约1.5公里，停车便捷程度较好，综合评价交通便捷度较好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98</v>
      </c>
      <c r="K17" s="445">
        <f>'土地比较法-住宅、综合'!K21</f>
        <v>2</v>
      </c>
      <c r="L17" s="1143"/>
      <c r="M17" s="1134"/>
      <c r="N17" s="1134"/>
      <c r="O17" s="1134"/>
      <c r="P17" s="3217"/>
      <c r="Q17" s="1813" t="str">
        <f>B17</f>
        <v>交通便捷度</v>
      </c>
      <c r="R17" s="774" t="s">
        <v>21</v>
      </c>
      <c r="S17" s="775">
        <f>F17</f>
        <v>100</v>
      </c>
      <c r="T17" s="774" t="s">
        <v>21</v>
      </c>
      <c r="U17" s="775">
        <f>H17</f>
        <v>100</v>
      </c>
      <c r="V17" s="774" t="s">
        <v>21</v>
      </c>
      <c r="W17" s="775">
        <f>J17</f>
        <v>98</v>
      </c>
      <c r="X17" s="1816"/>
      <c r="Y17" s="3169"/>
      <c r="Z17" s="1817" t="str">
        <f>Q17</f>
        <v>交通便捷度</v>
      </c>
      <c r="AA17" s="1814">
        <f t="shared" si="3"/>
        <v>1</v>
      </c>
      <c r="AB17" s="1814">
        <f t="shared" si="4"/>
        <v>1</v>
      </c>
      <c r="AC17" s="1814">
        <f t="shared" si="5"/>
        <v>1.0204081632653061</v>
      </c>
    </row>
    <row r="18" spans="1:29" ht="15">
      <c r="A18" s="428"/>
      <c r="B18" s="456"/>
      <c r="C18" s="2608" t="s">
        <v>3140</v>
      </c>
      <c r="D18" s="450"/>
      <c r="E18" s="2609" t="s">
        <v>3140</v>
      </c>
      <c r="F18" s="450"/>
      <c r="G18" s="2610" t="s">
        <v>3140</v>
      </c>
      <c r="H18" s="448"/>
      <c r="I18" s="2610" t="s">
        <v>3141</v>
      </c>
      <c r="J18" s="448"/>
      <c r="K18" s="2606"/>
      <c r="L18" s="1143"/>
      <c r="M18" s="1134"/>
      <c r="N18" s="1134"/>
      <c r="O18" s="1134"/>
      <c r="P18" s="3217"/>
      <c r="Q18" s="1813"/>
      <c r="R18" s="774"/>
      <c r="S18" s="775"/>
      <c r="T18" s="774"/>
      <c r="U18" s="775"/>
      <c r="V18" s="774"/>
      <c r="W18" s="775"/>
      <c r="X18" s="1816"/>
      <c r="Y18" s="3169"/>
      <c r="Z18" s="1817"/>
      <c r="AA18" s="1814">
        <v>1</v>
      </c>
      <c r="AB18" s="1814">
        <v>1</v>
      </c>
      <c r="AC18" s="1814">
        <v>1</v>
      </c>
    </row>
    <row r="19" spans="1:29" ht="28.5">
      <c r="A19" s="428"/>
      <c r="B19" s="451" t="s">
        <v>2094</v>
      </c>
      <c r="C19" s="2607" t="str">
        <f>估价对象房地状况!C7</f>
        <v>估价对象所在区域公共配套设施齐备情况一般</v>
      </c>
      <c r="D19" s="455">
        <v>100</v>
      </c>
      <c r="E19" s="459"/>
      <c r="F19" s="455">
        <f>SUMIF(80:80,E20,81:81)-SUMIF(80:80,C20,81:81)+100</f>
        <v>100</v>
      </c>
      <c r="G19" s="457"/>
      <c r="H19" s="450">
        <f>SUMIF(80:80,G20,81:81)-SUMIF(80:80,C20,81:81)+100</f>
        <v>98</v>
      </c>
      <c r="I19" s="457"/>
      <c r="J19" s="450">
        <f>SUMIF(80:80,I20,81:81)-SUMIF(80:80,C20,81:81)+100</f>
        <v>102</v>
      </c>
      <c r="K19" s="445">
        <f>'土地比较法-住宅、综合'!K27</f>
        <v>2</v>
      </c>
      <c r="L19" s="1143"/>
      <c r="M19" s="1134"/>
      <c r="N19" s="1134"/>
      <c r="O19" s="1134"/>
      <c r="P19" s="3217"/>
      <c r="Q19" s="1813" t="str">
        <f>B19</f>
        <v>公共配套设施</v>
      </c>
      <c r="R19" s="774" t="s">
        <v>21</v>
      </c>
      <c r="S19" s="775">
        <f>F19</f>
        <v>100</v>
      </c>
      <c r="T19" s="774" t="s">
        <v>21</v>
      </c>
      <c r="U19" s="775">
        <f>H19</f>
        <v>98</v>
      </c>
      <c r="V19" s="774" t="s">
        <v>21</v>
      </c>
      <c r="W19" s="775">
        <f>J19</f>
        <v>102</v>
      </c>
      <c r="X19" s="1816"/>
      <c r="Y19" s="3169"/>
      <c r="Z19" s="1817" t="str">
        <f>Q19</f>
        <v>公共配套设施</v>
      </c>
      <c r="AA19" s="1814">
        <f t="shared" si="3"/>
        <v>1</v>
      </c>
      <c r="AB19" s="1814">
        <f t="shared" si="4"/>
        <v>1.0204081632653061</v>
      </c>
      <c r="AC19" s="1814">
        <f t="shared" si="5"/>
        <v>0.98039215686274506</v>
      </c>
    </row>
    <row r="20" spans="1:29" ht="15">
      <c r="A20" s="428"/>
      <c r="B20" s="456"/>
      <c r="C20" s="447" t="s">
        <v>3141</v>
      </c>
      <c r="D20" s="448"/>
      <c r="E20" s="447" t="s">
        <v>3141</v>
      </c>
      <c r="F20" s="448"/>
      <c r="G20" s="447" t="s">
        <v>3159</v>
      </c>
      <c r="H20" s="448"/>
      <c r="I20" s="447" t="s">
        <v>3140</v>
      </c>
      <c r="J20" s="448"/>
      <c r="K20" s="2606"/>
      <c r="L20" s="1143"/>
      <c r="M20" s="1134"/>
      <c r="N20" s="1134"/>
      <c r="O20" s="1134"/>
      <c r="P20" s="3217"/>
      <c r="Q20" s="1813"/>
      <c r="R20" s="774"/>
      <c r="S20" s="775"/>
      <c r="T20" s="774"/>
      <c r="U20" s="775"/>
      <c r="V20" s="774"/>
      <c r="W20" s="775"/>
      <c r="X20" s="1816"/>
      <c r="Y20" s="3169"/>
      <c r="Z20" s="1817"/>
      <c r="AA20" s="1814">
        <v>1</v>
      </c>
      <c r="AB20" s="1814">
        <v>1</v>
      </c>
      <c r="AC20" s="1814">
        <v>1</v>
      </c>
    </row>
    <row r="21" spans="1:29" ht="15">
      <c r="A21" s="428"/>
      <c r="B21" s="1387" t="s">
        <v>2097</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f>'土地比较法-住宅、综合'!K29</f>
        <v>0</v>
      </c>
      <c r="L21" s="1143"/>
      <c r="M21" s="1134"/>
      <c r="N21" s="1134"/>
      <c r="O21" s="1134"/>
      <c r="P21" s="3217"/>
      <c r="Q21" s="1813" t="str">
        <f>B21</f>
        <v>基础设施水平</v>
      </c>
      <c r="R21" s="774" t="s">
        <v>17</v>
      </c>
      <c r="S21" s="775">
        <f>F21</f>
        <v>100</v>
      </c>
      <c r="T21" s="774" t="s">
        <v>17</v>
      </c>
      <c r="U21" s="775">
        <f>H21</f>
        <v>100</v>
      </c>
      <c r="V21" s="774" t="s">
        <v>17</v>
      </c>
      <c r="W21" s="775">
        <f>J21</f>
        <v>100</v>
      </c>
      <c r="X21" s="1816"/>
      <c r="Y21" s="3169"/>
      <c r="Z21" s="1817" t="str">
        <f>Q21</f>
        <v>基础设施水平</v>
      </c>
      <c r="AA21" s="1814">
        <f t="shared" ref="AA21" si="8">D21/F21</f>
        <v>1</v>
      </c>
      <c r="AB21" s="1814">
        <f t="shared" ref="AB21" si="9">D21/H21</f>
        <v>1</v>
      </c>
      <c r="AC21" s="1814">
        <f t="shared" ref="AC21" si="10">D21/J21</f>
        <v>1</v>
      </c>
    </row>
    <row r="22" spans="1:29" ht="15">
      <c r="A22" s="428"/>
      <c r="B22" s="1387"/>
      <c r="C22" s="2608" t="s">
        <v>3137</v>
      </c>
      <c r="D22" s="448"/>
      <c r="E22" s="2608" t="s">
        <v>3137</v>
      </c>
      <c r="F22" s="448"/>
      <c r="G22" s="2608" t="s">
        <v>3137</v>
      </c>
      <c r="H22" s="448"/>
      <c r="I22" s="2608" t="s">
        <v>3137</v>
      </c>
      <c r="J22" s="448"/>
      <c r="K22" s="2612"/>
      <c r="L22" s="1143"/>
      <c r="M22" s="1134"/>
      <c r="N22" s="1134"/>
      <c r="O22" s="1134"/>
      <c r="P22" s="3217"/>
      <c r="Q22" s="1813"/>
      <c r="R22" s="774"/>
      <c r="S22" s="775"/>
      <c r="T22" s="774"/>
      <c r="U22" s="775"/>
      <c r="V22" s="774"/>
      <c r="W22" s="775"/>
      <c r="X22" s="1816"/>
      <c r="Y22" s="3169"/>
      <c r="Z22" s="1817"/>
      <c r="AA22" s="1814">
        <v>1</v>
      </c>
      <c r="AB22" s="1814">
        <v>1</v>
      </c>
      <c r="AC22" s="1814">
        <v>1</v>
      </c>
    </row>
    <row r="23" spans="1:29" ht="78" customHeight="1">
      <c r="A23" s="428"/>
      <c r="B23" s="451" t="s">
        <v>2101</v>
      </c>
      <c r="C23" s="2607" t="str">
        <f>估价对象房地状况!C9</f>
        <v>区域自然环境：减河公园、运河奥体公园、潞河中学公园；人文环境：大运河美术馆；综合评价环境状况较好</v>
      </c>
      <c r="D23" s="450">
        <v>100</v>
      </c>
      <c r="E23" s="2954"/>
      <c r="F23" s="450">
        <f>SUMIF(84:84,E24,85:85)-SUMIF(84:84,C24,85:85)+100</f>
        <v>100</v>
      </c>
      <c r="G23" s="2956"/>
      <c r="H23" s="450">
        <f>SUMIF(84:84,G24,85:85)-SUMIF(84:84,C24,85:85)+100</f>
        <v>99</v>
      </c>
      <c r="I23" s="2956"/>
      <c r="J23" s="450">
        <f>SUMIF(84:84,I24,85:85)-SUMIF(84:84,C24,85:85)+100</f>
        <v>99</v>
      </c>
      <c r="K23" s="445">
        <f>'土地比较法-住宅、综合'!K25</f>
        <v>1</v>
      </c>
      <c r="L23" s="1143"/>
      <c r="M23" s="1134"/>
      <c r="N23" s="1134"/>
      <c r="O23" s="1134"/>
      <c r="P23" s="3217"/>
      <c r="Q23" s="1813" t="str">
        <f>B23</f>
        <v>自然及人文环境</v>
      </c>
      <c r="R23" s="774" t="s">
        <v>21</v>
      </c>
      <c r="S23" s="775">
        <f>F23</f>
        <v>100</v>
      </c>
      <c r="T23" s="774" t="s">
        <v>21</v>
      </c>
      <c r="U23" s="775">
        <f>H23</f>
        <v>99</v>
      </c>
      <c r="V23" s="774" t="s">
        <v>21</v>
      </c>
      <c r="W23" s="775">
        <f>J23</f>
        <v>99</v>
      </c>
      <c r="X23" s="1816"/>
      <c r="Y23" s="3169"/>
      <c r="Z23" s="1817" t="str">
        <f>Q23</f>
        <v>自然及人文环境</v>
      </c>
      <c r="AA23" s="1814">
        <f>D23/F23</f>
        <v>1</v>
      </c>
      <c r="AB23" s="1814">
        <f>D23/H23</f>
        <v>1.0101010101010102</v>
      </c>
      <c r="AC23" s="1814">
        <f>D23/J23</f>
        <v>1.0101010101010102</v>
      </c>
    </row>
    <row r="24" spans="1:29" ht="15.75" thickBot="1">
      <c r="A24" s="428"/>
      <c r="B24" s="456"/>
      <c r="C24" s="447" t="s">
        <v>3140</v>
      </c>
      <c r="D24" s="448"/>
      <c r="E24" s="2604" t="s">
        <v>3140</v>
      </c>
      <c r="F24" s="448"/>
      <c r="G24" s="2605" t="s">
        <v>3141</v>
      </c>
      <c r="H24" s="448"/>
      <c r="I24" s="2605" t="s">
        <v>3141</v>
      </c>
      <c r="J24" s="448"/>
      <c r="K24" s="2606"/>
      <c r="L24" s="1143"/>
      <c r="M24" s="1134"/>
      <c r="N24" s="1134"/>
      <c r="O24" s="1134"/>
      <c r="P24" s="3217"/>
      <c r="Q24" s="1813"/>
      <c r="R24" s="774"/>
      <c r="S24" s="775"/>
      <c r="T24" s="774"/>
      <c r="U24" s="775"/>
      <c r="V24" s="774"/>
      <c r="W24" s="775"/>
      <c r="X24" s="1816"/>
      <c r="Y24" s="3169"/>
      <c r="Z24" s="1817"/>
      <c r="AA24" s="1814">
        <v>1</v>
      </c>
      <c r="AB24" s="1814">
        <v>1</v>
      </c>
      <c r="AC24" s="1814">
        <v>1</v>
      </c>
    </row>
    <row r="25" spans="1:29" ht="15" hidden="1">
      <c r="A25" s="428"/>
      <c r="B25" s="422" t="s">
        <v>2560</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1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9"/>
      <c r="Z25" s="1817" t="str">
        <f>Q25</f>
        <v>楼层-1</v>
      </c>
      <c r="AA25" s="1814">
        <f t="shared" ref="AA25:AA46" si="15">D25/F25</f>
        <v>1</v>
      </c>
      <c r="AB25" s="1814">
        <f t="shared" ref="AB25:AB46" si="16">D25/H25</f>
        <v>1</v>
      </c>
      <c r="AC25" s="1814">
        <f t="shared" ref="AC25:AC46" si="17">D25/J25</f>
        <v>1</v>
      </c>
    </row>
    <row r="26" spans="1:29" ht="15" hidden="1">
      <c r="A26" s="428"/>
      <c r="B26" s="422" t="s">
        <v>2561</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17"/>
      <c r="Q26" s="1813" t="str">
        <f t="shared" si="11"/>
        <v>朝向</v>
      </c>
      <c r="R26" s="774" t="s">
        <v>21</v>
      </c>
      <c r="S26" s="775">
        <f t="shared" si="12"/>
        <v>100</v>
      </c>
      <c r="T26" s="774" t="s">
        <v>21</v>
      </c>
      <c r="U26" s="775">
        <f t="shared" si="13"/>
        <v>100</v>
      </c>
      <c r="V26" s="774" t="s">
        <v>21</v>
      </c>
      <c r="W26" s="775">
        <f t="shared" si="14"/>
        <v>100</v>
      </c>
      <c r="X26" s="1816"/>
      <c r="Y26" s="3169"/>
      <c r="Z26" s="1817" t="str">
        <f>Q26</f>
        <v>朝向</v>
      </c>
      <c r="AA26" s="1814">
        <f t="shared" si="15"/>
        <v>1</v>
      </c>
      <c r="AB26" s="1814">
        <f t="shared" si="16"/>
        <v>1</v>
      </c>
      <c r="AC26" s="1814">
        <f t="shared" si="17"/>
        <v>1</v>
      </c>
    </row>
    <row r="27" spans="1:29" s="117" customFormat="1" ht="15" hidden="1">
      <c r="A27" s="431"/>
      <c r="B27" s="2949"/>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17"/>
      <c r="Q27" s="1798">
        <f t="shared" si="11"/>
        <v>0</v>
      </c>
      <c r="R27" s="770" t="s">
        <v>21</v>
      </c>
      <c r="S27" s="771">
        <f t="shared" si="12"/>
        <v>100</v>
      </c>
      <c r="T27" s="770" t="s">
        <v>21</v>
      </c>
      <c r="U27" s="771">
        <f t="shared" si="13"/>
        <v>100</v>
      </c>
      <c r="V27" s="770" t="s">
        <v>21</v>
      </c>
      <c r="W27" s="771">
        <f t="shared" si="14"/>
        <v>100</v>
      </c>
      <c r="X27" s="772"/>
      <c r="Y27" s="3169"/>
      <c r="Z27" s="55">
        <f>Q27</f>
        <v>0</v>
      </c>
      <c r="AA27" s="1814">
        <f t="shared" si="15"/>
        <v>1</v>
      </c>
      <c r="AB27" s="1814">
        <f t="shared" si="16"/>
        <v>1</v>
      </c>
      <c r="AC27" s="1814">
        <f t="shared" si="17"/>
        <v>1</v>
      </c>
    </row>
    <row r="28" spans="1:29" ht="15" hidden="1">
      <c r="A28" s="428"/>
      <c r="B28" s="1389"/>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17"/>
      <c r="Q28" s="1813">
        <f t="shared" si="11"/>
        <v>0</v>
      </c>
      <c r="R28" s="774" t="s">
        <v>21</v>
      </c>
      <c r="S28" s="775">
        <f t="shared" si="12"/>
        <v>100</v>
      </c>
      <c r="T28" s="774" t="s">
        <v>21</v>
      </c>
      <c r="U28" s="775">
        <f t="shared" si="13"/>
        <v>100</v>
      </c>
      <c r="V28" s="774" t="s">
        <v>21</v>
      </c>
      <c r="W28" s="775">
        <f t="shared" si="14"/>
        <v>100</v>
      </c>
      <c r="X28" s="1816"/>
      <c r="Y28" s="3169"/>
      <c r="Z28" s="1817">
        <f t="shared" ref="Z28:Z46" si="18">Q28</f>
        <v>0</v>
      </c>
      <c r="AA28" s="1814">
        <f t="shared" si="15"/>
        <v>1</v>
      </c>
      <c r="AB28" s="1814">
        <f t="shared" si="16"/>
        <v>1</v>
      </c>
      <c r="AC28" s="1814">
        <f t="shared" si="17"/>
        <v>1</v>
      </c>
    </row>
    <row r="29" spans="1:29" ht="15" hidden="1">
      <c r="A29" s="428"/>
      <c r="B29" s="1389"/>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17"/>
      <c r="Q29" s="1813">
        <f t="shared" si="11"/>
        <v>0</v>
      </c>
      <c r="R29" s="774" t="s">
        <v>21</v>
      </c>
      <c r="S29" s="775">
        <f t="shared" si="12"/>
        <v>100</v>
      </c>
      <c r="T29" s="774" t="s">
        <v>21</v>
      </c>
      <c r="U29" s="775">
        <f t="shared" si="13"/>
        <v>100</v>
      </c>
      <c r="V29" s="774" t="s">
        <v>21</v>
      </c>
      <c r="W29" s="775">
        <f t="shared" si="14"/>
        <v>100</v>
      </c>
      <c r="X29" s="1816"/>
      <c r="Y29" s="3169"/>
      <c r="Z29" s="1817">
        <f t="shared" si="18"/>
        <v>0</v>
      </c>
      <c r="AA29" s="1814">
        <f t="shared" si="15"/>
        <v>1</v>
      </c>
      <c r="AB29" s="1814">
        <f t="shared" si="16"/>
        <v>1</v>
      </c>
      <c r="AC29" s="1814">
        <f t="shared" si="17"/>
        <v>1</v>
      </c>
    </row>
    <row r="30" spans="1:29" ht="15" hidden="1">
      <c r="A30" s="428"/>
      <c r="B30" s="1389"/>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17"/>
      <c r="Q30" s="1813">
        <f t="shared" si="11"/>
        <v>0</v>
      </c>
      <c r="R30" s="774" t="s">
        <v>21</v>
      </c>
      <c r="S30" s="775">
        <f t="shared" si="12"/>
        <v>100</v>
      </c>
      <c r="T30" s="774" t="s">
        <v>21</v>
      </c>
      <c r="U30" s="775">
        <f t="shared" si="13"/>
        <v>100</v>
      </c>
      <c r="V30" s="774" t="s">
        <v>21</v>
      </c>
      <c r="W30" s="775">
        <f t="shared" si="14"/>
        <v>100</v>
      </c>
      <c r="X30" s="1816"/>
      <c r="Y30" s="3169"/>
      <c r="Z30" s="1817">
        <f t="shared" si="18"/>
        <v>0</v>
      </c>
      <c r="AA30" s="1814">
        <f t="shared" si="15"/>
        <v>1</v>
      </c>
      <c r="AB30" s="1814">
        <f t="shared" si="16"/>
        <v>1</v>
      </c>
      <c r="AC30" s="1814">
        <f t="shared" si="17"/>
        <v>1</v>
      </c>
    </row>
    <row r="31" spans="1:29" ht="15.75" hidden="1" thickBot="1">
      <c r="A31" s="436"/>
      <c r="B31" s="1389"/>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17"/>
      <c r="Q31" s="1813">
        <f t="shared" si="11"/>
        <v>0</v>
      </c>
      <c r="R31" s="774" t="s">
        <v>21</v>
      </c>
      <c r="S31" s="775">
        <f t="shared" si="12"/>
        <v>100</v>
      </c>
      <c r="T31" s="774" t="s">
        <v>21</v>
      </c>
      <c r="U31" s="775">
        <f t="shared" si="13"/>
        <v>100</v>
      </c>
      <c r="V31" s="774" t="s">
        <v>21</v>
      </c>
      <c r="W31" s="775">
        <f t="shared" si="14"/>
        <v>100</v>
      </c>
      <c r="X31" s="1816"/>
      <c r="Y31" s="3169"/>
      <c r="Z31" s="1817">
        <f t="shared" si="18"/>
        <v>0</v>
      </c>
      <c r="AA31" s="1814">
        <f t="shared" si="15"/>
        <v>1</v>
      </c>
      <c r="AB31" s="1814">
        <f t="shared" si="16"/>
        <v>1</v>
      </c>
      <c r="AC31" s="1814">
        <f t="shared" si="17"/>
        <v>1</v>
      </c>
    </row>
    <row r="32" spans="1:29" ht="15">
      <c r="A32" s="440" t="s">
        <v>2562</v>
      </c>
      <c r="B32" s="71" t="s">
        <v>2563</v>
      </c>
      <c r="C32" s="2617" t="s">
        <v>3074</v>
      </c>
      <c r="D32" s="467">
        <v>100</v>
      </c>
      <c r="E32" s="2617" t="s">
        <v>3074</v>
      </c>
      <c r="F32" s="461">
        <f>SUMIF(100:100,E32,101:101)-SUMIF(100:100,C32,101:101)+100</f>
        <v>100</v>
      </c>
      <c r="G32" s="2617" t="s">
        <v>3074</v>
      </c>
      <c r="H32" s="467">
        <f>SUMIF(100:100,G32,101:101)-SUMIF(100:100,C32,101:101)+100</f>
        <v>100</v>
      </c>
      <c r="I32" s="2617" t="s">
        <v>3074</v>
      </c>
      <c r="J32" s="435">
        <f>SUMIF(100:100,I32,101:101)-SUMIF(100:100,C32,101:101)+100</f>
        <v>100</v>
      </c>
      <c r="K32" s="426">
        <v>3</v>
      </c>
      <c r="L32" s="1143"/>
      <c r="M32" s="1134"/>
      <c r="N32" s="1134"/>
      <c r="O32" s="1134"/>
      <c r="P32" s="3212" t="s">
        <v>2564</v>
      </c>
      <c r="Q32" s="1813" t="str">
        <f t="shared" si="11"/>
        <v>建筑类型</v>
      </c>
      <c r="R32" s="774" t="s">
        <v>21</v>
      </c>
      <c r="S32" s="775">
        <f t="shared" si="12"/>
        <v>100</v>
      </c>
      <c r="T32" s="774" t="s">
        <v>21</v>
      </c>
      <c r="U32" s="775">
        <f t="shared" si="13"/>
        <v>100</v>
      </c>
      <c r="V32" s="774" t="s">
        <v>21</v>
      </c>
      <c r="W32" s="775">
        <f t="shared" si="14"/>
        <v>100</v>
      </c>
      <c r="X32" s="1816"/>
      <c r="Y32" s="3171"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1"/>
      <c r="L33" s="1141"/>
      <c r="M33" s="1144"/>
      <c r="N33" s="1144"/>
      <c r="O33" s="1144"/>
      <c r="P33" s="3213"/>
      <c r="Q33" s="776" t="str">
        <f t="shared" si="11"/>
        <v>项目建筑规模</v>
      </c>
      <c r="R33" s="777" t="s">
        <v>21</v>
      </c>
      <c r="S33" s="778">
        <f t="shared" si="12"/>
        <v>100</v>
      </c>
      <c r="T33" s="777" t="s">
        <v>21</v>
      </c>
      <c r="U33" s="778">
        <f t="shared" si="13"/>
        <v>100</v>
      </c>
      <c r="V33" s="777" t="s">
        <v>21</v>
      </c>
      <c r="W33" s="778">
        <f t="shared" si="14"/>
        <v>100</v>
      </c>
      <c r="X33" s="779"/>
      <c r="Y33" s="3171"/>
      <c r="Z33" s="780" t="str">
        <f t="shared" si="18"/>
        <v>项目建筑规模</v>
      </c>
      <c r="AA33" s="1814">
        <f t="shared" si="15"/>
        <v>1</v>
      </c>
      <c r="AB33" s="1814">
        <f t="shared" si="16"/>
        <v>1</v>
      </c>
      <c r="AC33" s="1814">
        <f t="shared" si="17"/>
        <v>1</v>
      </c>
    </row>
    <row r="34" spans="1:29" ht="15">
      <c r="A34" s="472"/>
      <c r="B34" s="422" t="s">
        <v>2566</v>
      </c>
      <c r="C34" s="2618" t="s">
        <v>3142</v>
      </c>
      <c r="D34" s="435">
        <v>100</v>
      </c>
      <c r="E34" s="2618" t="s">
        <v>3142</v>
      </c>
      <c r="F34" s="461">
        <f>SUMIF(105:105,E34,106:106)-SUMIF(105:105,C34,106:106)+100</f>
        <v>100</v>
      </c>
      <c r="G34" s="2618" t="s">
        <v>3142</v>
      </c>
      <c r="H34" s="435">
        <f>SUMIF(105:105,G34,106:106)-SUMIF(105:105,C34,106:106)+100</f>
        <v>100</v>
      </c>
      <c r="I34" s="2618" t="s">
        <v>3142</v>
      </c>
      <c r="J34" s="435">
        <f>SUMIF(105:105,I34,106:106)-SUMIF(105:105,C34,106:106)+100</f>
        <v>100</v>
      </c>
      <c r="K34" s="426">
        <v>2</v>
      </c>
      <c r="L34" s="1143"/>
      <c r="M34" s="1134"/>
      <c r="N34" s="1134"/>
      <c r="O34" s="1134"/>
      <c r="P34" s="3213"/>
      <c r="Q34" s="1813" t="str">
        <f t="shared" si="11"/>
        <v>建筑结构</v>
      </c>
      <c r="R34" s="774" t="s">
        <v>21</v>
      </c>
      <c r="S34" s="775">
        <f t="shared" si="12"/>
        <v>100</v>
      </c>
      <c r="T34" s="774" t="s">
        <v>21</v>
      </c>
      <c r="U34" s="775">
        <f t="shared" si="13"/>
        <v>100</v>
      </c>
      <c r="V34" s="774" t="s">
        <v>21</v>
      </c>
      <c r="W34" s="775">
        <f t="shared" si="14"/>
        <v>100</v>
      </c>
      <c r="X34" s="1816"/>
      <c r="Y34" s="3171"/>
      <c r="Z34" s="1817" t="str">
        <f t="shared" si="18"/>
        <v>建筑结构</v>
      </c>
      <c r="AA34" s="1814">
        <f t="shared" si="15"/>
        <v>1</v>
      </c>
      <c r="AB34" s="1814">
        <f t="shared" si="16"/>
        <v>1</v>
      </c>
      <c r="AC34" s="1814">
        <f t="shared" si="17"/>
        <v>1</v>
      </c>
    </row>
    <row r="35" spans="1:29" ht="15">
      <c r="A35" s="472"/>
      <c r="B35" s="422" t="s">
        <v>2567</v>
      </c>
      <c r="C35" s="2613" t="s">
        <v>3144</v>
      </c>
      <c r="D35" s="435">
        <v>100</v>
      </c>
      <c r="E35" s="2613" t="s">
        <v>3144</v>
      </c>
      <c r="F35" s="461">
        <f>SUMIF(107:107,E35,108:108)-SUMIF(107:107,C35,108:108)+100</f>
        <v>100</v>
      </c>
      <c r="G35" s="2613" t="s">
        <v>3144</v>
      </c>
      <c r="H35" s="435">
        <f>SUMIF(107:107,G35,108:108)-SUMIF(107:107,C35,108:108)+100</f>
        <v>100</v>
      </c>
      <c r="I35" s="2613" t="s">
        <v>3144</v>
      </c>
      <c r="J35" s="435">
        <f>SUMIF(107:107,I35,108:108)-SUMIF(107:107,C35,108:108)+100</f>
        <v>100</v>
      </c>
      <c r="K35" s="426">
        <v>2</v>
      </c>
      <c r="L35" s="1143"/>
      <c r="M35" s="1134"/>
      <c r="N35" s="1134"/>
      <c r="O35" s="1134"/>
      <c r="P35" s="3213"/>
      <c r="Q35" s="1813" t="str">
        <f t="shared" si="11"/>
        <v>建筑品质</v>
      </c>
      <c r="R35" s="774" t="s">
        <v>21</v>
      </c>
      <c r="S35" s="775">
        <f t="shared" si="12"/>
        <v>100</v>
      </c>
      <c r="T35" s="774" t="s">
        <v>21</v>
      </c>
      <c r="U35" s="775">
        <f t="shared" si="13"/>
        <v>100</v>
      </c>
      <c r="V35" s="774" t="s">
        <v>21</v>
      </c>
      <c r="W35" s="775">
        <f t="shared" si="14"/>
        <v>100</v>
      </c>
      <c r="X35" s="1816"/>
      <c r="Y35" s="3171"/>
      <c r="Z35" s="1817" t="str">
        <f t="shared" si="18"/>
        <v>建筑品质</v>
      </c>
      <c r="AA35" s="1814">
        <f t="shared" si="15"/>
        <v>1</v>
      </c>
      <c r="AB35" s="1814">
        <f t="shared" si="16"/>
        <v>1</v>
      </c>
      <c r="AC35" s="1814">
        <f t="shared" si="17"/>
        <v>1</v>
      </c>
    </row>
    <row r="36" spans="1:29" ht="15">
      <c r="A36" s="472"/>
      <c r="B36" s="422" t="s">
        <v>2568</v>
      </c>
      <c r="C36" s="2613" t="s">
        <v>3146</v>
      </c>
      <c r="D36" s="435">
        <v>100</v>
      </c>
      <c r="E36" s="2613" t="s">
        <v>3146</v>
      </c>
      <c r="F36" s="461">
        <f>SUMIF(109:109,E36,110:110)-SUMIF(109:109,C36,110:110)+100</f>
        <v>100</v>
      </c>
      <c r="G36" s="2613" t="s">
        <v>3146</v>
      </c>
      <c r="H36" s="435">
        <f>SUMIF(109:109,G36,110:110)-SUMIF(109:109,C36,110:110)+100</f>
        <v>100</v>
      </c>
      <c r="I36" s="2613" t="s">
        <v>3146</v>
      </c>
      <c r="J36" s="435">
        <f>SUMIF(109:109,I36,110:110)-SUMIF(109:109,C36,110:110)+100</f>
        <v>100</v>
      </c>
      <c r="K36" s="426">
        <v>2</v>
      </c>
      <c r="L36" s="1143"/>
      <c r="M36" s="1134"/>
      <c r="N36" s="1134"/>
      <c r="O36" s="1134"/>
      <c r="P36" s="3213"/>
      <c r="Q36" s="1813" t="str">
        <f t="shared" si="11"/>
        <v>公共部分装修</v>
      </c>
      <c r="R36" s="774" t="s">
        <v>21</v>
      </c>
      <c r="S36" s="775">
        <f t="shared" si="12"/>
        <v>100</v>
      </c>
      <c r="T36" s="774" t="s">
        <v>21</v>
      </c>
      <c r="U36" s="775">
        <f t="shared" si="13"/>
        <v>100</v>
      </c>
      <c r="V36" s="774" t="s">
        <v>21</v>
      </c>
      <c r="W36" s="775">
        <f t="shared" si="14"/>
        <v>100</v>
      </c>
      <c r="X36" s="1816"/>
      <c r="Y36" s="3171"/>
      <c r="Z36" s="1817" t="str">
        <f t="shared" si="18"/>
        <v>公共部分装修</v>
      </c>
      <c r="AA36" s="1814">
        <f t="shared" si="15"/>
        <v>1</v>
      </c>
      <c r="AB36" s="1814">
        <f t="shared" si="16"/>
        <v>1</v>
      </c>
      <c r="AC36" s="1814">
        <f t="shared" si="17"/>
        <v>1</v>
      </c>
    </row>
    <row r="37" spans="1:29" s="117" customFormat="1" ht="15">
      <c r="A37" s="473"/>
      <c r="B37" s="422" t="s">
        <v>2569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213"/>
      <c r="Q37" s="1798" t="str">
        <f t="shared" si="11"/>
        <v>成新度</v>
      </c>
      <c r="R37" s="770" t="s">
        <v>21</v>
      </c>
      <c r="S37" s="771">
        <f t="shared" si="12"/>
        <v>100</v>
      </c>
      <c r="T37" s="770" t="s">
        <v>21</v>
      </c>
      <c r="U37" s="771">
        <f t="shared" si="13"/>
        <v>100</v>
      </c>
      <c r="V37" s="770" t="s">
        <v>21</v>
      </c>
      <c r="W37" s="771">
        <f t="shared" si="14"/>
        <v>100</v>
      </c>
      <c r="X37" s="772"/>
      <c r="Y37" s="3171"/>
      <c r="Z37" s="55" t="str">
        <f t="shared" si="18"/>
        <v>成新度</v>
      </c>
      <c r="AA37" s="773">
        <f t="shared" si="15"/>
        <v>1</v>
      </c>
      <c r="AB37" s="773">
        <f t="shared" si="16"/>
        <v>1</v>
      </c>
      <c r="AC37" s="773">
        <f t="shared" si="17"/>
        <v>1</v>
      </c>
    </row>
    <row r="38" spans="1:29" ht="15">
      <c r="A38" s="472"/>
      <c r="B38" s="422" t="s">
        <v>2570</v>
      </c>
      <c r="C38" s="2613" t="s">
        <v>3148</v>
      </c>
      <c r="D38" s="435">
        <v>100</v>
      </c>
      <c r="E38" s="2613" t="s">
        <v>3148</v>
      </c>
      <c r="F38" s="461">
        <f>SUMIF(114:114,E38,115:115)-SUMIF(114:114,C38,115:115)+100</f>
        <v>100</v>
      </c>
      <c r="G38" s="2613" t="s">
        <v>3148</v>
      </c>
      <c r="H38" s="435">
        <f>SUMIF(114:114,G38,115:115)-SUMIF(114:114,C38,115:115)+100</f>
        <v>100</v>
      </c>
      <c r="I38" s="2613" t="s">
        <v>3148</v>
      </c>
      <c r="J38" s="435">
        <f>SUMIF(114:114,I38,115:115)-SUMIF(114:114,C38,115:115)+100</f>
        <v>100</v>
      </c>
      <c r="K38" s="426">
        <v>2</v>
      </c>
      <c r="L38" s="1143"/>
      <c r="M38" s="1134"/>
      <c r="N38" s="1134"/>
      <c r="O38" s="1134"/>
      <c r="P38" s="3213" t="s">
        <v>2564</v>
      </c>
      <c r="Q38" s="1813" t="str">
        <f t="shared" si="11"/>
        <v>物业管理</v>
      </c>
      <c r="R38" s="774" t="s">
        <v>21</v>
      </c>
      <c r="S38" s="775">
        <f t="shared" si="12"/>
        <v>100</v>
      </c>
      <c r="T38" s="774" t="s">
        <v>21</v>
      </c>
      <c r="U38" s="775">
        <f t="shared" si="13"/>
        <v>100</v>
      </c>
      <c r="V38" s="774" t="s">
        <v>21</v>
      </c>
      <c r="W38" s="775">
        <f t="shared" si="14"/>
        <v>100</v>
      </c>
      <c r="X38" s="1816"/>
      <c r="Y38" s="3171" t="s">
        <v>2564</v>
      </c>
      <c r="Z38" s="1817" t="str">
        <f t="shared" si="18"/>
        <v>物业管理</v>
      </c>
      <c r="AA38" s="1814">
        <f t="shared" si="15"/>
        <v>1</v>
      </c>
      <c r="AB38" s="1814">
        <f t="shared" si="16"/>
        <v>1</v>
      </c>
      <c r="AC38" s="1814">
        <f t="shared" si="17"/>
        <v>1</v>
      </c>
    </row>
    <row r="39" spans="1:29" ht="15">
      <c r="A39" s="472"/>
      <c r="B39" s="422" t="s">
        <v>2571</v>
      </c>
      <c r="C39" s="2613" t="s">
        <v>3137</v>
      </c>
      <c r="D39" s="435">
        <v>100</v>
      </c>
      <c r="E39" s="2613" t="s">
        <v>3137</v>
      </c>
      <c r="F39" s="461">
        <f>SUMIF(116:116,E39,117:117)-SUMIF(116:116,C39,117:117)+100</f>
        <v>100</v>
      </c>
      <c r="G39" s="2613" t="s">
        <v>3137</v>
      </c>
      <c r="H39" s="435">
        <f>SUMIF(116:116,G39,117:117)-SUMIF(116:116,C39,117:117)+100</f>
        <v>100</v>
      </c>
      <c r="I39" s="2613" t="s">
        <v>3137</v>
      </c>
      <c r="J39" s="435">
        <f>SUMIF(116:116,I39,117:117)-SUMIF(116:116,C39,117:117)+100</f>
        <v>100</v>
      </c>
      <c r="K39" s="426">
        <v>1</v>
      </c>
      <c r="L39" s="1143"/>
      <c r="M39" s="1134"/>
      <c r="N39" s="1134"/>
      <c r="O39" s="1134"/>
      <c r="P39" s="3213"/>
      <c r="Q39" s="1813" t="str">
        <f t="shared" si="11"/>
        <v>市政基础设施</v>
      </c>
      <c r="R39" s="774" t="s">
        <v>21</v>
      </c>
      <c r="S39" s="775">
        <f t="shared" si="12"/>
        <v>100</v>
      </c>
      <c r="T39" s="774" t="s">
        <v>21</v>
      </c>
      <c r="U39" s="775">
        <f t="shared" si="13"/>
        <v>100</v>
      </c>
      <c r="V39" s="774" t="s">
        <v>21</v>
      </c>
      <c r="W39" s="775">
        <f t="shared" si="14"/>
        <v>100</v>
      </c>
      <c r="X39" s="1816"/>
      <c r="Y39" s="3171"/>
      <c r="Z39" s="1817" t="str">
        <f t="shared" si="18"/>
        <v>市政基础设施</v>
      </c>
      <c r="AA39" s="1814">
        <f t="shared" si="15"/>
        <v>1</v>
      </c>
      <c r="AB39" s="1814">
        <f t="shared" si="16"/>
        <v>1</v>
      </c>
      <c r="AC39" s="1814">
        <f t="shared" si="17"/>
        <v>1</v>
      </c>
    </row>
    <row r="40" spans="1:29" ht="15">
      <c r="A40" s="472"/>
      <c r="B40" s="422" t="s">
        <v>2572</v>
      </c>
      <c r="C40" s="2613" t="s">
        <v>3154</v>
      </c>
      <c r="D40" s="435">
        <v>100</v>
      </c>
      <c r="E40" s="2613" t="s">
        <v>3154</v>
      </c>
      <c r="F40" s="461">
        <f>SUMIF(118:118,E40,119:119)-SUMIF(118:118,C40,119:119)+100</f>
        <v>100</v>
      </c>
      <c r="G40" s="2613" t="s">
        <v>3154</v>
      </c>
      <c r="H40" s="435">
        <f>SUMIF(118:118,G40,119:119)-SUMIF(118:118,C40,119:119)+100</f>
        <v>100</v>
      </c>
      <c r="I40" s="2613" t="s">
        <v>3154</v>
      </c>
      <c r="J40" s="435">
        <f>SUMIF(118:118,I40,119:119)-SUMIF(118:118,C40,119:119)+100</f>
        <v>100</v>
      </c>
      <c r="K40" s="426">
        <v>2</v>
      </c>
      <c r="L40" s="1143"/>
      <c r="M40" s="1134"/>
      <c r="N40" s="1134"/>
      <c r="O40" s="1134"/>
      <c r="P40" s="3213"/>
      <c r="Q40" s="1813" t="str">
        <f t="shared" si="11"/>
        <v>房型</v>
      </c>
      <c r="R40" s="774" t="s">
        <v>21</v>
      </c>
      <c r="S40" s="775">
        <f t="shared" si="12"/>
        <v>100</v>
      </c>
      <c r="T40" s="774" t="s">
        <v>21</v>
      </c>
      <c r="U40" s="775">
        <f t="shared" si="13"/>
        <v>100</v>
      </c>
      <c r="V40" s="774" t="s">
        <v>21</v>
      </c>
      <c r="W40" s="775">
        <f t="shared" si="14"/>
        <v>100</v>
      </c>
      <c r="X40" s="1816"/>
      <c r="Y40" s="3171"/>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13"/>
      <c r="Q41" s="776" t="str">
        <f t="shared" si="11"/>
        <v>单套/主力户型建筑面积</v>
      </c>
      <c r="R41" s="777" t="s">
        <v>21</v>
      </c>
      <c r="S41" s="778">
        <f t="shared" si="12"/>
        <v>100</v>
      </c>
      <c r="T41" s="777" t="s">
        <v>21</v>
      </c>
      <c r="U41" s="778">
        <f t="shared" si="13"/>
        <v>100</v>
      </c>
      <c r="V41" s="777" t="s">
        <v>21</v>
      </c>
      <c r="W41" s="778">
        <f t="shared" si="14"/>
        <v>100</v>
      </c>
      <c r="X41" s="779"/>
      <c r="Y41" s="3171"/>
      <c r="Z41" s="780" t="str">
        <f t="shared" si="18"/>
        <v>单套/主力户型建筑面积</v>
      </c>
      <c r="AA41" s="1814">
        <f t="shared" si="15"/>
        <v>1</v>
      </c>
      <c r="AB41" s="1814">
        <f t="shared" si="16"/>
        <v>1</v>
      </c>
      <c r="AC41" s="1814">
        <f t="shared" si="17"/>
        <v>1</v>
      </c>
    </row>
    <row r="42" spans="1:29" ht="15">
      <c r="A42" s="472"/>
      <c r="B42" s="422" t="s">
        <v>2574</v>
      </c>
      <c r="C42" s="2613" t="s">
        <v>3146</v>
      </c>
      <c r="D42" s="435">
        <v>100</v>
      </c>
      <c r="E42" s="2613" t="s">
        <v>3146</v>
      </c>
      <c r="F42" s="461">
        <f>SUMIF(122:122,E42,123:123)-SUMIF(122:122,C42,123:123)+100</f>
        <v>100</v>
      </c>
      <c r="G42" s="2613" t="s">
        <v>3146</v>
      </c>
      <c r="H42" s="435">
        <f>SUMIF(122:122,G42,123:123)-SUMIF(122:122,C42,123:123)+100</f>
        <v>100</v>
      </c>
      <c r="I42" s="2613" t="s">
        <v>3146</v>
      </c>
      <c r="J42" s="435">
        <f>SUMIF(122:122,I42,123:123)-SUMIF(122:122,C42,123:123)+100</f>
        <v>100</v>
      </c>
      <c r="K42" s="426">
        <v>2</v>
      </c>
      <c r="L42" s="1143"/>
      <c r="M42" s="1134"/>
      <c r="N42" s="1134"/>
      <c r="O42" s="1134"/>
      <c r="P42" s="3213"/>
      <c r="Q42" s="1813" t="str">
        <f t="shared" si="11"/>
        <v>内部装修</v>
      </c>
      <c r="R42" s="774" t="s">
        <v>21</v>
      </c>
      <c r="S42" s="775">
        <f t="shared" si="12"/>
        <v>100</v>
      </c>
      <c r="T42" s="774" t="s">
        <v>21</v>
      </c>
      <c r="U42" s="775">
        <f t="shared" si="13"/>
        <v>100</v>
      </c>
      <c r="V42" s="774" t="s">
        <v>21</v>
      </c>
      <c r="W42" s="775">
        <f t="shared" si="14"/>
        <v>100</v>
      </c>
      <c r="X42" s="1816"/>
      <c r="Y42" s="3171"/>
      <c r="Z42" s="1817" t="str">
        <f t="shared" si="18"/>
        <v>内部装修</v>
      </c>
      <c r="AA42" s="1814">
        <f t="shared" si="15"/>
        <v>1</v>
      </c>
      <c r="AB42" s="1814">
        <f t="shared" si="16"/>
        <v>1</v>
      </c>
      <c r="AC42" s="1814">
        <f t="shared" si="17"/>
        <v>1</v>
      </c>
    </row>
    <row r="43" spans="1:29" ht="15.75" thickBot="1">
      <c r="A43" s="472"/>
      <c r="B43" s="422" t="s">
        <v>2575</v>
      </c>
      <c r="C43" s="2613" t="s">
        <v>3140</v>
      </c>
      <c r="D43" s="435">
        <v>100</v>
      </c>
      <c r="E43" s="2613" t="s">
        <v>3140</v>
      </c>
      <c r="F43" s="461">
        <f>SUMIF(124:124,E43,125:125)-SUMIF(124:124,C43,125:125)+100</f>
        <v>100</v>
      </c>
      <c r="G43" s="2613" t="s">
        <v>3140</v>
      </c>
      <c r="H43" s="435">
        <f>SUMIF(124:124,G43,125:125)-SUMIF(124:124,C43,125:125)+100</f>
        <v>100</v>
      </c>
      <c r="I43" s="2613" t="s">
        <v>3140</v>
      </c>
      <c r="J43" s="435">
        <f>SUMIF(124:124,I43,125:125)-SUMIF(124:124,C43,125:125)+100</f>
        <v>100</v>
      </c>
      <c r="K43" s="426">
        <v>2</v>
      </c>
      <c r="L43" s="1143"/>
      <c r="M43" s="1134"/>
      <c r="N43" s="1134"/>
      <c r="O43" s="1134"/>
      <c r="P43" s="3213"/>
      <c r="Q43" s="1813" t="str">
        <f t="shared" si="11"/>
        <v>内部装修维护情况</v>
      </c>
      <c r="R43" s="774" t="s">
        <v>21</v>
      </c>
      <c r="S43" s="775">
        <f t="shared" si="12"/>
        <v>100</v>
      </c>
      <c r="T43" s="774" t="s">
        <v>21</v>
      </c>
      <c r="U43" s="775">
        <f t="shared" si="13"/>
        <v>100</v>
      </c>
      <c r="V43" s="774" t="s">
        <v>21</v>
      </c>
      <c r="W43" s="775">
        <f t="shared" si="14"/>
        <v>100</v>
      </c>
      <c r="X43" s="1816"/>
      <c r="Y43" s="3171"/>
      <c r="Z43" s="1817" t="str">
        <f t="shared" si="18"/>
        <v>内部装修维护情况</v>
      </c>
      <c r="AA43" s="1814">
        <f t="shared" si="15"/>
        <v>1</v>
      </c>
      <c r="AB43" s="1814">
        <f t="shared" si="16"/>
        <v>1</v>
      </c>
      <c r="AC43" s="1814">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13"/>
      <c r="Q44" s="1798">
        <f t="shared" si="11"/>
        <v>111</v>
      </c>
      <c r="R44" s="770" t="s">
        <v>21</v>
      </c>
      <c r="S44" s="771">
        <f t="shared" si="12"/>
        <v>100</v>
      </c>
      <c r="T44" s="770" t="s">
        <v>21</v>
      </c>
      <c r="U44" s="771">
        <f t="shared" si="13"/>
        <v>100</v>
      </c>
      <c r="V44" s="770" t="s">
        <v>21</v>
      </c>
      <c r="W44" s="771">
        <f t="shared" si="14"/>
        <v>100</v>
      </c>
      <c r="X44" s="772"/>
      <c r="Y44" s="3171"/>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13"/>
      <c r="Q45" s="1813">
        <f t="shared" si="11"/>
        <v>111</v>
      </c>
      <c r="R45" s="774" t="s">
        <v>21</v>
      </c>
      <c r="S45" s="775">
        <f t="shared" si="12"/>
        <v>100</v>
      </c>
      <c r="T45" s="774" t="s">
        <v>21</v>
      </c>
      <c r="U45" s="775">
        <f t="shared" si="13"/>
        <v>100</v>
      </c>
      <c r="V45" s="774" t="s">
        <v>21</v>
      </c>
      <c r="W45" s="775">
        <f t="shared" si="14"/>
        <v>100</v>
      </c>
      <c r="X45" s="1816"/>
      <c r="Y45" s="3171"/>
      <c r="Z45" s="1817">
        <f t="shared" si="18"/>
        <v>111</v>
      </c>
      <c r="AA45" s="1814">
        <f t="shared" si="15"/>
        <v>1</v>
      </c>
      <c r="AB45" s="1814">
        <f t="shared" si="16"/>
        <v>1</v>
      </c>
      <c r="AC45" s="1814">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14"/>
      <c r="Q46" s="1813">
        <f t="shared" si="11"/>
        <v>111</v>
      </c>
      <c r="R46" s="774" t="s">
        <v>20</v>
      </c>
      <c r="S46" s="775">
        <f t="shared" si="12"/>
        <v>100</v>
      </c>
      <c r="T46" s="774" t="s">
        <v>20</v>
      </c>
      <c r="U46" s="775">
        <f t="shared" si="13"/>
        <v>100</v>
      </c>
      <c r="V46" s="774" t="s">
        <v>20</v>
      </c>
      <c r="W46" s="775">
        <f t="shared" si="14"/>
        <v>100</v>
      </c>
      <c r="X46" s="1816"/>
      <c r="Y46" s="3215"/>
      <c r="Z46" s="1817">
        <f t="shared" si="18"/>
        <v>111</v>
      </c>
      <c r="AA46" s="1814">
        <f t="shared" si="15"/>
        <v>1</v>
      </c>
      <c r="AB46" s="1814">
        <f t="shared" si="16"/>
        <v>1</v>
      </c>
      <c r="AC46" s="1814">
        <f t="shared" si="17"/>
        <v>1</v>
      </c>
    </row>
    <row r="47" spans="1:29" ht="15">
      <c r="A47" s="479" t="s">
        <v>2576</v>
      </c>
      <c r="B47" s="480"/>
      <c r="C47" s="1410" t="s">
        <v>19</v>
      </c>
      <c r="D47" s="1411"/>
      <c r="E47" s="1412">
        <f>华远铭悦世家!Q8</f>
        <v>7345</v>
      </c>
      <c r="F47" s="1413"/>
      <c r="G47" s="1414">
        <v>7300</v>
      </c>
      <c r="H47" s="1415"/>
      <c r="I47" s="1412">
        <v>6001</v>
      </c>
      <c r="J47" s="1415"/>
      <c r="K47" s="2619"/>
      <c r="L47" s="1146"/>
      <c r="M47" s="1147"/>
      <c r="N47" s="1134"/>
      <c r="O47" s="1147"/>
      <c r="P47" s="3166" t="str">
        <f>A47</f>
        <v>成交单价（元/平方米）</v>
      </c>
      <c r="Q47" s="3166"/>
      <c r="R47" s="3211">
        <f>E47</f>
        <v>7345</v>
      </c>
      <c r="S47" s="3211"/>
      <c r="T47" s="3211">
        <f>G47</f>
        <v>7300</v>
      </c>
      <c r="U47" s="3211"/>
      <c r="V47" s="3211">
        <f>I47</f>
        <v>6001</v>
      </c>
      <c r="W47" s="3211"/>
      <c r="X47" s="759"/>
      <c r="Y47" s="781"/>
      <c r="Z47" s="759"/>
      <c r="AA47" s="759"/>
      <c r="AB47" s="759"/>
      <c r="AC47" s="759"/>
    </row>
    <row r="48" spans="1:29" ht="15.75" thickBot="1">
      <c r="A48" s="486" t="s">
        <v>2577</v>
      </c>
      <c r="B48" s="487"/>
      <c r="C48" s="1416">
        <f>R49</f>
        <v>7122</v>
      </c>
      <c r="D48" s="1417"/>
      <c r="E48" s="1418">
        <f>R48</f>
        <v>7497</v>
      </c>
      <c r="F48" s="1418"/>
      <c r="G48" s="1416">
        <f>T48</f>
        <v>7680</v>
      </c>
      <c r="H48" s="1417"/>
      <c r="I48" s="1418">
        <f>V48</f>
        <v>6190</v>
      </c>
      <c r="J48" s="1417"/>
      <c r="K48" s="2620"/>
      <c r="L48" s="1146"/>
      <c r="M48" s="1147"/>
      <c r="N48" s="1147"/>
      <c r="O48" s="1147"/>
      <c r="P48" s="3166" t="str">
        <f>A48</f>
        <v>比较价值（元/平方米）</v>
      </c>
      <c r="Q48" s="3166"/>
      <c r="R48" s="3211">
        <f>IF(F1="售价",ROUND(PRODUCT(R47,AA7:AA46),0),ROUND(PRODUCT(R47,AA7:AA46),1))</f>
        <v>7497</v>
      </c>
      <c r="S48" s="3211"/>
      <c r="T48" s="3211">
        <f>IF(F1="售价",ROUND(PRODUCT(T47,AB7:AB46),0),ROUND(PRODUCT(T47,AB7:AB46),1))</f>
        <v>7680</v>
      </c>
      <c r="U48" s="3211"/>
      <c r="V48" s="3211">
        <f>IF(F1="售价",ROUND(PRODUCT(V47,AC7:AC46),0),ROUND(PRODUCT(V47,AC7:AC46),1))</f>
        <v>6190</v>
      </c>
      <c r="W48" s="3211"/>
      <c r="X48" s="759"/>
      <c r="Y48" s="759"/>
      <c r="Z48" s="759"/>
      <c r="AA48" s="759"/>
      <c r="AB48" s="759"/>
      <c r="AC48" s="759"/>
    </row>
    <row r="49" spans="1:29" ht="15.75" thickBot="1">
      <c r="A49" s="492" t="s">
        <v>2578</v>
      </c>
      <c r="B49" s="493"/>
      <c r="C49" s="1419">
        <f>R49</f>
        <v>7122</v>
      </c>
      <c r="D49" s="1420"/>
      <c r="E49" s="1420"/>
      <c r="F49" s="1420"/>
      <c r="G49" s="1420"/>
      <c r="H49" s="1420"/>
      <c r="I49" s="1420"/>
      <c r="J49" s="1420"/>
      <c r="K49" s="2621"/>
      <c r="L49" s="1146"/>
      <c r="M49" s="1147"/>
      <c r="N49" s="1147"/>
      <c r="O49" s="1147"/>
      <c r="P49" s="3160" t="str">
        <f>A49</f>
        <v>估价对象XX用房的比较价值（楼面单价，元/平方米）</v>
      </c>
      <c r="Q49" s="3161"/>
      <c r="R49" s="3210">
        <f>IF(F1="售价",ROUND(AVERAGE(R48:V48),0),ROUND(AVERAGE(R48:V48),1))</f>
        <v>7122</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f>IF(E47&lt;E48,E48/E47-1,E47/E48-1)</f>
        <v>2.0694349897889763E-2</v>
      </c>
      <c r="F52" s="500" t="str">
        <f>IF(OR(E52&gt;=0.3,E52&lt;=-0.3),"超过30%","")</f>
        <v/>
      </c>
      <c r="G52" s="499">
        <f>IF(G47&lt;G48,G48/G47-1,G47/G48-1)</f>
        <v>5.2054794520547842E-2</v>
      </c>
      <c r="H52" s="500" t="str">
        <f>IF(OR(G52&gt;=0.3,G52&lt;=-0.3),"超过30%","")</f>
        <v/>
      </c>
      <c r="I52" s="499">
        <f>IF(I47&lt;I48,I48/I47-1,I47/I48-1)</f>
        <v>3.1494750874854205E-2</v>
      </c>
      <c r="J52" s="500" t="str">
        <f>IF(OR(I52&gt;=0.3,I52&lt;=-0.3),"超过30%","")</f>
        <v/>
      </c>
      <c r="K52" s="1108"/>
      <c r="L52" s="1109"/>
      <c r="M52" s="1147"/>
      <c r="N52" s="1147"/>
      <c r="O52" s="1147"/>
    </row>
    <row r="53" spans="1:29" ht="13.5" customHeight="1">
      <c r="A53" s="1147"/>
      <c r="B53" s="1147"/>
      <c r="C53" s="497" t="s">
        <v>2580</v>
      </c>
      <c r="D53" s="501"/>
      <c r="E53" s="499">
        <f>IF(E48&lt;G48,G48/E48-1,E48/G48-1)</f>
        <v>2.4409763905562265E-2</v>
      </c>
      <c r="F53" s="500" t="str">
        <f>IF(OR(E53&gt;=0.2,E53&lt;=-0.2),"超过20%","")</f>
        <v/>
      </c>
      <c r="G53" s="499">
        <f>IF(G48&lt;I48,I48/G48-1,G48/I48-1)</f>
        <v>0.24071082390953147</v>
      </c>
      <c r="H53" s="500" t="str">
        <f>IF(OR(G53&gt;=0.2,G53&lt;=-0.2),"超过20%","")</f>
        <v>超过20%</v>
      </c>
      <c r="I53" s="499">
        <f>IF(I48&lt;E48,E48/I48-1,I48/E48-1)</f>
        <v>0.21114701130856228</v>
      </c>
      <c r="J53" s="500" t="str">
        <f>IF(OR(I53&gt;=0.2,I53&lt;=-0.2),"超过20%","")</f>
        <v>超过20%</v>
      </c>
      <c r="K53" s="1108"/>
      <c r="L53" s="1109"/>
      <c r="M53" s="1147"/>
      <c r="N53" s="1147"/>
      <c r="O53" s="1147"/>
    </row>
    <row r="54" spans="1:29" s="502" customFormat="1" ht="13.5" customHeight="1">
      <c r="A54" s="1148"/>
      <c r="B54" s="1148"/>
      <c r="C54" s="497" t="s">
        <v>2581</v>
      </c>
      <c r="D54" s="501"/>
      <c r="E54" s="499">
        <f>IF(E47&lt;G47,G47/E47-1,E47/G47-1)</f>
        <v>6.164383561643838E-3</v>
      </c>
      <c r="F54" s="500" t="str">
        <f>IF(OR(E54&gt;=0.3,E54&lt;=-0.3),"超过30%","")</f>
        <v/>
      </c>
      <c r="G54" s="499">
        <f>IF(G47&lt;I47,I47/G47-1,G47/I47-1)</f>
        <v>0.2164639226795535</v>
      </c>
      <c r="H54" s="500" t="str">
        <f>IF(OR(G54&gt;=0.3,G54&lt;=-0.3),"超过30%","")</f>
        <v/>
      </c>
      <c r="I54" s="499">
        <f>IF(I47&lt;E47,E47/I47-1,I47/E47-1)</f>
        <v>0.2239626728878521</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4"/>
      <c r="Q57" s="504"/>
    </row>
    <row r="58" spans="1:29" s="508" customFormat="1" ht="15">
      <c r="A58" s="505" t="s">
        <v>2583</v>
      </c>
      <c r="B58" s="506"/>
      <c r="C58" s="1579" t="str">
        <f>YEAR(C7)&amp;"-"&amp;MONTH(C7)</f>
        <v>2012-12</v>
      </c>
      <c r="D58" s="1578">
        <f>EDATE(C58,-1)</f>
        <v>41214</v>
      </c>
      <c r="E58" s="1578">
        <f>EDATE(D58,-1)</f>
        <v>41183</v>
      </c>
      <c r="F58" s="1578">
        <f t="shared" ref="F58:O58" si="19">EDATE(E58,-1)</f>
        <v>41153</v>
      </c>
      <c r="G58" s="1578">
        <f t="shared" si="19"/>
        <v>41122</v>
      </c>
      <c r="H58" s="1578">
        <f t="shared" si="19"/>
        <v>41091</v>
      </c>
      <c r="I58" s="1578">
        <f t="shared" si="19"/>
        <v>41061</v>
      </c>
      <c r="J58" s="1578">
        <f t="shared" si="19"/>
        <v>41030</v>
      </c>
      <c r="K58" s="1578">
        <f t="shared" si="19"/>
        <v>41000</v>
      </c>
      <c r="L58" s="1578">
        <f t="shared" si="19"/>
        <v>40969</v>
      </c>
      <c r="M58" s="1578">
        <f t="shared" si="19"/>
        <v>40940</v>
      </c>
      <c r="N58" s="1578">
        <f t="shared" si="19"/>
        <v>40909</v>
      </c>
      <c r="O58" s="1578">
        <f t="shared" si="19"/>
        <v>40878</v>
      </c>
      <c r="P58" s="1573"/>
    </row>
    <row r="59" spans="1:29" s="117" customFormat="1" ht="15">
      <c r="A59" s="509"/>
      <c r="B59" s="2625"/>
      <c r="C59" s="1576">
        <v>100</v>
      </c>
      <c r="D59" s="511">
        <v>100</v>
      </c>
      <c r="E59" s="511">
        <v>100</v>
      </c>
      <c r="F59" s="511">
        <v>99</v>
      </c>
      <c r="G59" s="511">
        <v>99</v>
      </c>
      <c r="H59" s="511">
        <v>99</v>
      </c>
      <c r="I59" s="511">
        <v>98</v>
      </c>
      <c r="J59" s="511">
        <v>98</v>
      </c>
      <c r="K59" s="511">
        <v>98</v>
      </c>
      <c r="L59" s="512">
        <v>97</v>
      </c>
      <c r="M59" s="513">
        <v>97</v>
      </c>
      <c r="N59" s="512">
        <v>97</v>
      </c>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2587</v>
      </c>
      <c r="B63" s="528" t="s">
        <v>2553</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28"/>
      <c r="Q66" s="504"/>
    </row>
    <row r="67" spans="1:17" ht="15.75" thickTop="1">
      <c r="A67" s="534"/>
      <c r="B67" s="546" t="s">
        <v>2557</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v>0</v>
      </c>
      <c r="D68" s="549">
        <v>1</v>
      </c>
      <c r="E68" s="549">
        <v>2</v>
      </c>
      <c r="F68" s="549">
        <v>3</v>
      </c>
      <c r="G68" s="549">
        <v>4</v>
      </c>
      <c r="H68" s="549">
        <v>5</v>
      </c>
      <c r="I68" s="549"/>
      <c r="J68" s="549"/>
      <c r="K68" s="550"/>
      <c r="L68" s="551"/>
      <c r="M68" s="552"/>
      <c r="N68" s="1155"/>
      <c r="O68" s="1155"/>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28"/>
      <c r="Q85" s="504"/>
    </row>
    <row r="86" spans="1:17" s="117" customFormat="1" ht="15.75" thickTop="1">
      <c r="A86" s="579"/>
      <c r="B86" s="538" t="s">
        <v>2609</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2610</v>
      </c>
      <c r="C88" s="554"/>
      <c r="D88" s="554"/>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8"/>
      <c r="Q89" s="504"/>
    </row>
    <row r="90" spans="1:17" s="471" customFormat="1" ht="15.75" thickTop="1">
      <c r="A90" s="553"/>
      <c r="B90" s="538">
        <f>B27</f>
        <v>0</v>
      </c>
      <c r="C90" s="554"/>
      <c r="D90" s="554"/>
      <c r="E90" s="554"/>
      <c r="F90" s="554"/>
      <c r="G90" s="554"/>
      <c r="H90" s="555"/>
      <c r="I90" s="555"/>
      <c r="J90" s="555"/>
      <c r="K90" s="555"/>
      <c r="L90" s="556"/>
      <c r="M90" s="557"/>
      <c r="N90" s="1157"/>
      <c r="O90" s="1157"/>
      <c r="P90" s="2629"/>
      <c r="Q90" s="559"/>
    </row>
    <row r="91" spans="1:17" s="471" customFormat="1" ht="15.75" thickBot="1">
      <c r="A91" s="553"/>
      <c r="B91" s="543"/>
      <c r="C91" s="560"/>
      <c r="D91" s="560"/>
      <c r="E91" s="560"/>
      <c r="F91" s="560"/>
      <c r="G91" s="560"/>
      <c r="H91" s="562"/>
      <c r="I91" s="562"/>
      <c r="J91" s="562"/>
      <c r="K91" s="562"/>
      <c r="L91" s="562"/>
      <c r="M91" s="563"/>
      <c r="N91" s="1157"/>
      <c r="O91" s="1157"/>
      <c r="P91" s="2629"/>
      <c r="Q91" s="559"/>
    </row>
    <row r="92" spans="1:17" ht="15.75" thickTop="1">
      <c r="A92" s="534"/>
      <c r="B92" s="538">
        <f>B28</f>
        <v>0</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0</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0</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0</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2562</v>
      </c>
      <c r="B100" s="528" t="s">
        <v>2611</v>
      </c>
      <c r="C100" s="2951" t="s">
        <v>3184</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97</v>
      </c>
      <c r="E101" s="544">
        <f t="shared" si="26"/>
        <v>94</v>
      </c>
      <c r="F101" s="544">
        <f t="shared" si="26"/>
        <v>91</v>
      </c>
      <c r="G101" s="544">
        <f t="shared" si="26"/>
        <v>88</v>
      </c>
      <c r="H101" s="544">
        <f t="shared" si="26"/>
        <v>85</v>
      </c>
      <c r="I101" s="544">
        <f t="shared" si="26"/>
        <v>82</v>
      </c>
      <c r="J101" s="544">
        <f t="shared" si="26"/>
        <v>79</v>
      </c>
      <c r="K101" s="544">
        <f t="shared" si="26"/>
        <v>76</v>
      </c>
      <c r="L101" s="544">
        <f t="shared" si="26"/>
        <v>73</v>
      </c>
      <c r="M101" s="544">
        <f t="shared" si="26"/>
        <v>70</v>
      </c>
      <c r="N101" s="1156"/>
      <c r="O101" s="1156"/>
      <c r="P101" s="2628"/>
      <c r="Q101" s="504"/>
    </row>
    <row r="102" spans="1:17" ht="15.75" thickTop="1">
      <c r="A102" s="534"/>
      <c r="B102" s="538" t="s">
        <v>2612</v>
      </c>
      <c r="C102" s="578" t="str">
        <f>C103&amp;"(含)"&amp;"-"&amp;D103</f>
        <v>0(含)-10000</v>
      </c>
      <c r="D102" s="578" t="str">
        <f t="shared" ref="D102:L102" si="27">D103&amp;"(含)"&amp;"-"&amp;E103</f>
        <v>10000(含)-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v>0</v>
      </c>
      <c r="D103" s="595">
        <v>10000</v>
      </c>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9"/>
      <c r="Q104" s="559"/>
    </row>
    <row r="105" spans="1:17" ht="15" thickTop="1">
      <c r="A105" s="599"/>
      <c r="B105" s="538" t="s">
        <v>2613</v>
      </c>
      <c r="C105" s="2950" t="s">
        <v>3143</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8"/>
      <c r="Q106" s="504"/>
    </row>
    <row r="107" spans="1:17" ht="15" thickTop="1">
      <c r="A107" s="599"/>
      <c r="B107" s="538" t="s">
        <v>2614</v>
      </c>
      <c r="C107" s="2952" t="s">
        <v>3145</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28"/>
      <c r="Q108" s="504"/>
    </row>
    <row r="109" spans="1:17" ht="15" thickTop="1">
      <c r="A109" s="599"/>
      <c r="B109" s="538" t="s">
        <v>2615</v>
      </c>
      <c r="C109" s="2950" t="s">
        <v>3147</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2616</v>
      </c>
      <c r="C114" s="2950" t="s">
        <v>3149</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28"/>
      <c r="Q115" s="504"/>
    </row>
    <row r="116" spans="1:17" ht="15" thickTop="1">
      <c r="A116" s="599"/>
      <c r="B116" s="538" t="s">
        <v>2617</v>
      </c>
      <c r="C116" s="554" t="s">
        <v>3137</v>
      </c>
      <c r="D116" s="554" t="s">
        <v>3150</v>
      </c>
      <c r="E116" s="554" t="s">
        <v>3151</v>
      </c>
      <c r="F116" s="554" t="s">
        <v>3152</v>
      </c>
      <c r="G116" s="554" t="s">
        <v>3153</v>
      </c>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2618</v>
      </c>
      <c r="C118" s="2952" t="s">
        <v>3155</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6"/>
      <c r="O119" s="1156"/>
      <c r="P119" s="2628"/>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2619</v>
      </c>
      <c r="C122" s="2950" t="s">
        <v>3156</v>
      </c>
      <c r="D122" s="2950" t="s">
        <v>3147</v>
      </c>
      <c r="E122" s="2950" t="s">
        <v>3157</v>
      </c>
      <c r="F122" s="2952" t="s">
        <v>3158</v>
      </c>
      <c r="G122" s="583"/>
      <c r="H122" s="583"/>
      <c r="I122" s="583"/>
      <c r="J122" s="583"/>
      <c r="K122" s="584"/>
      <c r="L122" s="585"/>
      <c r="M122" s="586"/>
      <c r="N122" s="1155"/>
      <c r="O122" s="1155"/>
      <c r="P122" s="2628"/>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7">
        <v>6</v>
      </c>
      <c r="C139" s="1088">
        <v>96</v>
      </c>
      <c r="D139" s="2646" t="s">
        <v>2630</v>
      </c>
      <c r="E139" s="1089">
        <v>100</v>
      </c>
      <c r="F139" s="1090">
        <v>102.5</v>
      </c>
      <c r="G139" s="2646" t="s">
        <v>2630</v>
      </c>
      <c r="H139" s="1091">
        <v>105</v>
      </c>
      <c r="I139" s="2647" t="s">
        <v>2631</v>
      </c>
      <c r="J139" s="1088">
        <v>20</v>
      </c>
      <c r="K139" s="1092">
        <f>C145/(J139-2)</f>
        <v>4.0555555555555553E-3</v>
      </c>
    </row>
    <row r="140" spans="1:17" ht="15">
      <c r="B140" s="1093">
        <v>5</v>
      </c>
      <c r="C140" s="1094">
        <v>100</v>
      </c>
      <c r="D140" s="1094"/>
      <c r="E140" s="1095"/>
      <c r="F140" s="1096">
        <v>102</v>
      </c>
      <c r="G140" s="1094"/>
      <c r="H140" s="1097"/>
      <c r="I140" s="2648" t="s">
        <v>2632</v>
      </c>
      <c r="J140" s="315">
        <f>ROUNDUP((J139-1)/2,0)</f>
        <v>10</v>
      </c>
      <c r="K140" s="1098">
        <v>100</v>
      </c>
    </row>
    <row r="141" spans="1:17" ht="15">
      <c r="B141" s="1093">
        <v>4</v>
      </c>
      <c r="C141" s="1094">
        <v>102</v>
      </c>
      <c r="D141" s="1094"/>
      <c r="E141" s="1095"/>
      <c r="F141" s="1096">
        <v>101.5</v>
      </c>
      <c r="G141" s="1094"/>
      <c r="H141" s="1097"/>
      <c r="I141" s="2648" t="s">
        <v>2633</v>
      </c>
      <c r="J141" s="315">
        <v>1</v>
      </c>
      <c r="K141" s="1099">
        <f>ROUND(100+(J141-J140)*K139*100,1)</f>
        <v>96.4</v>
      </c>
    </row>
    <row r="142" spans="1:17" ht="15">
      <c r="B142" s="1093">
        <v>3</v>
      </c>
      <c r="C142" s="1094">
        <v>103</v>
      </c>
      <c r="D142" s="1094"/>
      <c r="E142" s="1095"/>
      <c r="F142" s="1096">
        <v>101</v>
      </c>
      <c r="G142" s="1094"/>
      <c r="H142" s="1097"/>
      <c r="I142" s="2648" t="s">
        <v>2634</v>
      </c>
      <c r="J142" s="315">
        <f>J139</f>
        <v>20</v>
      </c>
      <c r="K142" s="1100">
        <v>95</v>
      </c>
    </row>
    <row r="143" spans="1:17" ht="15">
      <c r="B143" s="1093">
        <v>2</v>
      </c>
      <c r="C143" s="1094">
        <v>100</v>
      </c>
      <c r="D143" s="1094"/>
      <c r="E143" s="1095"/>
      <c r="F143" s="1096">
        <v>100.5</v>
      </c>
      <c r="G143" s="1094"/>
      <c r="H143" s="1097"/>
      <c r="I143" s="2648" t="s">
        <v>2635</v>
      </c>
      <c r="J143" s="1094">
        <v>15</v>
      </c>
      <c r="K143" s="1099">
        <f>ROUND(100+(J143-J140)*K139*100,1)</f>
        <v>102</v>
      </c>
    </row>
    <row r="144" spans="1:17" ht="15">
      <c r="B144" s="1093">
        <v>1</v>
      </c>
      <c r="C144" s="1094">
        <v>98</v>
      </c>
      <c r="D144" s="2649" t="s">
        <v>2636</v>
      </c>
      <c r="E144" s="1095">
        <v>102</v>
      </c>
      <c r="F144" s="1101">
        <v>100</v>
      </c>
      <c r="G144" s="2649" t="s">
        <v>2636</v>
      </c>
      <c r="H144" s="1097">
        <v>105</v>
      </c>
      <c r="I144" s="2648" t="s">
        <v>2635</v>
      </c>
      <c r="J144" s="1094">
        <v>18</v>
      </c>
      <c r="K144" s="1099">
        <f>ROUND(100+(J144-J140)*K139*100,1)</f>
        <v>103.2</v>
      </c>
    </row>
    <row r="145" spans="2:11" ht="15.75" thickBot="1">
      <c r="B145" s="2650" t="s">
        <v>2637</v>
      </c>
      <c r="C145" s="1102">
        <f>ROUND(MAX(C139:C144)/MIN(C139:C144)-1,3)</f>
        <v>7.2999999999999995E-2</v>
      </c>
      <c r="D145" s="1103"/>
      <c r="E145" s="1103"/>
      <c r="F145" s="2651" t="s">
        <v>2638</v>
      </c>
      <c r="G145" s="2652"/>
      <c r="H145" s="2653"/>
      <c r="I145" s="2654" t="s">
        <v>2635</v>
      </c>
      <c r="J145" s="1104">
        <v>8</v>
      </c>
      <c r="K145" s="1105">
        <f>ROUND(100+(J145-J140)*K139*100,1)</f>
        <v>99.2</v>
      </c>
    </row>
    <row r="147" spans="2:11">
      <c r="B147" s="2635" t="s">
        <v>2639</v>
      </c>
    </row>
    <row r="148" spans="2:11">
      <c r="B148" s="2635"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57" sqref="E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48</v>
      </c>
      <c r="C1" s="242"/>
      <c r="D1" s="242"/>
      <c r="E1" s="242"/>
      <c r="F1" s="242"/>
      <c r="G1" s="1382">
        <f>MATCH(B1,'数据-取费表'!A6:A16,0)+5</f>
        <v>7</v>
      </c>
    </row>
    <row r="2" spans="1:9" s="244" customFormat="1" ht="18" customHeight="1">
      <c r="A2" s="245" t="s">
        <v>1394</v>
      </c>
      <c r="B2" s="246">
        <f ca="1">IF(D2="——",C52,C52-E2)</f>
        <v>11253</v>
      </c>
      <c r="C2" s="243" t="s">
        <v>2327</v>
      </c>
      <c r="D2" s="2548" t="s">
        <v>70</v>
      </c>
      <c r="E2" s="1443" t="e">
        <f ca="1">SUMIF(INDIRECT("'"&amp;G2&amp;"'"&amp;"!A:A"),"承租人权益价值",INDIRECT("'"&amp;G2&amp;"'"&amp;"!c:c"))</f>
        <v>#REF!</v>
      </c>
      <c r="F2" s="2549" t="s">
        <v>2327</v>
      </c>
      <c r="G2" s="2550"/>
    </row>
    <row r="3" spans="1:9" s="244" customFormat="1" ht="18" customHeight="1" thickBot="1">
      <c r="A3" s="247" t="s">
        <v>1395</v>
      </c>
      <c r="B3" s="248">
        <f ca="1">ROUND(B2*10000/(IF(B1="",'数据-汇总表'!E3,INDIRECT("'数据-取费表'!k"&amp;$G$1))),0)</f>
        <v>3769</v>
      </c>
      <c r="C3" s="243" t="s">
        <v>2329</v>
      </c>
      <c r="D3" s="243"/>
      <c r="E3" s="243"/>
      <c r="F3" s="243"/>
      <c r="G3" s="243"/>
    </row>
    <row r="4" spans="1:9" s="252" customFormat="1" ht="15.75">
      <c r="A4" s="249" t="s">
        <v>2330</v>
      </c>
      <c r="B4" s="250"/>
      <c r="C4" s="250"/>
      <c r="D4" s="250"/>
      <c r="E4" s="250"/>
      <c r="F4" s="250"/>
      <c r="G4" s="251"/>
    </row>
    <row r="5" spans="1:9" s="258" customFormat="1" ht="13.5" customHeight="1">
      <c r="A5" s="299" t="s">
        <v>782</v>
      </c>
      <c r="B5" s="254" t="s">
        <v>2332</v>
      </c>
      <c r="C5" s="255">
        <f ca="1">C6+C7+C8</f>
        <v>1366</v>
      </c>
      <c r="D5" s="255" t="s">
        <v>2333</v>
      </c>
      <c r="E5" s="256" t="s">
        <v>2334</v>
      </c>
      <c r="F5" s="256" t="s">
        <v>2335</v>
      </c>
      <c r="G5" s="257"/>
    </row>
    <row r="6" spans="1:9" s="258" customFormat="1" ht="13.5" customHeight="1">
      <c r="A6" s="952" t="s">
        <v>791</v>
      </c>
      <c r="B6" s="259" t="s">
        <v>2337</v>
      </c>
      <c r="C6" s="260">
        <f>'土地比较法-住宅、综合'!F63</f>
        <v>746</v>
      </c>
      <c r="D6" s="261"/>
      <c r="E6" s="262"/>
      <c r="F6" s="262"/>
      <c r="G6" s="263"/>
    </row>
    <row r="7" spans="1:9" s="258" customFormat="1" ht="13.5" customHeight="1">
      <c r="A7" s="952" t="s">
        <v>792</v>
      </c>
      <c r="B7" s="259" t="s">
        <v>2339</v>
      </c>
      <c r="C7" s="264">
        <f>ROUND(C6*F7,0)</f>
        <v>23</v>
      </c>
      <c r="D7" s="264"/>
      <c r="E7" s="262"/>
      <c r="F7" s="265">
        <f>'数据-取费表'!B48+'数据-取费表'!B49</f>
        <v>3.0499999999999999E-2</v>
      </c>
      <c r="G7" s="263"/>
    </row>
    <row r="8" spans="1:9" s="267" customFormat="1">
      <c r="A8" s="952" t="s">
        <v>793</v>
      </c>
      <c r="B8" s="259" t="s">
        <v>2341</v>
      </c>
      <c r="C8" s="264">
        <f ca="1">IF(G8="已包含在土地购买价格中","0",IF(B1="",'数据-取费表'!B29,IF(G9="全部缴纳",C9+C10,H9)))</f>
        <v>597</v>
      </c>
      <c r="D8" s="266"/>
      <c r="E8" s="264"/>
      <c r="F8" s="265"/>
      <c r="G8" s="2551" t="s">
        <v>3190</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2" t="s">
        <v>3191</v>
      </c>
      <c r="H9" s="2963">
        <f ca="1">C10</f>
        <v>597</v>
      </c>
      <c r="I9" s="2553" t="s">
        <v>2343</v>
      </c>
    </row>
    <row r="10" spans="1:9" s="258" customFormat="1" ht="13.5" customHeight="1">
      <c r="A10" s="953" t="s">
        <v>801</v>
      </c>
      <c r="B10" s="268" t="s">
        <v>2344</v>
      </c>
      <c r="C10" s="269">
        <f ca="1">ROUND(D10*E10/10000,0)</f>
        <v>597</v>
      </c>
      <c r="D10" s="1035">
        <f ca="1">IF(B1="",'数据-汇总表'!E6,IF(INDIRECT("'数据-取费表'!c"&amp;$G$1)="住宅",INDIRECT("'数据-取费表'!s"&amp;$G$1),INDIRECT("'数据-取费表'!k"&amp;$G$1)+INDIRECT("'数据-取费表'!s"&amp;$G$1)))</f>
        <v>29858.400000000001</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29858.400000000001</v>
      </c>
      <c r="E19" s="255">
        <f>'数据-取费表'!B31</f>
        <v>150</v>
      </c>
      <c r="F19" s="275"/>
      <c r="G19" s="2551" t="s">
        <v>3192</v>
      </c>
    </row>
    <row r="20" spans="1:7" s="258" customFormat="1" ht="13.5" customHeight="1">
      <c r="A20" s="299" t="s">
        <v>2357</v>
      </c>
      <c r="B20" s="254" t="s">
        <v>2358</v>
      </c>
      <c r="C20" s="276">
        <f ca="1">ROUND((C5+C19)*F20,0)</f>
        <v>14</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129</v>
      </c>
      <c r="D22" s="279">
        <f ca="1">C26</f>
        <v>5.0000000000000001E-4</v>
      </c>
      <c r="E22" s="280" t="s">
        <v>2362</v>
      </c>
      <c r="F22" s="281">
        <f ca="1">'数据-取费表'!B40</f>
        <v>6.1500000000000006E-2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128</v>
      </c>
      <c r="D23" s="282"/>
      <c r="E23" s="282"/>
      <c r="F23" s="283"/>
      <c r="G23" s="284" t="s">
        <v>2368</v>
      </c>
    </row>
    <row r="24" spans="1:7" s="258" customFormat="1" ht="13.5" customHeight="1">
      <c r="A24" s="954" t="s">
        <v>792</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793</v>
      </c>
      <c r="B25" s="259" t="s">
        <v>2373</v>
      </c>
      <c r="C25" s="1358">
        <f ca="1">ROUND(IF('数据-取费表'!B22&lt;=1,C20*F22*'数据-取费表'!B23/2,C20*(POWER((1+F22),'数据-取费表'!B23/2)-1)),0)</f>
        <v>1</v>
      </c>
      <c r="D25" s="282"/>
      <c r="E25" s="285"/>
      <c r="F25" s="283"/>
      <c r="G25" s="286" t="s">
        <v>2374</v>
      </c>
    </row>
    <row r="26" spans="1:7" s="258" customFormat="1">
      <c r="A26" s="954" t="s">
        <v>795</v>
      </c>
      <c r="B26" s="259" t="s">
        <v>2375</v>
      </c>
      <c r="C26" s="282">
        <f ca="1">ROUND(IF('数据-取费表'!B22&lt;=1,F21*F22*'数据-取费表'!B23/2,F21*(POWER((1+F22),'数据-取费表'!B23/2)-1)),4)</f>
        <v>5.0000000000000001E-4</v>
      </c>
      <c r="D26" s="282"/>
      <c r="E26" s="285"/>
      <c r="F26" s="283"/>
      <c r="G26" s="287"/>
    </row>
    <row r="27" spans="1:7" s="258" customFormat="1" ht="24.75">
      <c r="A27" s="299" t="s">
        <v>2376</v>
      </c>
      <c r="B27" s="288" t="s">
        <v>2377</v>
      </c>
      <c r="C27" s="289">
        <f ca="1">C28</f>
        <v>41</v>
      </c>
      <c r="D27" s="279">
        <f ca="1">C29</f>
        <v>2.9999999999999997E-4</v>
      </c>
      <c r="E27" s="280" t="s">
        <v>2362</v>
      </c>
      <c r="F27" s="290">
        <f ca="1">IF(B1="",'数据-取费表'!Q16,INDIRECT("'数据-取费表'!q"&amp;$G$1))</f>
        <v>0.03</v>
      </c>
      <c r="G27" s="291" t="s">
        <v>2379</v>
      </c>
    </row>
    <row r="28" spans="1:7" s="258" customFormat="1" ht="13.5" customHeight="1">
      <c r="A28" s="954" t="s">
        <v>791</v>
      </c>
      <c r="B28" s="292" t="s">
        <v>2380</v>
      </c>
      <c r="C28" s="293">
        <f ca="1">ROUND((C5+C19+C20)*F27*'数据-取费表'!B21/'数据-取费表'!B20,0)</f>
        <v>41</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5.5E-2</v>
      </c>
      <c r="D30" s="280" t="s">
        <v>2362</v>
      </c>
      <c r="E30" s="285"/>
      <c r="F30" s="281">
        <f>'数据-取费表'!B41</f>
        <v>5.5000000000000007E-2</v>
      </c>
      <c r="G30" s="278" t="s">
        <v>2384</v>
      </c>
    </row>
    <row r="31" spans="1:7" ht="16.5" customHeight="1">
      <c r="A31" s="253">
        <v>1</v>
      </c>
      <c r="B31" s="254" t="s">
        <v>2385</v>
      </c>
      <c r="C31" s="255">
        <f ca="1">ROUND((C5+C19+C20+C22+C27)/(1-C21-D22-D27-C30),0)</f>
        <v>1659</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8249</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7465</v>
      </c>
      <c r="D34" s="261"/>
      <c r="E34" s="264"/>
      <c r="F34" s="301">
        <f ca="1">IF('数据-取费表'!B24=0,1,IF(B1="",'数据-取费表'!N16,INDIRECT("'数据-取费表'!n"&amp;$G$1)))</f>
        <v>1</v>
      </c>
      <c r="G34" s="263" t="s">
        <v>2390</v>
      </c>
    </row>
    <row r="35" spans="1:7" ht="13.5" customHeight="1">
      <c r="A35" s="954" t="s">
        <v>796</v>
      </c>
      <c r="B35" s="259" t="s">
        <v>2391</v>
      </c>
      <c r="C35" s="264">
        <f ca="1">ROUND(C34*F35,0)</f>
        <v>224</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2394</v>
      </c>
    </row>
    <row r="37" spans="1:7" s="302" customFormat="1" ht="13.5" customHeight="1">
      <c r="A37" s="954" t="s">
        <v>798</v>
      </c>
      <c r="B37" s="259" t="s">
        <v>2395</v>
      </c>
      <c r="C37" s="293">
        <f ca="1">ROUND(E37*D37*F34/10000,0)</f>
        <v>448</v>
      </c>
      <c r="D37" s="261">
        <f ca="1">D19</f>
        <v>29858.400000000001</v>
      </c>
      <c r="E37" s="293">
        <f>'数据-取费表'!B35</f>
        <v>150</v>
      </c>
      <c r="F37" s="303"/>
      <c r="G37" s="305" t="s">
        <v>2396</v>
      </c>
    </row>
    <row r="38" spans="1:7" ht="13.5" customHeight="1">
      <c r="A38" s="954" t="s">
        <v>799</v>
      </c>
      <c r="B38" s="259" t="s">
        <v>2397</v>
      </c>
      <c r="C38" s="264">
        <f ca="1">ROUND(C34*F38,0)</f>
        <v>112</v>
      </c>
      <c r="D38" s="264"/>
      <c r="E38" s="264"/>
      <c r="F38" s="303">
        <f>'数据-取费表'!B36</f>
        <v>1.4999999999999999E-2</v>
      </c>
      <c r="G38" s="263" t="s">
        <v>2392</v>
      </c>
    </row>
    <row r="39" spans="1:7" s="258" customFormat="1" ht="13.5" customHeight="1">
      <c r="A39" s="299" t="s">
        <v>2355</v>
      </c>
      <c r="B39" s="254" t="s">
        <v>2358</v>
      </c>
      <c r="C39" s="276">
        <f ca="1">ROUND(C33*F20,0)</f>
        <v>82</v>
      </c>
      <c r="D39" s="276"/>
      <c r="E39" s="276"/>
      <c r="F39" s="277"/>
      <c r="G39" s="278" t="s">
        <v>2400</v>
      </c>
    </row>
    <row r="40" spans="1:7" s="258" customFormat="1" ht="13.5" customHeight="1">
      <c r="A40" s="299" t="s">
        <v>2357</v>
      </c>
      <c r="B40" s="254" t="s">
        <v>2361</v>
      </c>
      <c r="C40" s="1731">
        <f>F21</f>
        <v>0.01</v>
      </c>
      <c r="D40" s="280" t="s">
        <v>2403</v>
      </c>
      <c r="E40" s="276"/>
      <c r="F40" s="277"/>
      <c r="G40" s="278" t="s">
        <v>2404</v>
      </c>
    </row>
    <row r="41" spans="1:7" s="258" customFormat="1" ht="13.5" customHeight="1">
      <c r="A41" s="299" t="s">
        <v>2360</v>
      </c>
      <c r="B41" s="254" t="s">
        <v>2365</v>
      </c>
      <c r="C41" s="276">
        <f ca="1">ROUND(SUM(C42:C43),0)</f>
        <v>382</v>
      </c>
      <c r="D41" s="279">
        <f ca="1">C44</f>
        <v>5.0000000000000001E-4</v>
      </c>
      <c r="E41" s="280" t="s">
        <v>2403</v>
      </c>
      <c r="F41" s="281"/>
      <c r="G41" s="278" t="str">
        <f>IF('数据-取费表'!B22&lt;=1,"单利计息","复利计息")</f>
        <v>复利计息</v>
      </c>
    </row>
    <row r="42" spans="1:7" ht="13.5" customHeight="1">
      <c r="A42" s="954" t="s">
        <v>791</v>
      </c>
      <c r="B42" s="259" t="s">
        <v>2367</v>
      </c>
      <c r="C42" s="282">
        <f ca="1">ROUND(IF('数据-取费表'!B22&lt;=1,C33*F22*'数据-取费表'!B21/2,C33*(POWER((1+F22),'数据-取费表'!B21/2)-1)),0)</f>
        <v>378</v>
      </c>
      <c r="D42" s="282"/>
      <c r="E42" s="282"/>
      <c r="F42" s="283"/>
      <c r="G42" s="3202" t="s">
        <v>2408</v>
      </c>
    </row>
    <row r="43" spans="1:7" ht="13.5" customHeight="1">
      <c r="A43" s="954" t="s">
        <v>792</v>
      </c>
      <c r="B43" s="259" t="s">
        <v>2370</v>
      </c>
      <c r="C43" s="282">
        <f ca="1">ROUND(IF('数据-取费表'!B22&lt;=1,C39*F22*'数据-取费表'!B21/2,C39*(POWER((1+F22),'数据-取费表'!B21/2)-1)),0)</f>
        <v>4</v>
      </c>
      <c r="D43" s="282"/>
      <c r="E43" s="282"/>
      <c r="F43" s="283"/>
      <c r="G43" s="3203"/>
    </row>
    <row r="44" spans="1:7" ht="13.5" customHeight="1">
      <c r="A44" s="954" t="s">
        <v>793</v>
      </c>
      <c r="B44" s="259" t="s">
        <v>2373</v>
      </c>
      <c r="C44" s="282">
        <f ca="1">ROUND(IF('数据-取费表'!B22&lt;=1,C40*F22*'数据-取费表'!B21/2,C40*(POWER((1+F22),'数据-取费表'!B21/2)-1)),4)</f>
        <v>5.0000000000000001E-4</v>
      </c>
      <c r="D44" s="282"/>
      <c r="E44" s="282"/>
      <c r="F44" s="283"/>
      <c r="G44" s="3204"/>
    </row>
    <row r="45" spans="1:7" s="258" customFormat="1" ht="13.5" customHeight="1">
      <c r="A45" s="299" t="s">
        <v>2364</v>
      </c>
      <c r="B45" s="288" t="s">
        <v>2377</v>
      </c>
      <c r="C45" s="289">
        <f ca="1">C46</f>
        <v>250</v>
      </c>
      <c r="D45" s="279">
        <f ca="1">C47</f>
        <v>2.9999999999999997E-4</v>
      </c>
      <c r="E45" s="280" t="s">
        <v>2403</v>
      </c>
      <c r="F45" s="290"/>
      <c r="G45" s="291" t="s">
        <v>2412</v>
      </c>
    </row>
    <row r="46" spans="1:7" s="258" customFormat="1" ht="13.5" customHeight="1">
      <c r="A46" s="954" t="s">
        <v>791</v>
      </c>
      <c r="B46" s="292" t="s">
        <v>2413</v>
      </c>
      <c r="C46" s="293">
        <f ca="1">ROUND((C33+C39)*F27,0)</f>
        <v>250</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1731">
        <f>ROUND(F30/(1+'数据-取费表'!C42),4)</f>
        <v>5.5E-2</v>
      </c>
      <c r="D48" s="280" t="s">
        <v>2403</v>
      </c>
      <c r="E48" s="276"/>
      <c r="F48" s="281"/>
      <c r="G48" s="278" t="s">
        <v>2416</v>
      </c>
    </row>
    <row r="49" spans="1:7" ht="16.5" customHeight="1">
      <c r="A49" s="299" t="s">
        <v>2382</v>
      </c>
      <c r="B49" s="254" t="s">
        <v>2417</v>
      </c>
      <c r="C49" s="276">
        <f ca="1">ROUND((C33+C39+C41+C45)/(1-C40-D41-D45-C48),0)</f>
        <v>9594</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9594</v>
      </c>
      <c r="D51" s="276"/>
      <c r="E51" s="276"/>
      <c r="F51" s="308"/>
      <c r="G51" s="278" t="s">
        <v>2424</v>
      </c>
    </row>
    <row r="52" spans="1:7" s="252" customFormat="1" ht="16.5" thickBot="1">
      <c r="A52" s="309" t="s">
        <v>2425</v>
      </c>
      <c r="B52" s="310"/>
      <c r="C52" s="311">
        <f ca="1">C31+C51</f>
        <v>11253</v>
      </c>
      <c r="D52" s="310"/>
      <c r="E52" s="310"/>
      <c r="F52" s="310"/>
      <c r="G52" s="312"/>
    </row>
    <row r="55" spans="1:7" ht="15">
      <c r="B55" s="314" t="s">
        <v>2426</v>
      </c>
      <c r="C55" s="315"/>
    </row>
    <row r="56" spans="1:7">
      <c r="B56" s="317" t="s">
        <v>1513</v>
      </c>
      <c r="C56" s="319">
        <f ca="1">1-C57</f>
        <v>0.14700000000000002</v>
      </c>
      <c r="E56" s="2965">
        <f ca="1">B3*C56</f>
        <v>554.04300000000012</v>
      </c>
    </row>
    <row r="57" spans="1:7">
      <c r="B57" s="317" t="s">
        <v>1514</v>
      </c>
      <c r="C57" s="318">
        <f ca="1">ROUND(C51/C52,3)</f>
        <v>0.85299999999999998</v>
      </c>
      <c r="E57" s="2964">
        <f ca="1">B3-E56</f>
        <v>3214.9569999999999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55" sqref="F5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3187</v>
      </c>
      <c r="C1" s="242"/>
      <c r="D1" s="242"/>
      <c r="E1" s="242"/>
      <c r="F1" s="242"/>
      <c r="G1" s="1382">
        <f>MATCH(B1,'数据-取费表'!A6:A16,0)+5</f>
        <v>8</v>
      </c>
    </row>
    <row r="2" spans="1:9" s="244" customFormat="1" ht="18" customHeight="1">
      <c r="A2" s="245" t="s">
        <v>1394</v>
      </c>
      <c r="B2" s="246">
        <f ca="1">IF(D2="——",C52,C52-E2)</f>
        <v>4188</v>
      </c>
      <c r="C2" s="243" t="s">
        <v>2327</v>
      </c>
      <c r="D2" s="2548" t="s">
        <v>70</v>
      </c>
      <c r="E2" s="1443" t="e">
        <f ca="1">SUMIF(INDIRECT("'"&amp;G2&amp;"'"&amp;"!A:A"),"承租人权益价值",INDIRECT("'"&amp;G2&amp;"'"&amp;"!c:c"))</f>
        <v>#REF!</v>
      </c>
      <c r="F2" s="2549" t="s">
        <v>2327</v>
      </c>
      <c r="G2" s="2550"/>
    </row>
    <row r="3" spans="1:9" s="244" customFormat="1" ht="18" customHeight="1" thickBot="1">
      <c r="A3" s="247" t="s">
        <v>1395</v>
      </c>
      <c r="B3" s="248">
        <f ca="1">ROUND(B2*10000/(IF(B1="",'数据-汇总表'!E3,INDIRECT("'数据-取费表'!k"&amp;$G$1))),0)</f>
        <v>3846</v>
      </c>
      <c r="C3" s="243" t="s">
        <v>2329</v>
      </c>
      <c r="D3" s="243"/>
      <c r="E3" s="243"/>
      <c r="F3" s="243"/>
      <c r="G3" s="243"/>
    </row>
    <row r="4" spans="1:9" s="252" customFormat="1" ht="15.75">
      <c r="A4" s="249" t="s">
        <v>2330</v>
      </c>
      <c r="B4" s="250"/>
      <c r="C4" s="250"/>
      <c r="D4" s="250"/>
      <c r="E4" s="250"/>
      <c r="F4" s="250"/>
      <c r="G4" s="251"/>
    </row>
    <row r="5" spans="1:9" s="258" customFormat="1" ht="13.5" customHeight="1">
      <c r="A5" s="299" t="s">
        <v>782</v>
      </c>
      <c r="B5" s="254" t="s">
        <v>2332</v>
      </c>
      <c r="C5" s="255">
        <f ca="1">C6+C7+C8</f>
        <v>569</v>
      </c>
      <c r="D5" s="255" t="s">
        <v>2333</v>
      </c>
      <c r="E5" s="256" t="s">
        <v>2334</v>
      </c>
      <c r="F5" s="256" t="s">
        <v>2335</v>
      </c>
      <c r="G5" s="257"/>
    </row>
    <row r="6" spans="1:9" s="258" customFormat="1" ht="13.5" customHeight="1">
      <c r="A6" s="952" t="s">
        <v>791</v>
      </c>
      <c r="B6" s="259" t="s">
        <v>2337</v>
      </c>
      <c r="C6" s="260">
        <f>'土地比较法-住宅、综合'!F62</f>
        <v>341</v>
      </c>
      <c r="D6" s="261"/>
      <c r="E6" s="262"/>
      <c r="F6" s="262"/>
      <c r="G6" s="263"/>
    </row>
    <row r="7" spans="1:9" s="258" customFormat="1" ht="13.5" customHeight="1">
      <c r="A7" s="952" t="s">
        <v>792</v>
      </c>
      <c r="B7" s="259" t="s">
        <v>2339</v>
      </c>
      <c r="C7" s="264">
        <f>ROUND(C6*F7,0)</f>
        <v>10</v>
      </c>
      <c r="D7" s="264"/>
      <c r="E7" s="262"/>
      <c r="F7" s="265">
        <f>'数据-取费表'!B48+'数据-取费表'!B49</f>
        <v>3.0499999999999999E-2</v>
      </c>
      <c r="G7" s="263"/>
    </row>
    <row r="8" spans="1:9" s="267" customFormat="1">
      <c r="A8" s="952" t="s">
        <v>793</v>
      </c>
      <c r="B8" s="259" t="s">
        <v>2341</v>
      </c>
      <c r="C8" s="264">
        <f ca="1">IF(G8="已包含在土地购买价格中","0",IF(B1="",'数据-取费表'!B29,IF(G9="全部缴纳",C9+C10,H9)))</f>
        <v>218</v>
      </c>
      <c r="D8" s="266"/>
      <c r="E8" s="264"/>
      <c r="F8" s="265"/>
      <c r="G8" s="2551" t="s">
        <v>3190</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2" t="s">
        <v>3191</v>
      </c>
      <c r="H9" s="2963">
        <f ca="1">C10</f>
        <v>218</v>
      </c>
      <c r="I9" s="2553" t="s">
        <v>2343</v>
      </c>
    </row>
    <row r="10" spans="1:9" s="258" customFormat="1" ht="13.5" customHeight="1">
      <c r="A10" s="953" t="s">
        <v>801</v>
      </c>
      <c r="B10" s="268" t="s">
        <v>2344</v>
      </c>
      <c r="C10" s="269">
        <f ca="1">ROUND(D10*E10/10000,0)</f>
        <v>218</v>
      </c>
      <c r="D10" s="1035">
        <f ca="1">IF(B1="",'数据-汇总表'!E6,IF(INDIRECT("'数据-取费表'!c"&amp;$G$1)="住宅",INDIRECT("'数据-取费表'!s"&amp;$G$1),INDIRECT("'数据-取费表'!k"&amp;$G$1)+INDIRECT("'数据-取费表'!s"&amp;$G$1)))</f>
        <v>10888.3</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10888.3</v>
      </c>
      <c r="E19" s="255">
        <f>'数据-取费表'!B31</f>
        <v>150</v>
      </c>
      <c r="F19" s="275"/>
      <c r="G19" s="2551" t="s">
        <v>3192</v>
      </c>
    </row>
    <row r="20" spans="1:7" s="258" customFormat="1" ht="13.5" customHeight="1">
      <c r="A20" s="299" t="s">
        <v>2357</v>
      </c>
      <c r="B20" s="254" t="s">
        <v>2358</v>
      </c>
      <c r="C20" s="276">
        <f ca="1">ROUND((C5+C19)*F20,0)</f>
        <v>6</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53</v>
      </c>
      <c r="D22" s="279">
        <f ca="1">C26</f>
        <v>5.0000000000000001E-4</v>
      </c>
      <c r="E22" s="280" t="s">
        <v>2362</v>
      </c>
      <c r="F22" s="281">
        <f ca="1">'数据-取费表'!B40</f>
        <v>6.1500000000000006E-2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53</v>
      </c>
      <c r="D23" s="282"/>
      <c r="E23" s="282"/>
      <c r="F23" s="283"/>
      <c r="G23" s="284" t="s">
        <v>2368</v>
      </c>
    </row>
    <row r="24" spans="1:7" s="258" customFormat="1" ht="13.5" customHeight="1">
      <c r="A24" s="954" t="s">
        <v>792</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793</v>
      </c>
      <c r="B25" s="259" t="s">
        <v>2373</v>
      </c>
      <c r="C25" s="1358">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5.0000000000000001E-4</v>
      </c>
      <c r="D26" s="282"/>
      <c r="E26" s="285"/>
      <c r="F26" s="283"/>
      <c r="G26" s="287"/>
    </row>
    <row r="27" spans="1:7" s="258" customFormat="1" ht="24.75">
      <c r="A27" s="299" t="s">
        <v>2376</v>
      </c>
      <c r="B27" s="288" t="s">
        <v>2377</v>
      </c>
      <c r="C27" s="289">
        <f ca="1">C28</f>
        <v>17</v>
      </c>
      <c r="D27" s="279">
        <f ca="1">C29</f>
        <v>2.9999999999999997E-4</v>
      </c>
      <c r="E27" s="280" t="s">
        <v>2362</v>
      </c>
      <c r="F27" s="290">
        <f ca="1">IF(B1="",'数据-取费表'!Q16,INDIRECT("'数据-取费表'!q"&amp;$G$1))</f>
        <v>0.03</v>
      </c>
      <c r="G27" s="291" t="s">
        <v>2379</v>
      </c>
    </row>
    <row r="28" spans="1:7" s="258" customFormat="1" ht="13.5" customHeight="1">
      <c r="A28" s="954" t="s">
        <v>791</v>
      </c>
      <c r="B28" s="292" t="s">
        <v>2380</v>
      </c>
      <c r="C28" s="293">
        <f ca="1">ROUND((C5+C19+C20)*F27*'数据-取费表'!B21/'数据-取费表'!B20,0)</f>
        <v>17</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5.5E-2</v>
      </c>
      <c r="D30" s="280" t="s">
        <v>2362</v>
      </c>
      <c r="E30" s="285"/>
      <c r="F30" s="281">
        <f>'数据-取费表'!B41</f>
        <v>5.5000000000000007E-2</v>
      </c>
      <c r="G30" s="278" t="s">
        <v>2384</v>
      </c>
    </row>
    <row r="31" spans="1:7" ht="16.5" customHeight="1">
      <c r="A31" s="253">
        <v>1</v>
      </c>
      <c r="B31" s="254" t="s">
        <v>2385</v>
      </c>
      <c r="C31" s="255">
        <f ca="1">ROUND((C5+C19+C20+C22+C27)/(1-C21-D22-D27-C30),0)</f>
        <v>690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3008</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2722</v>
      </c>
      <c r="D34" s="261"/>
      <c r="E34" s="264"/>
      <c r="F34" s="301">
        <f ca="1">IF('数据-取费表'!B24=0,1,IF(B1="",'数据-取费表'!N16,INDIRECT("'数据-取费表'!n"&amp;$G$1)))</f>
        <v>1</v>
      </c>
      <c r="G34" s="263" t="s">
        <v>2390</v>
      </c>
    </row>
    <row r="35" spans="1:7" ht="13.5" customHeight="1">
      <c r="A35" s="954" t="s">
        <v>796</v>
      </c>
      <c r="B35" s="259" t="s">
        <v>2391</v>
      </c>
      <c r="C35" s="264">
        <f ca="1">ROUND(C34*F35,0)</f>
        <v>82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2394</v>
      </c>
    </row>
    <row r="37" spans="1:7" s="302" customFormat="1" ht="13.5" customHeight="1">
      <c r="A37" s="954" t="s">
        <v>798</v>
      </c>
      <c r="B37" s="259" t="s">
        <v>2395</v>
      </c>
      <c r="C37" s="293">
        <f ca="1">ROUND(E37*D37*F34/10000,0)</f>
        <v>163</v>
      </c>
      <c r="D37" s="261">
        <f ca="1">D19</f>
        <v>10888.3</v>
      </c>
      <c r="E37" s="293">
        <f>'数据-取费表'!B35</f>
        <v>150</v>
      </c>
      <c r="F37" s="303"/>
      <c r="G37" s="305" t="s">
        <v>2396</v>
      </c>
    </row>
    <row r="38" spans="1:7" ht="13.5" customHeight="1">
      <c r="A38" s="954" t="s">
        <v>799</v>
      </c>
      <c r="B38" s="259" t="s">
        <v>2397</v>
      </c>
      <c r="C38" s="264">
        <f ca="1">ROUND(C34*F38,0)</f>
        <v>41</v>
      </c>
      <c r="D38" s="264"/>
      <c r="E38" s="264"/>
      <c r="F38" s="303">
        <f>'数据-取费表'!B36</f>
        <v>1.4999999999999999E-2</v>
      </c>
      <c r="G38" s="263" t="s">
        <v>2392</v>
      </c>
    </row>
    <row r="39" spans="1:7" s="258" customFormat="1" ht="13.5" customHeight="1">
      <c r="A39" s="299" t="s">
        <v>2355</v>
      </c>
      <c r="B39" s="254" t="s">
        <v>2358</v>
      </c>
      <c r="C39" s="276">
        <f ca="1">ROUND(C33*F20,0)</f>
        <v>30</v>
      </c>
      <c r="D39" s="276"/>
      <c r="E39" s="276"/>
      <c r="F39" s="277"/>
      <c r="G39" s="278" t="s">
        <v>2400</v>
      </c>
    </row>
    <row r="40" spans="1:7" s="258" customFormat="1" ht="13.5" customHeight="1">
      <c r="A40" s="299" t="s">
        <v>2357</v>
      </c>
      <c r="B40" s="254" t="s">
        <v>2361</v>
      </c>
      <c r="C40" s="1731">
        <f>F21</f>
        <v>0.01</v>
      </c>
      <c r="D40" s="280" t="s">
        <v>2403</v>
      </c>
      <c r="E40" s="276"/>
      <c r="F40" s="277"/>
      <c r="G40" s="278" t="s">
        <v>2404</v>
      </c>
    </row>
    <row r="41" spans="1:7" s="258" customFormat="1" ht="13.5" customHeight="1">
      <c r="A41" s="299" t="s">
        <v>2360</v>
      </c>
      <c r="B41" s="254" t="s">
        <v>2365</v>
      </c>
      <c r="C41" s="276">
        <f ca="1">ROUND(SUM(C42:C43),0)</f>
        <v>139</v>
      </c>
      <c r="D41" s="279">
        <f ca="1">C44</f>
        <v>5.0000000000000001E-4</v>
      </c>
      <c r="E41" s="280" t="s">
        <v>2403</v>
      </c>
      <c r="F41" s="281"/>
      <c r="G41" s="278" t="str">
        <f>IF('数据-取费表'!B22&lt;=1,"单利计息","复利计息")</f>
        <v>复利计息</v>
      </c>
    </row>
    <row r="42" spans="1:7" ht="13.5" customHeight="1">
      <c r="A42" s="954" t="s">
        <v>791</v>
      </c>
      <c r="B42" s="259" t="s">
        <v>2367</v>
      </c>
      <c r="C42" s="282">
        <f ca="1">ROUND(IF('数据-取费表'!B22&lt;=1,C33*F22*'数据-取费表'!B21/2,C33*(POWER((1+F22),'数据-取费表'!B21/2)-1)),0)</f>
        <v>138</v>
      </c>
      <c r="D42" s="282"/>
      <c r="E42" s="282"/>
      <c r="F42" s="283"/>
      <c r="G42" s="3202" t="s">
        <v>2408</v>
      </c>
    </row>
    <row r="43" spans="1:7" ht="13.5" customHeight="1">
      <c r="A43" s="954" t="s">
        <v>792</v>
      </c>
      <c r="B43" s="259" t="s">
        <v>2370</v>
      </c>
      <c r="C43" s="282">
        <f ca="1">ROUND(IF('数据-取费表'!B22&lt;=1,C39*F22*'数据-取费表'!B21/2,C39*(POWER((1+F22),'数据-取费表'!B21/2)-1)),0)</f>
        <v>1</v>
      </c>
      <c r="D43" s="282"/>
      <c r="E43" s="282"/>
      <c r="F43" s="283"/>
      <c r="G43" s="3203"/>
    </row>
    <row r="44" spans="1:7" ht="13.5" customHeight="1">
      <c r="A44" s="954" t="s">
        <v>793</v>
      </c>
      <c r="B44" s="259" t="s">
        <v>2373</v>
      </c>
      <c r="C44" s="282">
        <f ca="1">ROUND(IF('数据-取费表'!B22&lt;=1,C40*F22*'数据-取费表'!B21/2,C40*(POWER((1+F22),'数据-取费表'!B21/2)-1)),4)</f>
        <v>5.0000000000000001E-4</v>
      </c>
      <c r="D44" s="282"/>
      <c r="E44" s="282"/>
      <c r="F44" s="283"/>
      <c r="G44" s="3204"/>
    </row>
    <row r="45" spans="1:7" s="258" customFormat="1" ht="13.5" customHeight="1">
      <c r="A45" s="299" t="s">
        <v>2364</v>
      </c>
      <c r="B45" s="288" t="s">
        <v>2377</v>
      </c>
      <c r="C45" s="289">
        <f ca="1">C46</f>
        <v>91</v>
      </c>
      <c r="D45" s="279">
        <f ca="1">C47</f>
        <v>2.9999999999999997E-4</v>
      </c>
      <c r="E45" s="280" t="s">
        <v>2403</v>
      </c>
      <c r="F45" s="290"/>
      <c r="G45" s="291" t="s">
        <v>2412</v>
      </c>
    </row>
    <row r="46" spans="1:7" s="258" customFormat="1" ht="13.5" customHeight="1">
      <c r="A46" s="954" t="s">
        <v>791</v>
      </c>
      <c r="B46" s="292" t="s">
        <v>2413</v>
      </c>
      <c r="C46" s="293">
        <f ca="1">ROUND((C33+C39)*F27,0)</f>
        <v>91</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1731">
        <f>ROUND(F30/(1+'数据-取费表'!C42),4)</f>
        <v>5.5E-2</v>
      </c>
      <c r="D48" s="280" t="s">
        <v>2403</v>
      </c>
      <c r="E48" s="276"/>
      <c r="F48" s="281"/>
      <c r="G48" s="278" t="s">
        <v>2416</v>
      </c>
    </row>
    <row r="49" spans="1:7" ht="16.5" customHeight="1">
      <c r="A49" s="299" t="s">
        <v>2382</v>
      </c>
      <c r="B49" s="254" t="s">
        <v>2417</v>
      </c>
      <c r="C49" s="276">
        <f ca="1">ROUND((C33+C39+C41+C45)/(1-C40-D41-D45-C48),0)</f>
        <v>3498</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3498</v>
      </c>
      <c r="D51" s="276"/>
      <c r="E51" s="276"/>
      <c r="F51" s="308"/>
      <c r="G51" s="278" t="s">
        <v>2424</v>
      </c>
    </row>
    <row r="52" spans="1:7" s="252" customFormat="1" ht="16.5" thickBot="1">
      <c r="A52" s="309" t="s">
        <v>2425</v>
      </c>
      <c r="B52" s="310"/>
      <c r="C52" s="311">
        <f ca="1">C31+C51</f>
        <v>4188</v>
      </c>
      <c r="D52" s="310"/>
      <c r="E52" s="310"/>
      <c r="F52" s="310"/>
      <c r="G52" s="312"/>
    </row>
    <row r="55" spans="1:7" ht="15">
      <c r="B55" s="314" t="s">
        <v>2426</v>
      </c>
      <c r="C55" s="315"/>
    </row>
    <row r="56" spans="1:7">
      <c r="B56" s="317" t="s">
        <v>1513</v>
      </c>
      <c r="C56" s="319">
        <f ca="1">1-C57</f>
        <v>0.16500000000000004</v>
      </c>
      <c r="E56" s="2965">
        <f ca="1">C56*B3</f>
        <v>634.59000000000015</v>
      </c>
    </row>
    <row r="57" spans="1:7">
      <c r="B57" s="317" t="s">
        <v>1514</v>
      </c>
      <c r="C57" s="318">
        <f ca="1">ROUND(C51/C52,3)</f>
        <v>0.83499999999999996</v>
      </c>
      <c r="E57" s="2965">
        <f ca="1">B3-E56</f>
        <v>3211.41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2525</v>
      </c>
      <c r="B1" s="2563"/>
      <c r="C1" s="2563"/>
      <c r="D1" s="2563"/>
      <c r="E1" s="2564"/>
    </row>
    <row r="2" spans="1:6" ht="15.75">
      <c r="A2" s="2565" t="s">
        <v>2326</v>
      </c>
      <c r="B2" s="2566">
        <f ca="1">SUMIF(B6:B13,"&lt;&gt;#ref!",B6:B13)</f>
        <v>0</v>
      </c>
      <c r="C2" s="2567" t="s">
        <v>2518</v>
      </c>
      <c r="D2" s="2568" t="s">
        <v>2519</v>
      </c>
      <c r="E2" s="2569">
        <f>SUM(E6:E13)</f>
        <v>0</v>
      </c>
    </row>
    <row r="3" spans="1:6" ht="15.75">
      <c r="A3" s="2565" t="s">
        <v>1395</v>
      </c>
      <c r="B3" s="2566" t="e">
        <f ca="1">ROUND(B2*10000/E2,0)</f>
        <v>#DIV/0!</v>
      </c>
      <c r="C3" s="2567" t="s">
        <v>2526</v>
      </c>
      <c r="D3" s="2570"/>
      <c r="E3" s="2571"/>
    </row>
    <row r="4" spans="1:6" ht="15.75">
      <c r="A4" s="2572"/>
      <c r="B4" s="2570"/>
      <c r="C4" s="2570"/>
      <c r="D4" s="2570"/>
      <c r="E4" s="2571"/>
    </row>
    <row r="5" spans="1:6" ht="15">
      <c r="A5" s="2573" t="s">
        <v>2520</v>
      </c>
      <c r="B5" s="3221" t="s">
        <v>2521</v>
      </c>
      <c r="C5" s="3221"/>
      <c r="D5" s="2574"/>
      <c r="E5" s="2575" t="s">
        <v>2522</v>
      </c>
      <c r="F5" s="2576" t="s">
        <v>2523</v>
      </c>
    </row>
    <row r="6" spans="1:6">
      <c r="A6" s="2577">
        <f>'数据-取费表'!AN6</f>
        <v>0</v>
      </c>
      <c r="B6" s="2576" t="e">
        <f ca="1">IF(F6="是",'数据-取费表'!AO6,0)</f>
        <v>#REF!</v>
      </c>
      <c r="C6" s="2567" t="s">
        <v>2518</v>
      </c>
      <c r="D6" s="2570"/>
      <c r="E6" s="2578">
        <f>IF(OR(A6=0,F6="否"),0,'数据-取费表'!K6+'数据-取费表'!S6)</f>
        <v>0</v>
      </c>
      <c r="F6" s="2579" t="s">
        <v>2524</v>
      </c>
    </row>
    <row r="7" spans="1:6">
      <c r="A7" s="2577">
        <f>'数据-取费表'!AN7</f>
        <v>0</v>
      </c>
      <c r="B7" s="2576" t="e">
        <f ca="1">IF(F7="是",'数据-取费表'!AO7,0)</f>
        <v>#REF!</v>
      </c>
      <c r="C7" s="2567" t="s">
        <v>2518</v>
      </c>
      <c r="D7" s="2570"/>
      <c r="E7" s="2578">
        <f>IF(OR(A7=0,F7="否"),0,'数据-取费表'!K7+'数据-取费表'!S7)</f>
        <v>0</v>
      </c>
      <c r="F7" s="2579" t="s">
        <v>2524</v>
      </c>
    </row>
    <row r="8" spans="1:6">
      <c r="A8" s="2577">
        <f>'数据-取费表'!AN8</f>
        <v>0</v>
      </c>
      <c r="B8" s="2576" t="e">
        <f ca="1">IF(F8="是",'数据-取费表'!AO8,0)</f>
        <v>#REF!</v>
      </c>
      <c r="C8" s="2567" t="s">
        <v>2518</v>
      </c>
      <c r="D8" s="2570"/>
      <c r="E8" s="2578">
        <f>IF(OR(A8=0,F8="否"),0,'数据-取费表'!K8+'数据-取费表'!S8)</f>
        <v>0</v>
      </c>
      <c r="F8" s="2579" t="s">
        <v>2524</v>
      </c>
    </row>
    <row r="9" spans="1:6">
      <c r="A9" s="2577">
        <f>'数据-取费表'!AN9</f>
        <v>0</v>
      </c>
      <c r="B9" s="2576" t="e">
        <f ca="1">IF(F9="是",'数据-取费表'!AO9,0)</f>
        <v>#REF!</v>
      </c>
      <c r="C9" s="2567" t="s">
        <v>2518</v>
      </c>
      <c r="D9" s="2570"/>
      <c r="E9" s="2578">
        <f>IF(OR(A9=0,F9="否"),0,'数据-取费表'!K9+'数据-取费表'!S9)</f>
        <v>0</v>
      </c>
      <c r="F9" s="2579" t="s">
        <v>2524</v>
      </c>
    </row>
    <row r="10" spans="1:6">
      <c r="A10" s="2577">
        <f>'数据-取费表'!AN10</f>
        <v>0</v>
      </c>
      <c r="B10" s="2576" t="e">
        <f ca="1">IF(F10="是",'数据-取费表'!AO10,0)</f>
        <v>#REF!</v>
      </c>
      <c r="C10" s="2567" t="s">
        <v>2518</v>
      </c>
      <c r="D10" s="2570"/>
      <c r="E10" s="2578">
        <f>IF(OR(A10=0,F10="否"),0,'数据-取费表'!K10+'数据-取费表'!S10)</f>
        <v>0</v>
      </c>
      <c r="F10" s="2579" t="s">
        <v>2524</v>
      </c>
    </row>
    <row r="11" spans="1:6">
      <c r="A11" s="2577">
        <f>'数据-取费表'!AN11</f>
        <v>0</v>
      </c>
      <c r="B11" s="2576" t="e">
        <f ca="1">IF(F11="是",'数据-取费表'!AO11,0)</f>
        <v>#REF!</v>
      </c>
      <c r="C11" s="2567" t="s">
        <v>2518</v>
      </c>
      <c r="D11" s="2570"/>
      <c r="E11" s="2578">
        <f>IF(OR(A11=0,F11="否"),0,'数据-取费表'!K11+'数据-取费表'!S11)</f>
        <v>0</v>
      </c>
      <c r="F11" s="2579" t="s">
        <v>2524</v>
      </c>
    </row>
    <row r="12" spans="1:6">
      <c r="A12" s="2577">
        <f>'数据-取费表'!AN12</f>
        <v>0</v>
      </c>
      <c r="B12" s="2576" t="e">
        <f ca="1">IF(F12="是",'数据-取费表'!AO12,0)</f>
        <v>#REF!</v>
      </c>
      <c r="C12" s="2567" t="s">
        <v>2518</v>
      </c>
      <c r="D12" s="2570"/>
      <c r="E12" s="2578">
        <f>IF(OR(A12=0,F12="否"),0,'数据-取费表'!K12+'数据-取费表'!S12)</f>
        <v>0</v>
      </c>
      <c r="F12" s="2579" t="s">
        <v>2524</v>
      </c>
    </row>
    <row r="13" spans="1:6" ht="1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8" t="s">
        <v>1076</v>
      </c>
      <c r="B1" s="3239"/>
      <c r="C1" s="3240"/>
      <c r="D1" s="3241">
        <f>SUM(I10,I15,I20,I21,I23)</f>
        <v>0</v>
      </c>
      <c r="E1" s="3241"/>
      <c r="F1" s="3241"/>
      <c r="G1" s="3241"/>
      <c r="H1" s="3241"/>
      <c r="I1" s="3242"/>
    </row>
    <row r="2" spans="1:9">
      <c r="A2" s="3228" t="s">
        <v>1077</v>
      </c>
      <c r="B2" s="3229" t="s">
        <v>1078</v>
      </c>
      <c r="C2" s="3229"/>
      <c r="D2" s="1304" t="s">
        <v>1079</v>
      </c>
      <c r="E2" s="1304" t="s">
        <v>1080</v>
      </c>
      <c r="F2" s="1304" t="s">
        <v>1081</v>
      </c>
      <c r="G2" s="1304" t="s">
        <v>1082</v>
      </c>
      <c r="H2" s="1304" t="s">
        <v>1083</v>
      </c>
      <c r="I2" s="1305" t="s">
        <v>1084</v>
      </c>
    </row>
    <row r="3" spans="1:9">
      <c r="A3" s="3228"/>
      <c r="B3" s="3229" t="s">
        <v>1085</v>
      </c>
      <c r="C3" s="3229"/>
      <c r="D3" s="1306"/>
      <c r="E3" s="1304"/>
      <c r="F3" s="1307"/>
      <c r="G3" s="1307"/>
      <c r="H3" s="1308"/>
      <c r="I3" s="1309">
        <f>ROUND(D3*E3*F3*G3*H3/10000,0)</f>
        <v>0</v>
      </c>
    </row>
    <row r="4" spans="1:9">
      <c r="A4" s="3228"/>
      <c r="B4" s="3229" t="s">
        <v>1086</v>
      </c>
      <c r="C4" s="3229"/>
      <c r="D4" s="1306"/>
      <c r="E4" s="1304"/>
      <c r="F4" s="1307"/>
      <c r="G4" s="1307"/>
      <c r="H4" s="1308"/>
      <c r="I4" s="1309">
        <f t="shared" ref="I4:I9" si="0">ROUND(D4*E4*F4*G4*H4/10000,0)</f>
        <v>0</v>
      </c>
    </row>
    <row r="5" spans="1:9">
      <c r="A5" s="3228"/>
      <c r="B5" s="3229" t="s">
        <v>1087</v>
      </c>
      <c r="C5" s="3229"/>
      <c r="D5" s="1306"/>
      <c r="E5" s="1304"/>
      <c r="F5" s="1307"/>
      <c r="G5" s="1307"/>
      <c r="H5" s="1308"/>
      <c r="I5" s="1309">
        <f t="shared" si="0"/>
        <v>0</v>
      </c>
    </row>
    <row r="6" spans="1:9">
      <c r="A6" s="3228"/>
      <c r="B6" s="3229" t="s">
        <v>1088</v>
      </c>
      <c r="C6" s="3229"/>
      <c r="D6" s="1306"/>
      <c r="E6" s="1304"/>
      <c r="F6" s="1307"/>
      <c r="G6" s="1307"/>
      <c r="H6" s="1308"/>
      <c r="I6" s="1309">
        <f t="shared" si="0"/>
        <v>0</v>
      </c>
    </row>
    <row r="7" spans="1:9">
      <c r="A7" s="3228"/>
      <c r="B7" s="3229" t="s">
        <v>1089</v>
      </c>
      <c r="C7" s="3229"/>
      <c r="D7" s="1306"/>
      <c r="E7" s="1304"/>
      <c r="F7" s="1307"/>
      <c r="G7" s="1307"/>
      <c r="H7" s="1308"/>
      <c r="I7" s="1309">
        <f t="shared" si="0"/>
        <v>0</v>
      </c>
    </row>
    <row r="8" spans="1:9">
      <c r="A8" s="3228"/>
      <c r="B8" s="3229" t="s">
        <v>1090</v>
      </c>
      <c r="C8" s="3229"/>
      <c r="D8" s="1306"/>
      <c r="E8" s="1304"/>
      <c r="F8" s="1307"/>
      <c r="G8" s="1307"/>
      <c r="H8" s="1308"/>
      <c r="I8" s="1309">
        <f t="shared" si="0"/>
        <v>0</v>
      </c>
    </row>
    <row r="9" spans="1:9">
      <c r="A9" s="3228"/>
      <c r="B9" s="3229" t="s">
        <v>1091</v>
      </c>
      <c r="C9" s="3229"/>
      <c r="D9" s="1306"/>
      <c r="E9" s="1304"/>
      <c r="F9" s="1307"/>
      <c r="G9" s="1307"/>
      <c r="H9" s="1308"/>
      <c r="I9" s="1309">
        <f t="shared" si="0"/>
        <v>0</v>
      </c>
    </row>
    <row r="10" spans="1:9">
      <c r="A10" s="3228"/>
      <c r="B10" s="3230" t="s">
        <v>1092</v>
      </c>
      <c r="C10" s="3230"/>
      <c r="D10" s="1310"/>
      <c r="E10" s="1310" t="e">
        <f>ROUND(D1*10000/D10/H9,0)</f>
        <v>#DIV/0!</v>
      </c>
      <c r="F10" s="1311"/>
      <c r="G10" s="1311"/>
      <c r="H10" s="1312"/>
      <c r="I10" s="1313">
        <f>SUM(I3:I9)</f>
        <v>0</v>
      </c>
    </row>
    <row r="11" spans="1:9" ht="14.25">
      <c r="A11" s="3228" t="s">
        <v>1093</v>
      </c>
      <c r="B11" s="3229" t="s">
        <v>1094</v>
      </c>
      <c r="C11" s="3229"/>
      <c r="D11" s="1306" t="s">
        <v>1095</v>
      </c>
      <c r="E11" s="1306" t="s">
        <v>1096</v>
      </c>
      <c r="F11" s="1307" t="s">
        <v>1097</v>
      </c>
      <c r="G11" s="1307" t="s">
        <v>1083</v>
      </c>
      <c r="H11" s="1314" t="s">
        <v>1098</v>
      </c>
      <c r="I11" s="1305" t="s">
        <v>1084</v>
      </c>
    </row>
    <row r="12" spans="1:9">
      <c r="A12" s="3228"/>
      <c r="B12" s="3229" t="s">
        <v>1099</v>
      </c>
      <c r="C12" s="3229"/>
      <c r="D12" s="1306"/>
      <c r="E12" s="1306"/>
      <c r="F12" s="1307"/>
      <c r="G12" s="1308"/>
      <c r="H12" s="1315"/>
      <c r="I12" s="1305">
        <f>ROUND(D12*E12*F12*G12/10000,0)</f>
        <v>0</v>
      </c>
    </row>
    <row r="13" spans="1:9">
      <c r="A13" s="3228"/>
      <c r="B13" s="3229" t="s">
        <v>1100</v>
      </c>
      <c r="C13" s="3229"/>
      <c r="D13" s="1306"/>
      <c r="E13" s="1306"/>
      <c r="F13" s="1307"/>
      <c r="G13" s="1308"/>
      <c r="H13" s="1315"/>
      <c r="I13" s="1305">
        <f>ROUND(D13*E13*F13*G13/10000,0)</f>
        <v>0</v>
      </c>
    </row>
    <row r="14" spans="1:9">
      <c r="A14" s="3228"/>
      <c r="B14" s="3229" t="s">
        <v>1101</v>
      </c>
      <c r="C14" s="3229"/>
      <c r="D14" s="1306"/>
      <c r="E14" s="1306"/>
      <c r="F14" s="1307"/>
      <c r="G14" s="1308"/>
      <c r="H14" s="1315"/>
      <c r="I14" s="1305">
        <f>ROUND(D14*E14*F14*G14/10000,0)</f>
        <v>0</v>
      </c>
    </row>
    <row r="15" spans="1:9">
      <c r="A15" s="3228"/>
      <c r="B15" s="3230" t="s">
        <v>1092</v>
      </c>
      <c r="C15" s="3230"/>
      <c r="D15" s="1310"/>
      <c r="E15" s="1310">
        <f>SUM(E12:E14)</f>
        <v>0</v>
      </c>
      <c r="F15" s="1311"/>
      <c r="G15" s="1308"/>
      <c r="H15" s="1315"/>
      <c r="I15" s="1316">
        <f>SUM(I12:I14)</f>
        <v>0</v>
      </c>
    </row>
    <row r="16" spans="1:9" ht="24">
      <c r="A16" s="3228" t="s">
        <v>1102</v>
      </c>
      <c r="B16" s="3229" t="s">
        <v>1103</v>
      </c>
      <c r="C16" s="3229"/>
      <c r="D16" s="1306" t="s">
        <v>1079</v>
      </c>
      <c r="E16" s="1317" t="s">
        <v>1104</v>
      </c>
      <c r="F16" s="1307" t="s">
        <v>1105</v>
      </c>
      <c r="G16" s="1308" t="s">
        <v>1083</v>
      </c>
      <c r="H16" s="1314" t="s">
        <v>1098</v>
      </c>
      <c r="I16" s="1305" t="s">
        <v>1084</v>
      </c>
    </row>
    <row r="17" spans="1:9" ht="14.25">
      <c r="A17" s="3228"/>
      <c r="B17" s="3229" t="s">
        <v>1106</v>
      </c>
      <c r="C17" s="3229"/>
      <c r="D17" s="1306"/>
      <c r="E17" s="1306"/>
      <c r="F17" s="1307"/>
      <c r="G17" s="1308"/>
      <c r="H17" s="1318"/>
      <c r="I17" s="1319">
        <f>ROUND(D17*E17*F17*G17/10000,0)</f>
        <v>0</v>
      </c>
    </row>
    <row r="18" spans="1:9" ht="14.25">
      <c r="A18" s="3228"/>
      <c r="B18" s="3229" t="s">
        <v>1107</v>
      </c>
      <c r="C18" s="3229"/>
      <c r="D18" s="1306"/>
      <c r="E18" s="1306"/>
      <c r="F18" s="1307"/>
      <c r="G18" s="1308"/>
      <c r="H18" s="1318"/>
      <c r="I18" s="1319">
        <f>ROUND(D18*E18*F18*G18/10000,0)</f>
        <v>0</v>
      </c>
    </row>
    <row r="19" spans="1:9" ht="14.25">
      <c r="A19" s="3228"/>
      <c r="B19" s="3229" t="s">
        <v>1108</v>
      </c>
      <c r="C19" s="3229"/>
      <c r="D19" s="1306"/>
      <c r="E19" s="1306"/>
      <c r="F19" s="1307"/>
      <c r="G19" s="1308"/>
      <c r="H19" s="1318"/>
      <c r="I19" s="1319">
        <f>ROUND(D19*E19*F19*G19/10000,0)</f>
        <v>0</v>
      </c>
    </row>
    <row r="20" spans="1:9">
      <c r="A20" s="3228"/>
      <c r="B20" s="3230" t="s">
        <v>1092</v>
      </c>
      <c r="C20" s="3230"/>
      <c r="D20" s="1310">
        <f>SUM(D17:D19)</f>
        <v>0</v>
      </c>
      <c r="E20" s="1310"/>
      <c r="F20" s="1311"/>
      <c r="G20" s="1308"/>
      <c r="H20" s="1315"/>
      <c r="I20" s="1316">
        <f>SUM(I17:I19)</f>
        <v>0</v>
      </c>
    </row>
    <row r="21" spans="1:9">
      <c r="A21" s="3228" t="s">
        <v>1109</v>
      </c>
      <c r="B21" s="3231"/>
      <c r="C21" s="3231"/>
      <c r="D21" s="3231"/>
      <c r="E21" s="3231"/>
      <c r="F21" s="3231"/>
      <c r="G21" s="3231"/>
      <c r="H21" s="1768">
        <v>0.1</v>
      </c>
      <c r="I21" s="1313">
        <f>ROUND(I10*H21,0)</f>
        <v>0</v>
      </c>
    </row>
    <row r="22" spans="1:9" ht="14.25">
      <c r="A22" s="3232" t="s">
        <v>1110</v>
      </c>
      <c r="B22" s="3233"/>
      <c r="C22" s="3234"/>
      <c r="D22" s="1320" t="s">
        <v>1111</v>
      </c>
      <c r="E22" s="1320" t="s">
        <v>1112</v>
      </c>
      <c r="F22" s="1321" t="s">
        <v>1113</v>
      </c>
      <c r="G22" s="1321" t="s">
        <v>1114</v>
      </c>
      <c r="H22" s="1314" t="s">
        <v>1115</v>
      </c>
      <c r="I22" s="1305" t="s">
        <v>1116</v>
      </c>
    </row>
    <row r="23" spans="1:9" ht="14.25" thickBot="1">
      <c r="A23" s="3235"/>
      <c r="B23" s="3236"/>
      <c r="C23" s="3237"/>
      <c r="D23" s="1322"/>
      <c r="E23" s="1322"/>
      <c r="F23" s="1322"/>
      <c r="G23" s="1323"/>
      <c r="H23" s="1324"/>
      <c r="I23" s="1325">
        <f>ROUND(E23*D23*F23*(1-G23)/10000,0)</f>
        <v>0</v>
      </c>
    </row>
    <row r="26" spans="1:9">
      <c r="A26" s="1326" t="s">
        <v>1117</v>
      </c>
      <c r="B26" s="1326"/>
      <c r="C26" s="1326"/>
      <c r="D26" s="1326"/>
      <c r="E26" s="3225">
        <f>C27-C30-C31-C32</f>
        <v>0</v>
      </c>
      <c r="F26" s="3225"/>
      <c r="G26" s="3225"/>
      <c r="H26" s="1740" t="s">
        <v>1340</v>
      </c>
    </row>
    <row r="27" spans="1:9">
      <c r="A27" s="1327">
        <v>1</v>
      </c>
      <c r="B27" s="1328" t="s">
        <v>1118</v>
      </c>
      <c r="C27" s="1328">
        <f>C28+C29</f>
        <v>0</v>
      </c>
      <c r="D27" s="1328"/>
      <c r="E27" s="3226"/>
      <c r="F27" s="3226"/>
      <c r="G27" s="3226"/>
    </row>
    <row r="28" spans="1:9">
      <c r="A28" s="1329" t="s">
        <v>1119</v>
      </c>
      <c r="B28" s="1328" t="s">
        <v>1120</v>
      </c>
      <c r="C28" s="1328"/>
      <c r="D28" s="1328"/>
      <c r="E28" s="3226"/>
      <c r="F28" s="3226"/>
      <c r="G28" s="322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7"/>
      <c r="F32" s="3227"/>
      <c r="G32" s="3227"/>
    </row>
    <row r="33" spans="1:7" hidden="1">
      <c r="A33" s="3222" t="s">
        <v>1129</v>
      </c>
      <c r="B33" s="3223"/>
      <c r="C33" s="3223"/>
      <c r="D33" s="3224"/>
      <c r="E33" s="3225"/>
      <c r="F33" s="3225"/>
      <c r="G33" s="3225"/>
    </row>
    <row r="34" spans="1:7" hidden="1">
      <c r="A34" s="1331">
        <v>1</v>
      </c>
      <c r="B34" s="1328" t="s">
        <v>1130</v>
      </c>
      <c r="C34" s="1328"/>
      <c r="D34" s="1328"/>
      <c r="E34" s="3226"/>
      <c r="F34" s="3226"/>
      <c r="G34" s="3226"/>
    </row>
    <row r="35" spans="1:7" hidden="1">
      <c r="A35" s="1331">
        <v>2</v>
      </c>
      <c r="B35" s="1328" t="s">
        <v>1131</v>
      </c>
      <c r="C35" s="1328"/>
      <c r="D35" s="1328"/>
      <c r="E35" s="3226"/>
      <c r="F35" s="3226"/>
      <c r="G35" s="3226"/>
    </row>
    <row r="36" spans="1:7" hidden="1">
      <c r="A36" s="1331">
        <v>3</v>
      </c>
      <c r="B36" s="1328" t="s">
        <v>1132</v>
      </c>
      <c r="C36" s="1328"/>
      <c r="D36" s="1328"/>
      <c r="E36" s="3226"/>
      <c r="F36" s="3226"/>
      <c r="G36" s="3226"/>
    </row>
    <row r="37" spans="1:7" hidden="1">
      <c r="A37" s="1331">
        <v>4</v>
      </c>
      <c r="B37" s="1328" t="s">
        <v>1133</v>
      </c>
      <c r="C37" s="1328"/>
      <c r="D37" s="1328"/>
      <c r="E37" s="3226"/>
      <c r="F37" s="3226"/>
      <c r="G37" s="3226"/>
    </row>
    <row r="38" spans="1:7" hidden="1">
      <c r="A38" s="3222" t="s">
        <v>1134</v>
      </c>
      <c r="B38" s="3223"/>
      <c r="C38" s="3223"/>
      <c r="D38" s="3224"/>
      <c r="E38" s="3225"/>
      <c r="F38" s="3225"/>
      <c r="G38" s="32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北京市保障性住房建设投资中心：</v>
      </c>
    </row>
    <row r="4" spans="1:1" ht="36">
      <c r="A4" s="1951" t="str">
        <f>"受贵公司委托，我公司对"&amp;项目基本情况!S1&amp;"进行了预评估。"</f>
        <v>受贵公司委托，我公司对北京市通州区潞河镇（武夷花园东区）限价住宅及地下车库用房房地产市场价值房地产市场价值进行了预评估。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潞河镇（武夷花园东区）限价住宅及地下车库用房房地产市场价值房地产，为北京武夷房地产开发有限公司所有。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建筑面积为107692.8平方米。</v>
      </c>
    </row>
    <row r="8" spans="1:1" ht="57.75">
      <c r="A8" s="1954" t="s">
        <v>1614</v>
      </c>
    </row>
    <row r="9" spans="1:1" ht="18.75">
      <c r="A9" s="1953" t="s">
        <v>1615</v>
      </c>
    </row>
    <row r="10" spans="1:1" ht="126">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潞河镇（武夷花园东区）限价住宅及地下车库用房房地产市场价值房地产,属北京武夷房地产开发有限公司开发建设的居住项目，该项目尚在开发建设中。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规划建筑面积为107692.8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2012年12月30日（评估专业人员实地查勘之日）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2012年12月30日，估价对象规划用途为住宅、地下车库、地下仓储，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本次评估采用的主估价方法为成本法和比较法。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3" t="s">
        <v>2641</v>
      </c>
      <c r="C1" s="1637" t="s">
        <v>2529</v>
      </c>
      <c r="D1" s="1624"/>
      <c r="E1" s="2655"/>
      <c r="F1" s="2585"/>
      <c r="G1" s="1634" t="s">
        <v>2642</v>
      </c>
      <c r="H1" s="1633"/>
      <c r="I1" s="1633"/>
      <c r="J1" s="1633"/>
      <c r="K1" s="1635"/>
      <c r="L1" s="1636"/>
      <c r="M1" s="1637"/>
      <c r="N1" s="1637"/>
      <c r="O1" s="1637"/>
      <c r="P1" s="2656"/>
      <c r="Q1" s="2657"/>
      <c r="R1" s="2657"/>
      <c r="S1" s="2657"/>
      <c r="T1" s="2657"/>
      <c r="U1" s="2657"/>
      <c r="V1" s="2657"/>
      <c r="W1" s="2657"/>
      <c r="X1" s="2657"/>
      <c r="Y1" s="2657"/>
      <c r="Z1" s="2657"/>
      <c r="AA1" s="2657"/>
      <c r="AB1" s="2657"/>
      <c r="AC1" s="2658"/>
    </row>
    <row r="2" spans="1:29" s="398" customFormat="1" ht="28.5" customHeight="1" thickTop="1">
      <c r="A2" s="1620" t="s">
        <v>2326</v>
      </c>
      <c r="B2" s="1421" t="e">
        <f ca="1">IF(C2="——",ROUND(C49*D3/10000,0),ROUND(C49*D3/10000,0)-D2)</f>
        <v>#DIV/0!</v>
      </c>
      <c r="C2" s="2587"/>
      <c r="D2" s="1368" t="e">
        <f ca="1">SUMIF(INDIRECT("'"&amp;F2&amp;"'"&amp;"!A:A"),"承租人权益价值",INDIRECT("'"&amp;F2&amp;"'"&amp;"!c:c"))</f>
        <v>#REF!</v>
      </c>
      <c r="E2" s="2588" t="s">
        <v>2327</v>
      </c>
      <c r="F2" s="2589"/>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2328</v>
      </c>
      <c r="B3" s="609" t="e">
        <f ca="1">IF(C2="——",C49,ROUND(B2*10000/D3,0))</f>
        <v>#DIV/0!</v>
      </c>
      <c r="C3" s="400" t="s">
        <v>2643</v>
      </c>
      <c r="D3" s="399">
        <f>IF(D1="",'数据-汇总表'!E3,SUMIF('数据-汇总表'!$C19:$C33,D1,'数据-汇总表'!$E19:$E33))</f>
        <v>107692.8</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2644</v>
      </c>
      <c r="B4" s="402"/>
      <c r="C4" s="3163" t="s">
        <v>2645</v>
      </c>
      <c r="D4" s="3176"/>
      <c r="E4" s="3177" t="s">
        <v>2646</v>
      </c>
      <c r="F4" s="3178"/>
      <c r="G4" s="3163" t="s">
        <v>2647</v>
      </c>
      <c r="H4" s="3176"/>
      <c r="I4" s="3163" t="s">
        <v>2648</v>
      </c>
      <c r="J4" s="3176"/>
      <c r="K4" s="610" t="s">
        <v>2649</v>
      </c>
      <c r="L4" s="1133"/>
      <c r="M4" s="1134"/>
      <c r="N4" s="1134"/>
      <c r="O4" s="1134"/>
      <c r="P4" s="3179" t="s">
        <v>2650</v>
      </c>
      <c r="Q4" s="3180"/>
      <c r="R4" s="3185" t="s">
        <v>2646</v>
      </c>
      <c r="S4" s="3186"/>
      <c r="T4" s="3185" t="s">
        <v>2647</v>
      </c>
      <c r="U4" s="3186"/>
      <c r="V4" s="3172" t="s">
        <v>2648</v>
      </c>
      <c r="W4" s="3172"/>
      <c r="X4" s="1816"/>
      <c r="Y4" s="3185" t="s">
        <v>2650</v>
      </c>
      <c r="Z4" s="3186"/>
      <c r="AA4" s="3173" t="s">
        <v>2646</v>
      </c>
      <c r="AB4" s="3172" t="s">
        <v>2647</v>
      </c>
      <c r="AC4" s="3173" t="s">
        <v>2648</v>
      </c>
    </row>
    <row r="5" spans="1:29" ht="15">
      <c r="A5" s="404"/>
      <c r="B5" s="405"/>
      <c r="C5" s="3193" t="s">
        <v>2541</v>
      </c>
      <c r="D5" s="3194"/>
      <c r="E5" s="3200" t="s">
        <v>2542</v>
      </c>
      <c r="F5" s="3201"/>
      <c r="G5" s="3193" t="s">
        <v>2543</v>
      </c>
      <c r="H5" s="3194"/>
      <c r="I5" s="3193" t="s">
        <v>2544</v>
      </c>
      <c r="J5" s="3194"/>
      <c r="K5" s="610"/>
      <c r="L5" s="1133"/>
      <c r="M5" s="1134"/>
      <c r="N5" s="1134"/>
      <c r="O5" s="1134"/>
      <c r="P5" s="3181"/>
      <c r="Q5" s="3182"/>
      <c r="R5" s="3187"/>
      <c r="S5" s="3188"/>
      <c r="T5" s="3187"/>
      <c r="U5" s="3188"/>
      <c r="V5" s="3172"/>
      <c r="W5" s="3172"/>
      <c r="X5" s="1816"/>
      <c r="Y5" s="3187"/>
      <c r="Z5" s="3188"/>
      <c r="AA5" s="3174"/>
      <c r="AB5" s="3172"/>
      <c r="AC5" s="3174"/>
    </row>
    <row r="6" spans="1:29" ht="15.75" thickBot="1">
      <c r="A6" s="406"/>
      <c r="B6" s="407"/>
      <c r="C6" s="3191" t="s">
        <v>2545</v>
      </c>
      <c r="D6" s="3192"/>
      <c r="E6" s="3198" t="s">
        <v>2545</v>
      </c>
      <c r="F6" s="3199"/>
      <c r="G6" s="3191" t="s">
        <v>2545</v>
      </c>
      <c r="H6" s="3192"/>
      <c r="I6" s="3191" t="s">
        <v>2545</v>
      </c>
      <c r="J6" s="3192"/>
      <c r="K6" s="610" t="s">
        <v>2546</v>
      </c>
      <c r="L6" s="1133"/>
      <c r="M6" s="1134"/>
      <c r="N6" s="1134"/>
      <c r="O6" s="1134"/>
      <c r="P6" s="3183"/>
      <c r="Q6" s="3184"/>
      <c r="R6" s="3187"/>
      <c r="S6" s="3188"/>
      <c r="T6" s="3189"/>
      <c r="U6" s="3190"/>
      <c r="V6" s="3172"/>
      <c r="W6" s="3172"/>
      <c r="X6" s="1816"/>
      <c r="Y6" s="3189"/>
      <c r="Z6" s="3190"/>
      <c r="AA6" s="3175"/>
      <c r="AB6" s="3172"/>
      <c r="AC6" s="3175"/>
    </row>
    <row r="7" spans="1:29" s="117" customFormat="1" ht="15.75" thickBot="1">
      <c r="A7" s="408" t="s">
        <v>2547</v>
      </c>
      <c r="B7" s="409"/>
      <c r="C7" s="410">
        <f>'数据-取费表'!B2</f>
        <v>41273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5" t="s">
        <v>2548</v>
      </c>
      <c r="Q7" s="3197"/>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5" t="s">
        <v>2551</v>
      </c>
      <c r="Q8" s="3196"/>
      <c r="R8" s="770" t="s">
        <v>17</v>
      </c>
      <c r="S8" s="771">
        <f t="shared" si="0"/>
        <v>0</v>
      </c>
      <c r="T8" s="770" t="s">
        <v>17</v>
      </c>
      <c r="U8" s="771">
        <f t="shared" si="1"/>
        <v>0</v>
      </c>
      <c r="V8" s="770" t="s">
        <v>17</v>
      </c>
      <c r="W8" s="771">
        <f t="shared" si="2"/>
        <v>0</v>
      </c>
      <c r="X8" s="772"/>
      <c r="Y8" s="3195" t="s">
        <v>2551</v>
      </c>
      <c r="Z8" s="319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5" t="s">
        <v>2554</v>
      </c>
      <c r="Q9" s="1798"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5"/>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5"/>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5"/>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5"/>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15">
      <c r="A15" s="440" t="s">
        <v>2558</v>
      </c>
      <c r="B15" s="69" t="s">
        <v>2652</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6" t="s">
        <v>2559</v>
      </c>
      <c r="Q15" s="1813" t="str">
        <f t="shared" si="6"/>
        <v>商业繁华度</v>
      </c>
      <c r="R15" s="774" t="s">
        <v>17</v>
      </c>
      <c r="S15" s="775">
        <f t="shared" si="0"/>
        <v>100</v>
      </c>
      <c r="T15" s="774" t="s">
        <v>17</v>
      </c>
      <c r="U15" s="775">
        <f t="shared" si="1"/>
        <v>100</v>
      </c>
      <c r="V15" s="774" t="s">
        <v>17</v>
      </c>
      <c r="W15" s="775">
        <f t="shared" si="2"/>
        <v>100</v>
      </c>
      <c r="X15" s="1816"/>
      <c r="Y15" s="3168"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7"/>
      <c r="Q16" s="1813"/>
      <c r="R16" s="774"/>
      <c r="S16" s="775"/>
      <c r="T16" s="774"/>
      <c r="U16" s="775"/>
      <c r="V16" s="774"/>
      <c r="W16" s="775"/>
      <c r="X16" s="1816"/>
      <c r="Y16" s="3169"/>
      <c r="Z16" s="1817"/>
      <c r="AA16" s="1814">
        <v>1</v>
      </c>
      <c r="AB16" s="1814">
        <v>1</v>
      </c>
      <c r="AC16" s="1814">
        <v>1</v>
      </c>
    </row>
    <row r="17" spans="1:29" ht="156.75">
      <c r="A17" s="428"/>
      <c r="B17" s="451" t="s">
        <v>2096</v>
      </c>
      <c r="C17" s="2607" t="str">
        <f>估价对象房地状况!C6</f>
        <v>估价对象周边道路状况较好、公共交通通达情况较好、有322、342、442等多路公交车，距6号线北运河西站约1.5公里，停车便捷程度较好，综合评价交通便捷度较好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7"/>
      <c r="Q17" s="1813" t="str">
        <f>B17</f>
        <v>交通便捷度</v>
      </c>
      <c r="R17" s="774" t="s">
        <v>17</v>
      </c>
      <c r="S17" s="775">
        <f>F17</f>
        <v>100</v>
      </c>
      <c r="T17" s="774" t="s">
        <v>17</v>
      </c>
      <c r="U17" s="775">
        <f>H17</f>
        <v>100</v>
      </c>
      <c r="V17" s="774" t="s">
        <v>17</v>
      </c>
      <c r="W17" s="775">
        <f>J17</f>
        <v>100</v>
      </c>
      <c r="X17" s="1816"/>
      <c r="Y17" s="3169"/>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17"/>
      <c r="Q18" s="1813"/>
      <c r="R18" s="774"/>
      <c r="S18" s="775"/>
      <c r="T18" s="774"/>
      <c r="U18" s="775"/>
      <c r="V18" s="774"/>
      <c r="W18" s="775"/>
      <c r="X18" s="1816"/>
      <c r="Y18" s="3169"/>
      <c r="Z18" s="1817"/>
      <c r="AA18" s="1814">
        <v>1</v>
      </c>
      <c r="AB18" s="1814">
        <v>1</v>
      </c>
      <c r="AC18" s="1814">
        <v>1</v>
      </c>
    </row>
    <row r="19" spans="1:29" ht="42.75">
      <c r="A19" s="428"/>
      <c r="B19" s="451" t="s">
        <v>2653</v>
      </c>
      <c r="C19" s="2607"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7"/>
      <c r="Q19" s="1813" t="str">
        <f>B19</f>
        <v>公共配套设施</v>
      </c>
      <c r="R19" s="774" t="s">
        <v>17</v>
      </c>
      <c r="S19" s="775">
        <f>F19</f>
        <v>100</v>
      </c>
      <c r="T19" s="774" t="s">
        <v>17</v>
      </c>
      <c r="U19" s="775">
        <f>H19</f>
        <v>100</v>
      </c>
      <c r="V19" s="774" t="s">
        <v>17</v>
      </c>
      <c r="W19" s="775">
        <f>J19</f>
        <v>100</v>
      </c>
      <c r="X19" s="1816"/>
      <c r="Y19" s="3169"/>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17"/>
      <c r="Q20" s="1813"/>
      <c r="R20" s="774"/>
      <c r="S20" s="775"/>
      <c r="T20" s="774"/>
      <c r="U20" s="775"/>
      <c r="V20" s="774"/>
      <c r="W20" s="775"/>
      <c r="X20" s="1816"/>
      <c r="Y20" s="3169"/>
      <c r="Z20" s="1817"/>
      <c r="AA20" s="1814">
        <v>1</v>
      </c>
      <c r="AB20" s="1814">
        <v>1</v>
      </c>
      <c r="AC20" s="1814">
        <v>1</v>
      </c>
    </row>
    <row r="21" spans="1:29" ht="15">
      <c r="A21" s="428"/>
      <c r="B21" s="1387" t="s">
        <v>2654</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7"/>
      <c r="Q21" s="1813" t="str">
        <f>B21</f>
        <v>基础设施水平</v>
      </c>
      <c r="R21" s="774" t="s">
        <v>17</v>
      </c>
      <c r="S21" s="775">
        <f>F21</f>
        <v>100</v>
      </c>
      <c r="T21" s="774" t="s">
        <v>17</v>
      </c>
      <c r="U21" s="775">
        <f>H21</f>
        <v>100</v>
      </c>
      <c r="V21" s="774" t="s">
        <v>17</v>
      </c>
      <c r="W21" s="775">
        <f>J21</f>
        <v>100</v>
      </c>
      <c r="X21" s="1816"/>
      <c r="Y21" s="3169"/>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17"/>
      <c r="Q22" s="1813"/>
      <c r="R22" s="774"/>
      <c r="S22" s="775"/>
      <c r="T22" s="774"/>
      <c r="U22" s="775"/>
      <c r="V22" s="774"/>
      <c r="W22" s="775"/>
      <c r="X22" s="1816"/>
      <c r="Y22" s="3169"/>
      <c r="Z22" s="1817"/>
      <c r="AA22" s="1814">
        <v>1</v>
      </c>
      <c r="AB22" s="1814">
        <v>1</v>
      </c>
      <c r="AC22" s="1814">
        <v>1</v>
      </c>
    </row>
    <row r="23" spans="1:29" ht="99.75">
      <c r="A23" s="428"/>
      <c r="B23" s="451" t="s">
        <v>2101</v>
      </c>
      <c r="C23" s="2662" t="str">
        <f>估价对象房地状况!C9</f>
        <v>区域自然环境：减河公园、运河奥体公园、潞河中学公园；人文环境：大运河美术馆；综合评价环境状况较好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7"/>
      <c r="Q23" s="1813" t="str">
        <f>B23</f>
        <v>自然及人文环境</v>
      </c>
      <c r="R23" s="774" t="s">
        <v>17</v>
      </c>
      <c r="S23" s="775">
        <f>F23</f>
        <v>100</v>
      </c>
      <c r="T23" s="774" t="s">
        <v>17</v>
      </c>
      <c r="U23" s="775">
        <f>H23</f>
        <v>100</v>
      </c>
      <c r="V23" s="774" t="s">
        <v>17</v>
      </c>
      <c r="W23" s="775">
        <f>J23</f>
        <v>100</v>
      </c>
      <c r="X23" s="1816"/>
      <c r="Y23" s="3169"/>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17"/>
      <c r="Q24" s="1813"/>
      <c r="R24" s="774"/>
      <c r="S24" s="775"/>
      <c r="T24" s="774"/>
      <c r="U24" s="775"/>
      <c r="V24" s="774"/>
      <c r="W24" s="775"/>
      <c r="X24" s="1816"/>
      <c r="Y24" s="3169"/>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7"/>
      <c r="Q25" s="1813" t="str">
        <f t="shared" ref="Q25:Q46" si="11">B25</f>
        <v>临街状况</v>
      </c>
      <c r="R25" s="774" t="s">
        <v>17</v>
      </c>
      <c r="S25" s="775">
        <f>F25</f>
        <v>100</v>
      </c>
      <c r="T25" s="774" t="s">
        <v>17</v>
      </c>
      <c r="U25" s="775">
        <f>H25</f>
        <v>100</v>
      </c>
      <c r="V25" s="774" t="s">
        <v>17</v>
      </c>
      <c r="W25" s="775">
        <f>J25</f>
        <v>100</v>
      </c>
      <c r="X25" s="1816"/>
      <c r="Y25" s="3169"/>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7"/>
      <c r="Q26" s="1813" t="str">
        <f t="shared" si="11"/>
        <v>平面位置/可视性</v>
      </c>
      <c r="R26" s="774" t="s">
        <v>17</v>
      </c>
      <c r="S26" s="775">
        <f>F26</f>
        <v>100</v>
      </c>
      <c r="T26" s="774" t="s">
        <v>17</v>
      </c>
      <c r="U26" s="775">
        <f>H26</f>
        <v>100</v>
      </c>
      <c r="V26" s="774" t="s">
        <v>17</v>
      </c>
      <c r="W26" s="775">
        <f>J26</f>
        <v>100</v>
      </c>
      <c r="X26" s="1816"/>
      <c r="Y26" s="3169"/>
      <c r="Z26" s="1817" t="str">
        <f>Q26</f>
        <v>平面位置/可视性</v>
      </c>
      <c r="AA26" s="1814">
        <f t="shared" si="3"/>
        <v>1</v>
      </c>
      <c r="AB26" s="1814">
        <f t="shared" si="4"/>
        <v>1</v>
      </c>
      <c r="AC26" s="1814">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17"/>
      <c r="Q27" s="1798" t="str">
        <f t="shared" si="11"/>
        <v>人流量</v>
      </c>
      <c r="R27" s="770" t="s">
        <v>17</v>
      </c>
      <c r="S27" s="771">
        <f>F27</f>
        <v>100</v>
      </c>
      <c r="T27" s="770" t="s">
        <v>17</v>
      </c>
      <c r="U27" s="771">
        <f>H27</f>
        <v>100</v>
      </c>
      <c r="V27" s="770" t="s">
        <v>17</v>
      </c>
      <c r="W27" s="771">
        <f>J27</f>
        <v>100</v>
      </c>
      <c r="X27" s="772"/>
      <c r="Y27" s="3169"/>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7"/>
      <c r="Q29" s="1813">
        <f t="shared" si="11"/>
        <v>111</v>
      </c>
      <c r="R29" s="774" t="s">
        <v>17</v>
      </c>
      <c r="S29" s="775">
        <f t="shared" si="12"/>
        <v>100</v>
      </c>
      <c r="T29" s="774" t="s">
        <v>17</v>
      </c>
      <c r="U29" s="775">
        <f t="shared" si="13"/>
        <v>100</v>
      </c>
      <c r="V29" s="774" t="s">
        <v>17</v>
      </c>
      <c r="W29" s="775">
        <f t="shared" si="14"/>
        <v>100</v>
      </c>
      <c r="X29" s="1816"/>
      <c r="Y29" s="316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7"/>
      <c r="Q30" s="1813">
        <f t="shared" si="11"/>
        <v>111</v>
      </c>
      <c r="R30" s="774" t="s">
        <v>17</v>
      </c>
      <c r="S30" s="775">
        <f t="shared" si="12"/>
        <v>100</v>
      </c>
      <c r="T30" s="774" t="s">
        <v>17</v>
      </c>
      <c r="U30" s="775">
        <f t="shared" si="13"/>
        <v>100</v>
      </c>
      <c r="V30" s="774" t="s">
        <v>17</v>
      </c>
      <c r="W30" s="775">
        <f t="shared" si="14"/>
        <v>100</v>
      </c>
      <c r="X30" s="1816"/>
      <c r="Y30" s="316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7"/>
      <c r="Q31" s="1813">
        <f t="shared" si="11"/>
        <v>111</v>
      </c>
      <c r="R31" s="774" t="s">
        <v>17</v>
      </c>
      <c r="S31" s="775">
        <f t="shared" si="12"/>
        <v>100</v>
      </c>
      <c r="T31" s="774" t="s">
        <v>17</v>
      </c>
      <c r="U31" s="775">
        <f t="shared" si="13"/>
        <v>100</v>
      </c>
      <c r="V31" s="774" t="s">
        <v>17</v>
      </c>
      <c r="W31" s="775">
        <f t="shared" si="14"/>
        <v>100</v>
      </c>
      <c r="X31" s="1816"/>
      <c r="Y31" s="3169"/>
      <c r="Z31" s="1817">
        <f t="shared" si="15"/>
        <v>111</v>
      </c>
      <c r="AA31" s="1814">
        <f t="shared" si="3"/>
        <v>1</v>
      </c>
      <c r="AB31" s="1814">
        <f t="shared" si="4"/>
        <v>1</v>
      </c>
      <c r="AC31" s="1814">
        <f t="shared" si="5"/>
        <v>1</v>
      </c>
    </row>
    <row r="32" spans="1:29" ht="15">
      <c r="A32" s="440" t="s">
        <v>2562</v>
      </c>
      <c r="B32" s="71" t="s">
        <v>2659</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12" t="s">
        <v>2564</v>
      </c>
      <c r="Q32" s="1813" t="str">
        <f t="shared" si="11"/>
        <v>商业类型</v>
      </c>
      <c r="R32" s="774" t="s">
        <v>17</v>
      </c>
      <c r="S32" s="775">
        <f t="shared" si="12"/>
        <v>100</v>
      </c>
      <c r="T32" s="774" t="s">
        <v>17</v>
      </c>
      <c r="U32" s="775">
        <f t="shared" si="13"/>
        <v>100</v>
      </c>
      <c r="V32" s="774" t="s">
        <v>17</v>
      </c>
      <c r="W32" s="775">
        <f t="shared" si="14"/>
        <v>100</v>
      </c>
      <c r="X32" s="1816"/>
      <c r="Y32" s="3171"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3"/>
      <c r="Q33" s="776" t="str">
        <f t="shared" si="11"/>
        <v>项目建筑规模</v>
      </c>
      <c r="R33" s="777" t="s">
        <v>17</v>
      </c>
      <c r="S33" s="778" t="e">
        <f t="shared" si="12"/>
        <v>#N/A</v>
      </c>
      <c r="T33" s="777" t="s">
        <v>17</v>
      </c>
      <c r="U33" s="778" t="e">
        <f t="shared" si="13"/>
        <v>#N/A</v>
      </c>
      <c r="V33" s="777" t="s">
        <v>17</v>
      </c>
      <c r="W33" s="778" t="e">
        <f t="shared" si="14"/>
        <v>#N/A</v>
      </c>
      <c r="X33" s="779"/>
      <c r="Y33" s="3171"/>
      <c r="Z33" s="780" t="str">
        <f t="shared" si="15"/>
        <v>项目建筑规模</v>
      </c>
      <c r="AA33" s="1814" t="e">
        <f t="shared" si="3"/>
        <v>#N/A</v>
      </c>
      <c r="AB33" s="1814" t="e">
        <f t="shared" si="4"/>
        <v>#N/A</v>
      </c>
      <c r="AC33" s="1814" t="e">
        <f t="shared" si="5"/>
        <v>#N/A</v>
      </c>
    </row>
    <row r="34" spans="1:29" ht="15">
      <c r="A34" s="472"/>
      <c r="B34" s="422" t="s">
        <v>2566</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13"/>
      <c r="Q34" s="1813" t="str">
        <f t="shared" si="11"/>
        <v>建筑结构</v>
      </c>
      <c r="R34" s="774" t="s">
        <v>17</v>
      </c>
      <c r="S34" s="775">
        <f t="shared" si="12"/>
        <v>100</v>
      </c>
      <c r="T34" s="774" t="s">
        <v>17</v>
      </c>
      <c r="U34" s="775">
        <f t="shared" si="13"/>
        <v>100</v>
      </c>
      <c r="V34" s="774" t="s">
        <v>17</v>
      </c>
      <c r="W34" s="775">
        <f t="shared" si="14"/>
        <v>100</v>
      </c>
      <c r="X34" s="1816"/>
      <c r="Y34" s="3171"/>
      <c r="Z34" s="1817" t="str">
        <f t="shared" si="15"/>
        <v>建筑结构</v>
      </c>
      <c r="AA34" s="1814">
        <f t="shared" si="3"/>
        <v>1</v>
      </c>
      <c r="AB34" s="1814">
        <f t="shared" si="4"/>
        <v>1</v>
      </c>
      <c r="AC34" s="1814">
        <f t="shared" si="5"/>
        <v>1</v>
      </c>
    </row>
    <row r="35" spans="1:29" ht="15">
      <c r="A35" s="472"/>
      <c r="B35" s="422" t="s">
        <v>2660</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13"/>
      <c r="Q35" s="1813" t="str">
        <f t="shared" si="11"/>
        <v>公共部分装修</v>
      </c>
      <c r="R35" s="774" t="s">
        <v>17</v>
      </c>
      <c r="S35" s="775">
        <f t="shared" si="12"/>
        <v>100</v>
      </c>
      <c r="T35" s="774" t="s">
        <v>17</v>
      </c>
      <c r="U35" s="775">
        <f t="shared" si="13"/>
        <v>100</v>
      </c>
      <c r="V35" s="774" t="s">
        <v>17</v>
      </c>
      <c r="W35" s="775">
        <f t="shared" si="14"/>
        <v>100</v>
      </c>
      <c r="X35" s="1816"/>
      <c r="Y35" s="3171"/>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3"/>
      <c r="Q36" s="1813" t="str">
        <f t="shared" si="11"/>
        <v>成新度</v>
      </c>
      <c r="R36" s="774" t="s">
        <v>17</v>
      </c>
      <c r="S36" s="775" t="e">
        <f t="shared" si="12"/>
        <v>#N/A</v>
      </c>
      <c r="T36" s="774" t="s">
        <v>17</v>
      </c>
      <c r="U36" s="775" t="e">
        <f t="shared" si="13"/>
        <v>#N/A</v>
      </c>
      <c r="V36" s="774" t="s">
        <v>17</v>
      </c>
      <c r="W36" s="775" t="e">
        <f t="shared" si="14"/>
        <v>#N/A</v>
      </c>
      <c r="X36" s="1816"/>
      <c r="Y36" s="3171"/>
      <c r="Z36" s="1817" t="str">
        <f t="shared" si="15"/>
        <v>成新度</v>
      </c>
      <c r="AA36" s="1814" t="e">
        <f t="shared" si="3"/>
        <v>#N/A</v>
      </c>
      <c r="AB36" s="1814" t="e">
        <f t="shared" si="4"/>
        <v>#N/A</v>
      </c>
      <c r="AC36" s="1814" t="e">
        <f t="shared" si="5"/>
        <v>#N/A</v>
      </c>
    </row>
    <row r="37" spans="1:29" s="117" customFormat="1" ht="15">
      <c r="A37" s="473"/>
      <c r="B37" s="422" t="s">
        <v>2662</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13"/>
      <c r="Q37" s="1798" t="str">
        <f t="shared" si="11"/>
        <v>市政基础设施</v>
      </c>
      <c r="R37" s="770" t="s">
        <v>17</v>
      </c>
      <c r="S37" s="771">
        <f t="shared" si="12"/>
        <v>100</v>
      </c>
      <c r="T37" s="770" t="s">
        <v>17</v>
      </c>
      <c r="U37" s="771">
        <f t="shared" si="13"/>
        <v>100</v>
      </c>
      <c r="V37" s="770" t="s">
        <v>17</v>
      </c>
      <c r="W37" s="771">
        <f t="shared" si="14"/>
        <v>100</v>
      </c>
      <c r="X37" s="772"/>
      <c r="Y37" s="3171"/>
      <c r="Z37" s="55" t="str">
        <f t="shared" si="15"/>
        <v>市政基础设施</v>
      </c>
      <c r="AA37" s="773">
        <f t="shared" si="3"/>
        <v>1</v>
      </c>
      <c r="AB37" s="773">
        <f t="shared" si="4"/>
        <v>1</v>
      </c>
      <c r="AC37" s="773">
        <f t="shared" si="5"/>
        <v>1</v>
      </c>
    </row>
    <row r="38" spans="1:29" ht="15">
      <c r="A38" s="472"/>
      <c r="B38" s="422" t="s">
        <v>2663</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13" t="s">
        <v>2564</v>
      </c>
      <c r="Q38" s="1813" t="str">
        <f t="shared" si="11"/>
        <v>业态</v>
      </c>
      <c r="R38" s="774" t="s">
        <v>17</v>
      </c>
      <c r="S38" s="775">
        <f t="shared" si="12"/>
        <v>100</v>
      </c>
      <c r="T38" s="774" t="s">
        <v>17</v>
      </c>
      <c r="U38" s="775">
        <f t="shared" si="13"/>
        <v>100</v>
      </c>
      <c r="V38" s="774" t="s">
        <v>17</v>
      </c>
      <c r="W38" s="775">
        <f t="shared" si="14"/>
        <v>100</v>
      </c>
      <c r="X38" s="1816"/>
      <c r="Y38" s="3171" t="s">
        <v>2564</v>
      </c>
      <c r="Z38" s="1817" t="str">
        <f t="shared" si="15"/>
        <v>业态</v>
      </c>
      <c r="AA38" s="1814">
        <f t="shared" si="3"/>
        <v>1</v>
      </c>
      <c r="AB38" s="1814">
        <f t="shared" si="4"/>
        <v>1</v>
      </c>
      <c r="AC38" s="1814">
        <f t="shared" si="5"/>
        <v>1</v>
      </c>
    </row>
    <row r="39" spans="1:29" ht="15">
      <c r="A39" s="472"/>
      <c r="B39" s="422" t="s">
        <v>2664</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13"/>
      <c r="Q39" s="1813" t="str">
        <f t="shared" si="11"/>
        <v>层高</v>
      </c>
      <c r="R39" s="774" t="s">
        <v>17</v>
      </c>
      <c r="S39" s="775">
        <f t="shared" si="12"/>
        <v>100</v>
      </c>
      <c r="T39" s="774" t="s">
        <v>17</v>
      </c>
      <c r="U39" s="775">
        <f t="shared" si="13"/>
        <v>100</v>
      </c>
      <c r="V39" s="774" t="s">
        <v>17</v>
      </c>
      <c r="W39" s="775">
        <f t="shared" si="14"/>
        <v>100</v>
      </c>
      <c r="X39" s="1816"/>
      <c r="Y39" s="3171"/>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3"/>
      <c r="Q40" s="1813" t="str">
        <f t="shared" si="11"/>
        <v>单套建筑面积</v>
      </c>
      <c r="R40" s="774" t="s">
        <v>17</v>
      </c>
      <c r="S40" s="775">
        <f t="shared" si="12"/>
        <v>100</v>
      </c>
      <c r="T40" s="774" t="s">
        <v>17</v>
      </c>
      <c r="U40" s="775">
        <f t="shared" si="13"/>
        <v>100</v>
      </c>
      <c r="V40" s="774" t="s">
        <v>17</v>
      </c>
      <c r="W40" s="775">
        <f t="shared" si="14"/>
        <v>100</v>
      </c>
      <c r="X40" s="1816"/>
      <c r="Y40" s="3171"/>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3"/>
      <c r="Q41" s="776" t="str">
        <f t="shared" si="11"/>
        <v>进深比</v>
      </c>
      <c r="R41" s="777" t="s">
        <v>17</v>
      </c>
      <c r="S41" s="778">
        <f t="shared" si="12"/>
        <v>100</v>
      </c>
      <c r="T41" s="777" t="s">
        <v>17</v>
      </c>
      <c r="U41" s="778">
        <f t="shared" si="13"/>
        <v>100</v>
      </c>
      <c r="V41" s="777" t="s">
        <v>17</v>
      </c>
      <c r="W41" s="778">
        <f t="shared" si="14"/>
        <v>100</v>
      </c>
      <c r="X41" s="779"/>
      <c r="Y41" s="3171"/>
      <c r="Z41" s="780" t="str">
        <f t="shared" si="15"/>
        <v>进深比</v>
      </c>
      <c r="AA41" s="1814">
        <f t="shared" si="3"/>
        <v>1</v>
      </c>
      <c r="AB41" s="1814">
        <f t="shared" si="4"/>
        <v>1</v>
      </c>
      <c r="AC41" s="1814">
        <f t="shared" si="5"/>
        <v>1</v>
      </c>
    </row>
    <row r="42" spans="1:29" ht="15">
      <c r="A42" s="472"/>
      <c r="B42" s="422" t="s">
        <v>2667</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13"/>
      <c r="Q42" s="1813" t="str">
        <f t="shared" si="11"/>
        <v>内部装修</v>
      </c>
      <c r="R42" s="774" t="s">
        <v>17</v>
      </c>
      <c r="S42" s="775">
        <f t="shared" si="12"/>
        <v>100</v>
      </c>
      <c r="T42" s="774" t="s">
        <v>17</v>
      </c>
      <c r="U42" s="775">
        <f t="shared" si="13"/>
        <v>100</v>
      </c>
      <c r="V42" s="774" t="s">
        <v>17</v>
      </c>
      <c r="W42" s="775">
        <f t="shared" si="14"/>
        <v>100</v>
      </c>
      <c r="X42" s="1816"/>
      <c r="Y42" s="3171"/>
      <c r="Z42" s="1817" t="str">
        <f t="shared" si="15"/>
        <v>内部装修</v>
      </c>
      <c r="AA42" s="1814">
        <f t="shared" si="3"/>
        <v>1</v>
      </c>
      <c r="AB42" s="1814">
        <f t="shared" si="4"/>
        <v>1</v>
      </c>
      <c r="AC42" s="1814">
        <f t="shared" si="5"/>
        <v>1</v>
      </c>
    </row>
    <row r="43" spans="1:29" ht="15">
      <c r="A43" s="472"/>
      <c r="B43" s="422" t="s">
        <v>2575</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13"/>
      <c r="Q43" s="1813" t="str">
        <f t="shared" si="11"/>
        <v>内部装修维护情况</v>
      </c>
      <c r="R43" s="774" t="s">
        <v>17</v>
      </c>
      <c r="S43" s="775">
        <f t="shared" si="12"/>
        <v>100</v>
      </c>
      <c r="T43" s="774" t="s">
        <v>17</v>
      </c>
      <c r="U43" s="775">
        <f t="shared" si="13"/>
        <v>100</v>
      </c>
      <c r="V43" s="774" t="s">
        <v>17</v>
      </c>
      <c r="W43" s="775">
        <f t="shared" si="14"/>
        <v>100</v>
      </c>
      <c r="X43" s="1816"/>
      <c r="Y43" s="317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3"/>
      <c r="Q44" s="1798">
        <f t="shared" si="11"/>
        <v>111</v>
      </c>
      <c r="R44" s="770" t="s">
        <v>17</v>
      </c>
      <c r="S44" s="771">
        <f t="shared" si="12"/>
        <v>100</v>
      </c>
      <c r="T44" s="770" t="s">
        <v>17</v>
      </c>
      <c r="U44" s="771">
        <f t="shared" si="13"/>
        <v>100</v>
      </c>
      <c r="V44" s="770" t="s">
        <v>17</v>
      </c>
      <c r="W44" s="771">
        <f t="shared" si="14"/>
        <v>100</v>
      </c>
      <c r="X44" s="772"/>
      <c r="Y44" s="317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3"/>
      <c r="Q45" s="1813">
        <f t="shared" si="11"/>
        <v>111</v>
      </c>
      <c r="R45" s="774" t="s">
        <v>17</v>
      </c>
      <c r="S45" s="775">
        <f t="shared" si="12"/>
        <v>100</v>
      </c>
      <c r="T45" s="774" t="s">
        <v>17</v>
      </c>
      <c r="U45" s="775">
        <f t="shared" si="13"/>
        <v>100</v>
      </c>
      <c r="V45" s="774" t="s">
        <v>17</v>
      </c>
      <c r="W45" s="775">
        <f t="shared" si="14"/>
        <v>100</v>
      </c>
      <c r="X45" s="1816"/>
      <c r="Y45" s="3171"/>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4"/>
      <c r="Q46" s="1813">
        <f t="shared" si="11"/>
        <v>111</v>
      </c>
      <c r="R46" s="774" t="s">
        <v>17</v>
      </c>
      <c r="S46" s="775">
        <f t="shared" si="12"/>
        <v>100</v>
      </c>
      <c r="T46" s="774" t="s">
        <v>17</v>
      </c>
      <c r="U46" s="775">
        <f t="shared" si="13"/>
        <v>100</v>
      </c>
      <c r="V46" s="774" t="s">
        <v>17</v>
      </c>
      <c r="W46" s="775">
        <f t="shared" si="14"/>
        <v>100</v>
      </c>
      <c r="X46" s="1816"/>
      <c r="Y46" s="3215"/>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166" t="str">
        <f>A47</f>
        <v>成交单价（元/平方米）</v>
      </c>
      <c r="Q47" s="3166"/>
      <c r="R47" s="3172">
        <f>E47</f>
        <v>0</v>
      </c>
      <c r="S47" s="3172"/>
      <c r="T47" s="3172">
        <f>G47</f>
        <v>0</v>
      </c>
      <c r="U47" s="3172"/>
      <c r="V47" s="3172">
        <f>I47</f>
        <v>0</v>
      </c>
      <c r="W47" s="3172"/>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66" t="str">
        <f>A48</f>
        <v>比较价值（元/平方米）</v>
      </c>
      <c r="Q48" s="3166"/>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60" t="str">
        <f>A49</f>
        <v>估价对象XX用房的比较价值（楼面单价，元/平方米）</v>
      </c>
      <c r="Q49" s="3161"/>
      <c r="R49" s="3210" t="e">
        <f>IF(F1="售价",ROUND(AVERAGE(R48:V48),0),ROUND(AVERAGE(R48:V48),1))</f>
        <v>#DIV/0!</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2547</v>
      </c>
      <c r="B58" s="506"/>
      <c r="C58" s="1577" t="str">
        <f>YEAR(C7)&amp;"-"&amp;MONTH(C7)</f>
        <v>2012-12</v>
      </c>
      <c r="D58" s="1578">
        <f>EDATE(C58,-1)</f>
        <v>41214</v>
      </c>
      <c r="E58" s="1578">
        <f t="shared" ref="E58:N58" si="16">EDATE(D58,-1)</f>
        <v>41183</v>
      </c>
      <c r="F58" s="1578">
        <f t="shared" si="16"/>
        <v>41153</v>
      </c>
      <c r="G58" s="1578">
        <f t="shared" si="16"/>
        <v>41122</v>
      </c>
      <c r="H58" s="1578">
        <f t="shared" si="16"/>
        <v>41091</v>
      </c>
      <c r="I58" s="1578">
        <f t="shared" si="16"/>
        <v>41061</v>
      </c>
      <c r="J58" s="1578">
        <f t="shared" si="16"/>
        <v>41030</v>
      </c>
      <c r="K58" s="1578">
        <f t="shared" si="16"/>
        <v>41000</v>
      </c>
      <c r="L58" s="1578">
        <f t="shared" si="16"/>
        <v>40969</v>
      </c>
      <c r="M58" s="1578">
        <f t="shared" si="16"/>
        <v>40940</v>
      </c>
      <c r="N58" s="1578">
        <f t="shared" si="16"/>
        <v>40909</v>
      </c>
      <c r="O58" s="1578">
        <f>EDATE(N58,-1)</f>
        <v>40878</v>
      </c>
      <c r="P58" s="1573"/>
    </row>
    <row r="59" spans="1:29" s="117" customFormat="1" ht="15">
      <c r="A59" s="509"/>
      <c r="B59" s="510"/>
      <c r="C59" s="1576">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2587</v>
      </c>
      <c r="B63" s="528" t="s">
        <v>2553</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2679</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2562</v>
      </c>
      <c r="B100" s="528" t="s">
        <v>2680</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2613</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2615</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2681</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2682</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2683</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2619</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67" t="s">
        <v>2685</v>
      </c>
      <c r="C1" s="1623" t="s">
        <v>2529</v>
      </c>
      <c r="D1" s="1624"/>
      <c r="E1" s="1633"/>
      <c r="F1" s="2585"/>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87"/>
      <c r="D2" s="1368"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107692.8</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63" t="s">
        <v>2645</v>
      </c>
      <c r="D4" s="3176"/>
      <c r="E4" s="3177" t="s">
        <v>2646</v>
      </c>
      <c r="F4" s="3178"/>
      <c r="G4" s="3163" t="s">
        <v>2647</v>
      </c>
      <c r="H4" s="3176"/>
      <c r="I4" s="3163" t="s">
        <v>2648</v>
      </c>
      <c r="J4" s="3176"/>
      <c r="K4" s="610" t="s">
        <v>2649</v>
      </c>
      <c r="L4" s="1133"/>
      <c r="M4" s="1134"/>
      <c r="N4" s="1134"/>
      <c r="O4" s="1134"/>
      <c r="P4" s="3249" t="s">
        <v>2650</v>
      </c>
      <c r="Q4" s="3250"/>
      <c r="R4" s="3253" t="s">
        <v>2646</v>
      </c>
      <c r="S4" s="3254"/>
      <c r="T4" s="3253" t="s">
        <v>2647</v>
      </c>
      <c r="U4" s="3254"/>
      <c r="V4" s="3255" t="s">
        <v>2648</v>
      </c>
      <c r="W4" s="3255"/>
      <c r="X4" s="2668"/>
      <c r="Y4" s="3253" t="s">
        <v>2650</v>
      </c>
      <c r="Z4" s="3254"/>
      <c r="AA4" s="3257" t="s">
        <v>2646</v>
      </c>
      <c r="AB4" s="3257" t="s">
        <v>2647</v>
      </c>
      <c r="AC4" s="3246" t="s">
        <v>2648</v>
      </c>
    </row>
    <row r="5" spans="1:29" ht="15">
      <c r="A5" s="404"/>
      <c r="B5" s="405"/>
      <c r="C5" s="3193" t="s">
        <v>2541</v>
      </c>
      <c r="D5" s="3194"/>
      <c r="E5" s="3200" t="s">
        <v>2542</v>
      </c>
      <c r="F5" s="3201"/>
      <c r="G5" s="3193" t="s">
        <v>2543</v>
      </c>
      <c r="H5" s="3194"/>
      <c r="I5" s="3193" t="s">
        <v>2544</v>
      </c>
      <c r="J5" s="3194"/>
      <c r="K5" s="610"/>
      <c r="L5" s="1133"/>
      <c r="M5" s="1134"/>
      <c r="N5" s="1134"/>
      <c r="O5" s="1134"/>
      <c r="P5" s="3251"/>
      <c r="Q5" s="3182"/>
      <c r="R5" s="3187"/>
      <c r="S5" s="3188"/>
      <c r="T5" s="3187"/>
      <c r="U5" s="3188"/>
      <c r="V5" s="3172"/>
      <c r="W5" s="3172"/>
      <c r="X5" s="1816"/>
      <c r="Y5" s="3187"/>
      <c r="Z5" s="3188"/>
      <c r="AA5" s="3174"/>
      <c r="AB5" s="3174"/>
      <c r="AC5" s="3247"/>
    </row>
    <row r="6" spans="1:29" ht="15.75" thickBot="1">
      <c r="A6" s="406"/>
      <c r="B6" s="407"/>
      <c r="C6" s="3191" t="s">
        <v>2545</v>
      </c>
      <c r="D6" s="3192"/>
      <c r="E6" s="3198" t="s">
        <v>2545</v>
      </c>
      <c r="F6" s="3199"/>
      <c r="G6" s="3191" t="s">
        <v>2545</v>
      </c>
      <c r="H6" s="3192"/>
      <c r="I6" s="3191" t="s">
        <v>2545</v>
      </c>
      <c r="J6" s="3192"/>
      <c r="K6" s="610" t="s">
        <v>2546</v>
      </c>
      <c r="L6" s="1133"/>
      <c r="M6" s="1134"/>
      <c r="N6" s="1134"/>
      <c r="O6" s="1134"/>
      <c r="P6" s="3252"/>
      <c r="Q6" s="3184"/>
      <c r="R6" s="3187"/>
      <c r="S6" s="3188"/>
      <c r="T6" s="3189"/>
      <c r="U6" s="3190"/>
      <c r="V6" s="3172"/>
      <c r="W6" s="3172"/>
      <c r="X6" s="1816"/>
      <c r="Y6" s="3189"/>
      <c r="Z6" s="3190"/>
      <c r="AA6" s="3175"/>
      <c r="AB6" s="3175"/>
      <c r="AC6" s="3248"/>
    </row>
    <row r="7" spans="1:29" s="117" customFormat="1" ht="15.75" thickBot="1">
      <c r="A7" s="408" t="s">
        <v>2547</v>
      </c>
      <c r="B7" s="409"/>
      <c r="C7" s="410">
        <f>'数据-取费表'!B2</f>
        <v>41273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6" t="s">
        <v>2548</v>
      </c>
      <c r="Q7" s="3197"/>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6" t="s">
        <v>2551</v>
      </c>
      <c r="Q8" s="3196"/>
      <c r="R8" s="770" t="s">
        <v>17</v>
      </c>
      <c r="S8" s="771">
        <f t="shared" si="0"/>
        <v>0</v>
      </c>
      <c r="T8" s="770" t="s">
        <v>17</v>
      </c>
      <c r="U8" s="771">
        <f t="shared" si="1"/>
        <v>0</v>
      </c>
      <c r="V8" s="770" t="s">
        <v>17</v>
      </c>
      <c r="W8" s="771">
        <f t="shared" si="2"/>
        <v>0</v>
      </c>
      <c r="X8" s="772"/>
      <c r="Y8" s="3195" t="s">
        <v>2551</v>
      </c>
      <c r="Z8" s="3196"/>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5" t="s">
        <v>2554</v>
      </c>
      <c r="Q9" s="1798"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5"/>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69" t="e">
        <f t="shared" si="5"/>
        <v>#N/A</v>
      </c>
    </row>
    <row r="12" spans="1:29" s="117" customFormat="1" ht="15">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65"/>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69">
        <f>D12/J12</f>
        <v>1</v>
      </c>
    </row>
    <row r="13" spans="1:29" ht="15">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65"/>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69">
        <f t="shared" si="5"/>
        <v>1</v>
      </c>
    </row>
    <row r="14" spans="1:29" ht="15.75"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65"/>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69">
        <f t="shared" si="5"/>
        <v>1</v>
      </c>
    </row>
    <row r="15" spans="1:29" ht="15">
      <c r="A15" s="440" t="s">
        <v>2558</v>
      </c>
      <c r="B15" s="629" t="s">
        <v>2686</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6" t="s">
        <v>2559</v>
      </c>
      <c r="Q15" s="1813" t="str">
        <f t="shared" si="6"/>
        <v>办公集聚程度</v>
      </c>
      <c r="R15" s="774" t="s">
        <v>17</v>
      </c>
      <c r="S15" s="775">
        <f t="shared" si="0"/>
        <v>100</v>
      </c>
      <c r="T15" s="774" t="s">
        <v>17</v>
      </c>
      <c r="U15" s="775">
        <f t="shared" si="1"/>
        <v>100</v>
      </c>
      <c r="V15" s="774" t="s">
        <v>17</v>
      </c>
      <c r="W15" s="775">
        <f t="shared" si="2"/>
        <v>100</v>
      </c>
      <c r="X15" s="1816"/>
      <c r="Y15" s="3168" t="s">
        <v>2559</v>
      </c>
      <c r="Z15" s="1817" t="str">
        <f t="shared" si="7"/>
        <v>办公集聚程度</v>
      </c>
      <c r="AA15" s="1814">
        <f t="shared" si="3"/>
        <v>1</v>
      </c>
      <c r="AB15" s="1814">
        <f t="shared" si="4"/>
        <v>1</v>
      </c>
      <c r="AC15" s="2672">
        <f t="shared" si="5"/>
        <v>1</v>
      </c>
    </row>
    <row r="16" spans="1:29" ht="15">
      <c r="A16" s="428"/>
      <c r="B16" s="630"/>
      <c r="C16" s="2611"/>
      <c r="D16" s="448"/>
      <c r="E16" s="447"/>
      <c r="F16" s="448"/>
      <c r="G16" s="2611"/>
      <c r="H16" s="450"/>
      <c r="I16" s="447"/>
      <c r="J16" s="448"/>
      <c r="K16" s="615"/>
      <c r="L16" s="1143"/>
      <c r="M16" s="1134"/>
      <c r="N16" s="1134"/>
      <c r="O16" s="1134"/>
      <c r="P16" s="3217"/>
      <c r="Q16" s="1813"/>
      <c r="R16" s="774"/>
      <c r="S16" s="775"/>
      <c r="T16" s="774"/>
      <c r="U16" s="775"/>
      <c r="V16" s="774"/>
      <c r="W16" s="775"/>
      <c r="X16" s="1816"/>
      <c r="Y16" s="3169"/>
      <c r="Z16" s="1817"/>
      <c r="AA16" s="1814">
        <v>1</v>
      </c>
      <c r="AB16" s="1814">
        <v>1</v>
      </c>
      <c r="AC16" s="2672">
        <v>1</v>
      </c>
    </row>
    <row r="17" spans="1:29" ht="142.5">
      <c r="A17" s="428"/>
      <c r="B17" s="631" t="s">
        <v>2096</v>
      </c>
      <c r="C17" s="2673" t="str">
        <f>估价对象房地状况!C6</f>
        <v>估价对象周边道路状况较好、公共交通通达情况较好、有322、342、442等多路公交车，距6号线北运河西站约1.5公里，停车便捷程度较好，综合评价交通便捷度较好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7"/>
      <c r="Q17" s="1813" t="str">
        <f>B17</f>
        <v>交通便捷度</v>
      </c>
      <c r="R17" s="774" t="s">
        <v>17</v>
      </c>
      <c r="S17" s="775">
        <f>F17</f>
        <v>100</v>
      </c>
      <c r="T17" s="774" t="s">
        <v>17</v>
      </c>
      <c r="U17" s="775">
        <f>H17</f>
        <v>100</v>
      </c>
      <c r="V17" s="774" t="s">
        <v>17</v>
      </c>
      <c r="W17" s="775">
        <f>J17</f>
        <v>100</v>
      </c>
      <c r="X17" s="1816"/>
      <c r="Y17" s="3169"/>
      <c r="Z17" s="1817" t="str">
        <f>Q17</f>
        <v>交通便捷度</v>
      </c>
      <c r="AA17" s="1814">
        <f t="shared" si="3"/>
        <v>1</v>
      </c>
      <c r="AB17" s="1814">
        <f t="shared" si="4"/>
        <v>1</v>
      </c>
      <c r="AC17" s="2672">
        <f t="shared" si="5"/>
        <v>1</v>
      </c>
    </row>
    <row r="18" spans="1:29" ht="15">
      <c r="A18" s="428"/>
      <c r="B18" s="632"/>
      <c r="C18" s="2674"/>
      <c r="D18" s="450"/>
      <c r="E18" s="2609"/>
      <c r="F18" s="450"/>
      <c r="G18" s="2610"/>
      <c r="H18" s="448"/>
      <c r="I18" s="2610"/>
      <c r="J18" s="448"/>
      <c r="K18" s="615"/>
      <c r="L18" s="1143"/>
      <c r="M18" s="1134"/>
      <c r="N18" s="1134"/>
      <c r="O18" s="1134"/>
      <c r="P18" s="3217"/>
      <c r="Q18" s="1813"/>
      <c r="R18" s="774"/>
      <c r="S18" s="775"/>
      <c r="T18" s="774"/>
      <c r="U18" s="775"/>
      <c r="V18" s="774"/>
      <c r="W18" s="775"/>
      <c r="X18" s="1816"/>
      <c r="Y18" s="3169"/>
      <c r="Z18" s="1817"/>
      <c r="AA18" s="1814">
        <v>1</v>
      </c>
      <c r="AB18" s="1814">
        <v>1</v>
      </c>
      <c r="AC18" s="2672">
        <v>1</v>
      </c>
    </row>
    <row r="19" spans="1:29" ht="42.75">
      <c r="A19" s="428"/>
      <c r="B19" s="631" t="s">
        <v>2687</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7"/>
      <c r="Q19" s="1813" t="str">
        <f>B19</f>
        <v>公共配套设施</v>
      </c>
      <c r="R19" s="774" t="s">
        <v>17</v>
      </c>
      <c r="S19" s="775">
        <f>F19</f>
        <v>100</v>
      </c>
      <c r="T19" s="774" t="s">
        <v>17</v>
      </c>
      <c r="U19" s="775">
        <f>H19</f>
        <v>100</v>
      </c>
      <c r="V19" s="774" t="s">
        <v>17</v>
      </c>
      <c r="W19" s="775">
        <f>J19</f>
        <v>100</v>
      </c>
      <c r="X19" s="1816"/>
      <c r="Y19" s="3169"/>
      <c r="Z19" s="1817" t="str">
        <f>Q19</f>
        <v>公共配套设施</v>
      </c>
      <c r="AA19" s="1814">
        <f t="shared" si="3"/>
        <v>1</v>
      </c>
      <c r="AB19" s="1814">
        <f t="shared" si="4"/>
        <v>1</v>
      </c>
      <c r="AC19" s="2672">
        <f t="shared" si="5"/>
        <v>1</v>
      </c>
    </row>
    <row r="20" spans="1:29" ht="15">
      <c r="A20" s="428"/>
      <c r="B20" s="632"/>
      <c r="C20" s="2611"/>
      <c r="D20" s="448"/>
      <c r="E20" s="2604"/>
      <c r="F20" s="448"/>
      <c r="G20" s="2605"/>
      <c r="H20" s="448"/>
      <c r="I20" s="2605"/>
      <c r="J20" s="448"/>
      <c r="K20" s="615"/>
      <c r="L20" s="1143"/>
      <c r="M20" s="1134"/>
      <c r="N20" s="1134"/>
      <c r="O20" s="1134"/>
      <c r="P20" s="3217"/>
      <c r="Q20" s="1813"/>
      <c r="R20" s="774"/>
      <c r="S20" s="775"/>
      <c r="T20" s="774"/>
      <c r="U20" s="775"/>
      <c r="V20" s="774"/>
      <c r="W20" s="775"/>
      <c r="X20" s="1816"/>
      <c r="Y20" s="3169"/>
      <c r="Z20" s="1817"/>
      <c r="AA20" s="1814">
        <v>1</v>
      </c>
      <c r="AB20" s="1814">
        <v>1</v>
      </c>
      <c r="AC20" s="2672">
        <v>1</v>
      </c>
    </row>
    <row r="21" spans="1:29" ht="15">
      <c r="A21" s="428"/>
      <c r="B21" s="633" t="s">
        <v>2688</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7"/>
      <c r="Q21" s="1813" t="str">
        <f>B21</f>
        <v>基础设施水平</v>
      </c>
      <c r="R21" s="774" t="s">
        <v>17</v>
      </c>
      <c r="S21" s="775">
        <f>F21</f>
        <v>100</v>
      </c>
      <c r="T21" s="774" t="s">
        <v>17</v>
      </c>
      <c r="U21" s="775">
        <f>H21</f>
        <v>100</v>
      </c>
      <c r="V21" s="774" t="s">
        <v>17</v>
      </c>
      <c r="W21" s="775">
        <f>J21</f>
        <v>100</v>
      </c>
      <c r="X21" s="1816"/>
      <c r="Y21" s="3169"/>
      <c r="Z21" s="1817" t="str">
        <f>Q21</f>
        <v>基础设施水平</v>
      </c>
      <c r="AA21" s="1814">
        <f t="shared" ref="AA21" si="8">D21/F21</f>
        <v>1</v>
      </c>
      <c r="AB21" s="1814">
        <f t="shared" ref="AB21" si="9">D21/H21</f>
        <v>1</v>
      </c>
      <c r="AC21" s="2672">
        <f t="shared" ref="AC21" si="10">D21/J21</f>
        <v>1</v>
      </c>
    </row>
    <row r="22" spans="1:29" ht="15">
      <c r="A22" s="428"/>
      <c r="B22" s="633"/>
      <c r="C22" s="2674"/>
      <c r="D22" s="448"/>
      <c r="E22" s="447"/>
      <c r="F22" s="448"/>
      <c r="G22" s="2611"/>
      <c r="H22" s="448"/>
      <c r="I22" s="2611"/>
      <c r="J22" s="448"/>
      <c r="K22" s="1386"/>
      <c r="L22" s="1143"/>
      <c r="M22" s="1134"/>
      <c r="N22" s="1134"/>
      <c r="O22" s="1134"/>
      <c r="P22" s="3217"/>
      <c r="Q22" s="1813"/>
      <c r="R22" s="774"/>
      <c r="S22" s="775"/>
      <c r="T22" s="774"/>
      <c r="U22" s="775"/>
      <c r="V22" s="774"/>
      <c r="W22" s="775"/>
      <c r="X22" s="1816"/>
      <c r="Y22" s="3169"/>
      <c r="Z22" s="1817"/>
      <c r="AA22" s="1814">
        <v>1</v>
      </c>
      <c r="AB22" s="1814">
        <v>1</v>
      </c>
      <c r="AC22" s="2672">
        <v>1</v>
      </c>
    </row>
    <row r="23" spans="1:29" ht="85.5">
      <c r="A23" s="428"/>
      <c r="B23" s="631" t="s">
        <v>2689</v>
      </c>
      <c r="C23" s="2673" t="str">
        <f>估价对象房地状况!C9</f>
        <v>区域自然环境：减河公园、运河奥体公园、潞河中学公园；人文环境：大运河美术馆；综合评价环境状况较好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7"/>
      <c r="Q23" s="1813" t="str">
        <f>B23</f>
        <v>环境质量</v>
      </c>
      <c r="R23" s="774" t="s">
        <v>17</v>
      </c>
      <c r="S23" s="775">
        <f>F23</f>
        <v>100</v>
      </c>
      <c r="T23" s="774" t="s">
        <v>17</v>
      </c>
      <c r="U23" s="775">
        <f>H23</f>
        <v>100</v>
      </c>
      <c r="V23" s="774" t="s">
        <v>17</v>
      </c>
      <c r="W23" s="775">
        <f>J23</f>
        <v>100</v>
      </c>
      <c r="X23" s="1816"/>
      <c r="Y23" s="3169"/>
      <c r="Z23" s="1817" t="str">
        <f>Q23</f>
        <v>环境质量</v>
      </c>
      <c r="AA23" s="1814">
        <f t="shared" si="3"/>
        <v>1</v>
      </c>
      <c r="AB23" s="1814">
        <f t="shared" si="4"/>
        <v>1</v>
      </c>
      <c r="AC23" s="2672">
        <f t="shared" si="5"/>
        <v>1</v>
      </c>
    </row>
    <row r="24" spans="1:29" ht="15">
      <c r="A24" s="428"/>
      <c r="B24" s="633"/>
      <c r="C24" s="2611"/>
      <c r="D24" s="448"/>
      <c r="E24" s="2604"/>
      <c r="F24" s="448"/>
      <c r="G24" s="2605"/>
      <c r="H24" s="448"/>
      <c r="I24" s="2605"/>
      <c r="J24" s="448"/>
      <c r="K24" s="615"/>
      <c r="L24" s="1143"/>
      <c r="M24" s="1134"/>
      <c r="N24" s="1134"/>
      <c r="O24" s="1134"/>
      <c r="P24" s="3217"/>
      <c r="Q24" s="1813"/>
      <c r="R24" s="774"/>
      <c r="S24" s="775"/>
      <c r="T24" s="774"/>
      <c r="U24" s="775"/>
      <c r="V24" s="774"/>
      <c r="W24" s="775"/>
      <c r="X24" s="1816"/>
      <c r="Y24" s="3169"/>
      <c r="Z24" s="1817"/>
      <c r="AA24" s="1814">
        <v>1</v>
      </c>
      <c r="AB24" s="1814">
        <v>1</v>
      </c>
      <c r="AC24" s="2672">
        <v>1</v>
      </c>
    </row>
    <row r="25" spans="1:29" ht="27">
      <c r="A25" s="404"/>
      <c r="B25" s="631" t="s">
        <v>2690</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17"/>
      <c r="Q25" s="1813" t="str">
        <f>B25</f>
        <v>毗邻道路的类型与等级</v>
      </c>
      <c r="R25" s="774" t="s">
        <v>17</v>
      </c>
      <c r="S25" s="775">
        <f>F25</f>
        <v>100</v>
      </c>
      <c r="T25" s="774" t="s">
        <v>17</v>
      </c>
      <c r="U25" s="775">
        <f>H25</f>
        <v>100</v>
      </c>
      <c r="V25" s="774" t="s">
        <v>17</v>
      </c>
      <c r="W25" s="775">
        <f>J25</f>
        <v>100</v>
      </c>
      <c r="X25" s="1816"/>
      <c r="Y25" s="3169"/>
      <c r="Z25" s="1817" t="str">
        <f>Q25</f>
        <v>毗邻道路的类型与等级</v>
      </c>
      <c r="AA25" s="1814">
        <f t="shared" si="3"/>
        <v>1</v>
      </c>
      <c r="AB25" s="1814">
        <f t="shared" si="4"/>
        <v>1</v>
      </c>
      <c r="AC25" s="2672">
        <f t="shared" si="5"/>
        <v>1</v>
      </c>
    </row>
    <row r="26" spans="1:29" ht="15">
      <c r="A26" s="404"/>
      <c r="B26" s="632"/>
      <c r="C26" s="634"/>
      <c r="D26" s="435"/>
      <c r="E26" s="616"/>
      <c r="F26" s="435"/>
      <c r="G26" s="634"/>
      <c r="H26" s="435"/>
      <c r="I26" s="616"/>
      <c r="J26" s="435"/>
      <c r="K26" s="615"/>
      <c r="L26" s="1143"/>
      <c r="M26" s="1134"/>
      <c r="N26" s="1134"/>
      <c r="O26" s="1134"/>
      <c r="P26" s="3217"/>
      <c r="Q26" s="1813"/>
      <c r="R26" s="774"/>
      <c r="S26" s="775"/>
      <c r="T26" s="774"/>
      <c r="U26" s="775"/>
      <c r="V26" s="774"/>
      <c r="W26" s="775"/>
      <c r="X26" s="1816"/>
      <c r="Y26" s="3169"/>
      <c r="Z26" s="1817"/>
      <c r="AA26" s="1814">
        <v>1</v>
      </c>
      <c r="AB26" s="1814">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7"/>
      <c r="Q27" s="1813" t="str">
        <f t="shared" ref="Q27:Q47" si="11">B27</f>
        <v>楼层</v>
      </c>
      <c r="R27" s="774" t="s">
        <v>17</v>
      </c>
      <c r="S27" s="775">
        <f>F27</f>
        <v>100</v>
      </c>
      <c r="T27" s="774" t="s">
        <v>17</v>
      </c>
      <c r="U27" s="775">
        <f>H27</f>
        <v>100</v>
      </c>
      <c r="V27" s="774" t="s">
        <v>17</v>
      </c>
      <c r="W27" s="775">
        <f>J27</f>
        <v>100</v>
      </c>
      <c r="X27" s="1816"/>
      <c r="Y27" s="3169"/>
      <c r="Z27" s="1817" t="str">
        <f>Q27</f>
        <v>楼层</v>
      </c>
      <c r="AA27" s="1814">
        <f t="shared" si="3"/>
        <v>1</v>
      </c>
      <c r="AB27" s="1814">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17"/>
      <c r="Q28" s="1798" t="str">
        <f t="shared" si="11"/>
        <v>朝向</v>
      </c>
      <c r="R28" s="770" t="s">
        <v>17</v>
      </c>
      <c r="S28" s="771">
        <f>F28</f>
        <v>100</v>
      </c>
      <c r="T28" s="770" t="s">
        <v>17</v>
      </c>
      <c r="U28" s="771">
        <f>H28</f>
        <v>100</v>
      </c>
      <c r="V28" s="770" t="s">
        <v>17</v>
      </c>
      <c r="W28" s="771">
        <f>J28</f>
        <v>100</v>
      </c>
      <c r="X28" s="772"/>
      <c r="Y28" s="3169"/>
      <c r="Z28" s="55" t="str">
        <f>Q28</f>
        <v>朝向</v>
      </c>
      <c r="AA28" s="1814">
        <f>D28/F28</f>
        <v>1</v>
      </c>
      <c r="AB28" s="1814">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17"/>
      <c r="Q29" s="1813">
        <f t="shared" si="11"/>
        <v>111</v>
      </c>
      <c r="R29" s="774" t="s">
        <v>17</v>
      </c>
      <c r="S29" s="775">
        <f t="shared" ref="S29:S47" si="12">F29</f>
        <v>100</v>
      </c>
      <c r="T29" s="774" t="s">
        <v>17</v>
      </c>
      <c r="U29" s="775">
        <f t="shared" ref="U29:U47" si="13">H29</f>
        <v>100</v>
      </c>
      <c r="V29" s="774" t="s">
        <v>17</v>
      </c>
      <c r="W29" s="775">
        <f t="shared" ref="W29:W47" si="14">J29</f>
        <v>100</v>
      </c>
      <c r="X29" s="1816"/>
      <c r="Y29" s="3169"/>
      <c r="Z29" s="1817">
        <f t="shared" ref="Z29:Z47" si="15">Q29</f>
        <v>111</v>
      </c>
      <c r="AA29" s="1814">
        <f t="shared" si="3"/>
        <v>1</v>
      </c>
      <c r="AB29" s="1814">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17"/>
      <c r="Q30" s="1813">
        <f t="shared" si="11"/>
        <v>111</v>
      </c>
      <c r="R30" s="774" t="s">
        <v>17</v>
      </c>
      <c r="S30" s="775">
        <f t="shared" si="12"/>
        <v>100</v>
      </c>
      <c r="T30" s="774" t="s">
        <v>17</v>
      </c>
      <c r="U30" s="775">
        <f t="shared" si="13"/>
        <v>100</v>
      </c>
      <c r="V30" s="774" t="s">
        <v>17</v>
      </c>
      <c r="W30" s="775">
        <f t="shared" si="14"/>
        <v>100</v>
      </c>
      <c r="X30" s="1816"/>
      <c r="Y30" s="3169"/>
      <c r="Z30" s="1817">
        <f t="shared" si="15"/>
        <v>111</v>
      </c>
      <c r="AA30" s="1814">
        <f t="shared" si="3"/>
        <v>1</v>
      </c>
      <c r="AB30" s="1814">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17"/>
      <c r="Q31" s="1813">
        <f t="shared" si="11"/>
        <v>111</v>
      </c>
      <c r="R31" s="774" t="s">
        <v>17</v>
      </c>
      <c r="S31" s="775">
        <f t="shared" si="12"/>
        <v>100</v>
      </c>
      <c r="T31" s="774" t="s">
        <v>17</v>
      </c>
      <c r="U31" s="775">
        <f t="shared" si="13"/>
        <v>100</v>
      </c>
      <c r="V31" s="774" t="s">
        <v>17</v>
      </c>
      <c r="W31" s="775">
        <f t="shared" si="14"/>
        <v>100</v>
      </c>
      <c r="X31" s="1816"/>
      <c r="Y31" s="3169"/>
      <c r="Z31" s="1817">
        <f t="shared" si="15"/>
        <v>111</v>
      </c>
      <c r="AA31" s="1814">
        <f t="shared" si="3"/>
        <v>1</v>
      </c>
      <c r="AB31" s="1814">
        <f t="shared" si="4"/>
        <v>1</v>
      </c>
      <c r="AC31" s="2672">
        <f t="shared" si="5"/>
        <v>1</v>
      </c>
    </row>
    <row r="32" spans="1:29" ht="15.75"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17"/>
      <c r="Q32" s="1813">
        <f t="shared" si="11"/>
        <v>111</v>
      </c>
      <c r="R32" s="774" t="s">
        <v>17</v>
      </c>
      <c r="S32" s="775">
        <f t="shared" si="12"/>
        <v>100</v>
      </c>
      <c r="T32" s="774" t="s">
        <v>17</v>
      </c>
      <c r="U32" s="775">
        <f t="shared" si="13"/>
        <v>100</v>
      </c>
      <c r="V32" s="774" t="s">
        <v>17</v>
      </c>
      <c r="W32" s="775">
        <f t="shared" si="14"/>
        <v>100</v>
      </c>
      <c r="X32" s="1816"/>
      <c r="Y32" s="3169"/>
      <c r="Z32" s="1817">
        <f t="shared" si="15"/>
        <v>111</v>
      </c>
      <c r="AA32" s="1814">
        <f t="shared" si="3"/>
        <v>1</v>
      </c>
      <c r="AB32" s="1814">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12" t="s">
        <v>2564</v>
      </c>
      <c r="Q33" s="1813" t="str">
        <f t="shared" si="11"/>
        <v>建筑类型</v>
      </c>
      <c r="R33" s="774" t="s">
        <v>17</v>
      </c>
      <c r="S33" s="775">
        <f t="shared" si="12"/>
        <v>100</v>
      </c>
      <c r="T33" s="774" t="s">
        <v>17</v>
      </c>
      <c r="U33" s="775">
        <f t="shared" si="13"/>
        <v>100</v>
      </c>
      <c r="V33" s="774" t="s">
        <v>17</v>
      </c>
      <c r="W33" s="775">
        <f t="shared" si="14"/>
        <v>100</v>
      </c>
      <c r="X33" s="1816"/>
      <c r="Y33" s="3171" t="s">
        <v>2564</v>
      </c>
      <c r="Z33" s="1817" t="str">
        <f t="shared" si="15"/>
        <v>建筑类型</v>
      </c>
      <c r="AA33" s="1814">
        <f t="shared" si="3"/>
        <v>1</v>
      </c>
      <c r="AB33" s="1814">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3"/>
      <c r="Q34" s="776" t="str">
        <f t="shared" si="11"/>
        <v>项目建筑规模</v>
      </c>
      <c r="R34" s="777" t="s">
        <v>17</v>
      </c>
      <c r="S34" s="778" t="e">
        <f t="shared" si="12"/>
        <v>#N/A</v>
      </c>
      <c r="T34" s="777" t="s">
        <v>17</v>
      </c>
      <c r="U34" s="778" t="e">
        <f t="shared" si="13"/>
        <v>#N/A</v>
      </c>
      <c r="V34" s="777" t="s">
        <v>17</v>
      </c>
      <c r="W34" s="778" t="e">
        <f t="shared" si="14"/>
        <v>#N/A</v>
      </c>
      <c r="X34" s="779"/>
      <c r="Y34" s="3171"/>
      <c r="Z34" s="780" t="str">
        <f t="shared" si="15"/>
        <v>项目建筑规模</v>
      </c>
      <c r="AA34" s="1814" t="e">
        <f t="shared" si="3"/>
        <v>#N/A</v>
      </c>
      <c r="AB34" s="1814"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3"/>
      <c r="Q35" s="1813" t="str">
        <f t="shared" si="11"/>
        <v>建筑结构</v>
      </c>
      <c r="R35" s="774" t="s">
        <v>17</v>
      </c>
      <c r="S35" s="775">
        <f t="shared" si="12"/>
        <v>100</v>
      </c>
      <c r="T35" s="774" t="s">
        <v>17</v>
      </c>
      <c r="U35" s="775">
        <f t="shared" si="13"/>
        <v>100</v>
      </c>
      <c r="V35" s="774" t="s">
        <v>17</v>
      </c>
      <c r="W35" s="775">
        <f t="shared" si="14"/>
        <v>100</v>
      </c>
      <c r="X35" s="1816"/>
      <c r="Y35" s="3171"/>
      <c r="Z35" s="1817" t="str">
        <f t="shared" si="15"/>
        <v>建筑结构</v>
      </c>
      <c r="AA35" s="1814">
        <f t="shared" si="3"/>
        <v>1</v>
      </c>
      <c r="AB35" s="1814">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3"/>
      <c r="Q36" s="1813" t="str">
        <f t="shared" si="11"/>
        <v>公共部分装修</v>
      </c>
      <c r="R36" s="774" t="s">
        <v>17</v>
      </c>
      <c r="S36" s="775">
        <f t="shared" si="12"/>
        <v>100</v>
      </c>
      <c r="T36" s="774" t="s">
        <v>17</v>
      </c>
      <c r="U36" s="775">
        <f t="shared" si="13"/>
        <v>100</v>
      </c>
      <c r="V36" s="774" t="s">
        <v>17</v>
      </c>
      <c r="W36" s="775">
        <f t="shared" si="14"/>
        <v>100</v>
      </c>
      <c r="X36" s="1816"/>
      <c r="Y36" s="3171"/>
      <c r="Z36" s="1817" t="str">
        <f t="shared" si="15"/>
        <v>公共部分装修</v>
      </c>
      <c r="AA36" s="1814">
        <f t="shared" si="3"/>
        <v>1</v>
      </c>
      <c r="AB36" s="1814">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3"/>
      <c r="Q37" s="1813" t="str">
        <f t="shared" si="11"/>
        <v>成新度</v>
      </c>
      <c r="R37" s="774" t="s">
        <v>17</v>
      </c>
      <c r="S37" s="775" t="e">
        <f t="shared" si="12"/>
        <v>#N/A</v>
      </c>
      <c r="T37" s="774" t="s">
        <v>17</v>
      </c>
      <c r="U37" s="775" t="e">
        <f t="shared" si="13"/>
        <v>#N/A</v>
      </c>
      <c r="V37" s="774" t="s">
        <v>17</v>
      </c>
      <c r="W37" s="775" t="e">
        <f t="shared" si="14"/>
        <v>#N/A</v>
      </c>
      <c r="X37" s="1816"/>
      <c r="Y37" s="3171"/>
      <c r="Z37" s="1817" t="str">
        <f t="shared" si="15"/>
        <v>成新度</v>
      </c>
      <c r="AA37" s="1814" t="e">
        <f t="shared" si="3"/>
        <v>#N/A</v>
      </c>
      <c r="AB37" s="1814"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3"/>
      <c r="Q38" s="1798" t="str">
        <f t="shared" si="11"/>
        <v>写字楼等级</v>
      </c>
      <c r="R38" s="770" t="s">
        <v>17</v>
      </c>
      <c r="S38" s="771">
        <f t="shared" si="12"/>
        <v>100</v>
      </c>
      <c r="T38" s="770" t="s">
        <v>17</v>
      </c>
      <c r="U38" s="771">
        <f t="shared" si="13"/>
        <v>100</v>
      </c>
      <c r="V38" s="770" t="s">
        <v>17</v>
      </c>
      <c r="W38" s="771">
        <f t="shared" si="14"/>
        <v>100</v>
      </c>
      <c r="X38" s="772"/>
      <c r="Y38" s="3171"/>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3" t="s">
        <v>2564</v>
      </c>
      <c r="Q39" s="1813" t="str">
        <f t="shared" si="11"/>
        <v>物业管理</v>
      </c>
      <c r="R39" s="774" t="s">
        <v>17</v>
      </c>
      <c r="S39" s="775">
        <f t="shared" si="12"/>
        <v>100</v>
      </c>
      <c r="T39" s="774" t="s">
        <v>17</v>
      </c>
      <c r="U39" s="775">
        <f t="shared" si="13"/>
        <v>100</v>
      </c>
      <c r="V39" s="774" t="s">
        <v>17</v>
      </c>
      <c r="W39" s="775">
        <f t="shared" si="14"/>
        <v>100</v>
      </c>
      <c r="X39" s="1816"/>
      <c r="Y39" s="3171" t="s">
        <v>2564</v>
      </c>
      <c r="Z39" s="1817" t="str">
        <f t="shared" si="15"/>
        <v>物业管理</v>
      </c>
      <c r="AA39" s="1814">
        <f t="shared" si="3"/>
        <v>1</v>
      </c>
      <c r="AB39" s="1814">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3"/>
      <c r="Q40" s="1813" t="str">
        <f t="shared" si="11"/>
        <v>市政基础设施</v>
      </c>
      <c r="R40" s="774" t="s">
        <v>17</v>
      </c>
      <c r="S40" s="775">
        <f t="shared" si="12"/>
        <v>100</v>
      </c>
      <c r="T40" s="774" t="s">
        <v>17</v>
      </c>
      <c r="U40" s="775">
        <f t="shared" si="13"/>
        <v>100</v>
      </c>
      <c r="V40" s="774" t="s">
        <v>17</v>
      </c>
      <c r="W40" s="775">
        <f t="shared" si="14"/>
        <v>100</v>
      </c>
      <c r="X40" s="1816"/>
      <c r="Y40" s="3171"/>
      <c r="Z40" s="1817" t="str">
        <f t="shared" si="15"/>
        <v>市政基础设施</v>
      </c>
      <c r="AA40" s="1814">
        <f t="shared" si="3"/>
        <v>1</v>
      </c>
      <c r="AB40" s="1814">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3"/>
      <c r="Q41" s="1813" t="str">
        <f t="shared" si="11"/>
        <v>层高</v>
      </c>
      <c r="R41" s="774" t="s">
        <v>17</v>
      </c>
      <c r="S41" s="775">
        <f t="shared" si="12"/>
        <v>100</v>
      </c>
      <c r="T41" s="774" t="s">
        <v>17</v>
      </c>
      <c r="U41" s="775">
        <f t="shared" si="13"/>
        <v>100</v>
      </c>
      <c r="V41" s="774" t="s">
        <v>17</v>
      </c>
      <c r="W41" s="775">
        <f t="shared" si="14"/>
        <v>100</v>
      </c>
      <c r="X41" s="1816"/>
      <c r="Y41" s="3171"/>
      <c r="Z41" s="1817" t="str">
        <f t="shared" si="15"/>
        <v>层高</v>
      </c>
      <c r="AA41" s="1814">
        <f t="shared" si="3"/>
        <v>1</v>
      </c>
      <c r="AB41" s="1814">
        <f t="shared" si="4"/>
        <v>1</v>
      </c>
      <c r="AC41" s="2672">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3"/>
      <c r="Q42" s="776" t="str">
        <f t="shared" si="11"/>
        <v>单套建筑面积</v>
      </c>
      <c r="R42" s="777" t="s">
        <v>17</v>
      </c>
      <c r="S42" s="778">
        <f t="shared" si="12"/>
        <v>100</v>
      </c>
      <c r="T42" s="777" t="s">
        <v>17</v>
      </c>
      <c r="U42" s="778">
        <f t="shared" si="13"/>
        <v>100</v>
      </c>
      <c r="V42" s="777" t="s">
        <v>17</v>
      </c>
      <c r="W42" s="778">
        <f t="shared" si="14"/>
        <v>100</v>
      </c>
      <c r="X42" s="779"/>
      <c r="Y42" s="3171"/>
      <c r="Z42" s="780" t="str">
        <f t="shared" si="15"/>
        <v>单套建筑面积</v>
      </c>
      <c r="AA42" s="1814">
        <f t="shared" si="3"/>
        <v>1</v>
      </c>
      <c r="AB42" s="1814">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3"/>
      <c r="Q43" s="1813" t="str">
        <f t="shared" si="11"/>
        <v>内部装修</v>
      </c>
      <c r="R43" s="774" t="s">
        <v>17</v>
      </c>
      <c r="S43" s="775">
        <f t="shared" si="12"/>
        <v>100</v>
      </c>
      <c r="T43" s="774" t="s">
        <v>17</v>
      </c>
      <c r="U43" s="775">
        <f t="shared" si="13"/>
        <v>100</v>
      </c>
      <c r="V43" s="774" t="s">
        <v>17</v>
      </c>
      <c r="W43" s="775">
        <f t="shared" si="14"/>
        <v>100</v>
      </c>
      <c r="X43" s="1816"/>
      <c r="Y43" s="3171"/>
      <c r="Z43" s="1817" t="str">
        <f t="shared" si="15"/>
        <v>内部装修</v>
      </c>
      <c r="AA43" s="1814">
        <f t="shared" si="3"/>
        <v>1</v>
      </c>
      <c r="AB43" s="1814">
        <f t="shared" si="4"/>
        <v>1</v>
      </c>
      <c r="AC43" s="2672">
        <f t="shared" si="5"/>
        <v>1</v>
      </c>
    </row>
    <row r="44" spans="1:29" ht="15">
      <c r="A44" s="472"/>
      <c r="B44" s="422" t="s">
        <v>2575</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13"/>
      <c r="Q44" s="1813" t="str">
        <f t="shared" si="11"/>
        <v>内部装修维护情况</v>
      </c>
      <c r="R44" s="774" t="s">
        <v>17</v>
      </c>
      <c r="S44" s="775">
        <f t="shared" si="12"/>
        <v>100</v>
      </c>
      <c r="T44" s="774" t="s">
        <v>17</v>
      </c>
      <c r="U44" s="775">
        <f t="shared" si="13"/>
        <v>100</v>
      </c>
      <c r="V44" s="774" t="s">
        <v>17</v>
      </c>
      <c r="W44" s="775">
        <f t="shared" si="14"/>
        <v>100</v>
      </c>
      <c r="X44" s="1816"/>
      <c r="Y44" s="3171"/>
      <c r="Z44" s="1817" t="str">
        <f t="shared" si="15"/>
        <v>内部装修维护情况</v>
      </c>
      <c r="AA44" s="1814">
        <f t="shared" si="3"/>
        <v>1</v>
      </c>
      <c r="AB44" s="1814">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3"/>
      <c r="Q45" s="1798">
        <f t="shared" si="11"/>
        <v>111</v>
      </c>
      <c r="R45" s="770" t="s">
        <v>17</v>
      </c>
      <c r="S45" s="771">
        <f t="shared" si="12"/>
        <v>100</v>
      </c>
      <c r="T45" s="770" t="s">
        <v>17</v>
      </c>
      <c r="U45" s="771">
        <f t="shared" si="13"/>
        <v>100</v>
      </c>
      <c r="V45" s="770" t="s">
        <v>17</v>
      </c>
      <c r="W45" s="771">
        <f t="shared" si="14"/>
        <v>100</v>
      </c>
      <c r="X45" s="772"/>
      <c r="Y45" s="3171"/>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3"/>
      <c r="Q46" s="1813">
        <f t="shared" si="11"/>
        <v>111</v>
      </c>
      <c r="R46" s="774" t="s">
        <v>17</v>
      </c>
      <c r="S46" s="775">
        <f t="shared" si="12"/>
        <v>100</v>
      </c>
      <c r="T46" s="774" t="s">
        <v>17</v>
      </c>
      <c r="U46" s="775">
        <f t="shared" si="13"/>
        <v>100</v>
      </c>
      <c r="V46" s="774" t="s">
        <v>17</v>
      </c>
      <c r="W46" s="775">
        <f t="shared" si="14"/>
        <v>100</v>
      </c>
      <c r="X46" s="1816"/>
      <c r="Y46" s="3171"/>
      <c r="Z46" s="1817">
        <f t="shared" si="15"/>
        <v>111</v>
      </c>
      <c r="AA46" s="1814">
        <f t="shared" si="3"/>
        <v>1</v>
      </c>
      <c r="AB46" s="1814">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4"/>
      <c r="Q47" s="1813">
        <f t="shared" si="11"/>
        <v>111</v>
      </c>
      <c r="R47" s="774" t="s">
        <v>17</v>
      </c>
      <c r="S47" s="775">
        <f t="shared" si="12"/>
        <v>100</v>
      </c>
      <c r="T47" s="774" t="s">
        <v>17</v>
      </c>
      <c r="U47" s="775">
        <f t="shared" si="13"/>
        <v>100</v>
      </c>
      <c r="V47" s="774" t="s">
        <v>17</v>
      </c>
      <c r="W47" s="775">
        <f t="shared" si="14"/>
        <v>100</v>
      </c>
      <c r="X47" s="1816"/>
      <c r="Y47" s="3215"/>
      <c r="Z47" s="1817">
        <f t="shared" si="15"/>
        <v>111</v>
      </c>
      <c r="AA47" s="1814">
        <f t="shared" si="3"/>
        <v>1</v>
      </c>
      <c r="AB47" s="1814">
        <f t="shared" si="4"/>
        <v>1</v>
      </c>
      <c r="AC47" s="2672">
        <f t="shared" si="5"/>
        <v>1</v>
      </c>
    </row>
    <row r="48" spans="1:29" ht="15">
      <c r="A48" s="479" t="s">
        <v>2576</v>
      </c>
      <c r="B48" s="480"/>
      <c r="C48" s="1410" t="s">
        <v>1</v>
      </c>
      <c r="D48" s="1411"/>
      <c r="E48" s="1412"/>
      <c r="F48" s="1413"/>
      <c r="G48" s="1414"/>
      <c r="H48" s="1415"/>
      <c r="I48" s="1412"/>
      <c r="J48" s="485"/>
      <c r="K48" s="783"/>
      <c r="L48" s="1146"/>
      <c r="M48" s="1134"/>
      <c r="N48" s="1134"/>
      <c r="O48" s="1134"/>
      <c r="P48" s="3165" t="str">
        <f>A48</f>
        <v>成交单价（元/平方米）</v>
      </c>
      <c r="Q48" s="3166"/>
      <c r="R48" s="3211">
        <f>E48</f>
        <v>0</v>
      </c>
      <c r="S48" s="3211"/>
      <c r="T48" s="3211">
        <f>G48</f>
        <v>0</v>
      </c>
      <c r="U48" s="3211"/>
      <c r="V48" s="3211">
        <f>I48</f>
        <v>0</v>
      </c>
      <c r="W48" s="3211"/>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65" t="str">
        <f>A49</f>
        <v>比较价值（元/平方米）</v>
      </c>
      <c r="Q49" s="3166"/>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43" t="str">
        <f>A50</f>
        <v>估价对象XX用房的比较价值（楼面单价，元/平方米）</v>
      </c>
      <c r="Q50" s="3244"/>
      <c r="R50" s="3245" t="e">
        <f>IF(F1="售价",ROUND(AVERAGE(R49:V49),0),ROUND(AVERAGE(R49:V49),1))</f>
        <v>#DIV/0!</v>
      </c>
      <c r="S50" s="3245"/>
      <c r="T50" s="3245"/>
      <c r="U50" s="3245"/>
      <c r="V50" s="3245"/>
      <c r="W50" s="3245"/>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79"/>
      <c r="Q58" s="504"/>
    </row>
    <row r="59" spans="1:29" s="508" customFormat="1" ht="15">
      <c r="A59" s="505" t="s">
        <v>2547</v>
      </c>
      <c r="B59" s="506"/>
      <c r="C59" s="1577" t="str">
        <f>YEAR(C7)&amp;"-"&amp;MONTH(C7)</f>
        <v>2012-12</v>
      </c>
      <c r="D59" s="1578">
        <f>EDATE(C59,-1)</f>
        <v>41214</v>
      </c>
      <c r="E59" s="1578">
        <f>EDATE(D59,-1)</f>
        <v>41183</v>
      </c>
      <c r="F59" s="1578">
        <f t="shared" ref="F59:O59" si="16">EDATE(E59,-1)</f>
        <v>41153</v>
      </c>
      <c r="G59" s="1578">
        <f t="shared" si="16"/>
        <v>41122</v>
      </c>
      <c r="H59" s="1578">
        <f t="shared" si="16"/>
        <v>41091</v>
      </c>
      <c r="I59" s="1578">
        <f t="shared" si="16"/>
        <v>41061</v>
      </c>
      <c r="J59" s="1578">
        <f t="shared" si="16"/>
        <v>41030</v>
      </c>
      <c r="K59" s="1578">
        <f t="shared" si="16"/>
        <v>41000</v>
      </c>
      <c r="L59" s="1578">
        <f t="shared" si="16"/>
        <v>40969</v>
      </c>
      <c r="M59" s="1578">
        <f t="shared" si="16"/>
        <v>40940</v>
      </c>
      <c r="N59" s="1578">
        <f t="shared" si="16"/>
        <v>40909</v>
      </c>
      <c r="O59" s="1578">
        <f t="shared" si="16"/>
        <v>40878</v>
      </c>
      <c r="P59" s="1574"/>
    </row>
    <row r="60" spans="1:29" s="117" customFormat="1" ht="15">
      <c r="A60" s="509"/>
      <c r="B60" s="510"/>
      <c r="C60" s="1576">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2587</v>
      </c>
      <c r="B64" s="528" t="s">
        <v>2553</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2698</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2562</v>
      </c>
      <c r="B101" s="528" t="s">
        <v>2611</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2613</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2615</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2616</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2617</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2700</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2619</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67" t="s">
        <v>2701</v>
      </c>
      <c r="C1" s="1623" t="s">
        <v>2529</v>
      </c>
      <c r="D1" s="1624"/>
      <c r="E1" s="1633"/>
      <c r="F1" s="2585"/>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87"/>
      <c r="D2" s="1127"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107692.8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63" t="s">
        <v>2645</v>
      </c>
      <c r="D4" s="3176"/>
      <c r="E4" s="3177" t="s">
        <v>2646</v>
      </c>
      <c r="F4" s="3178"/>
      <c r="G4" s="3163" t="s">
        <v>2647</v>
      </c>
      <c r="H4" s="3176"/>
      <c r="I4" s="3163" t="s">
        <v>2648</v>
      </c>
      <c r="J4" s="3176"/>
      <c r="K4" s="610" t="s">
        <v>2649</v>
      </c>
      <c r="L4" s="1133"/>
      <c r="M4" s="1134"/>
      <c r="N4" s="1134"/>
      <c r="O4" s="1134"/>
      <c r="P4" s="3179" t="s">
        <v>2650</v>
      </c>
      <c r="Q4" s="3180"/>
      <c r="R4" s="3185" t="s">
        <v>2646</v>
      </c>
      <c r="S4" s="3186"/>
      <c r="T4" s="3185" t="s">
        <v>2647</v>
      </c>
      <c r="U4" s="3186"/>
      <c r="V4" s="3172" t="s">
        <v>2648</v>
      </c>
      <c r="W4" s="3172"/>
      <c r="X4" s="1816"/>
      <c r="Y4" s="3185" t="s">
        <v>2650</v>
      </c>
      <c r="Z4" s="3186"/>
      <c r="AA4" s="3173" t="s">
        <v>2646</v>
      </c>
      <c r="AB4" s="3174" t="s">
        <v>2647</v>
      </c>
      <c r="AC4" s="3173" t="s">
        <v>2648</v>
      </c>
    </row>
    <row r="5" spans="1:29" ht="15">
      <c r="A5" s="404"/>
      <c r="B5" s="405"/>
      <c r="C5" s="3193" t="s">
        <v>2541</v>
      </c>
      <c r="D5" s="3194"/>
      <c r="E5" s="3200" t="s">
        <v>2542</v>
      </c>
      <c r="F5" s="3201"/>
      <c r="G5" s="3193" t="s">
        <v>2543</v>
      </c>
      <c r="H5" s="3194"/>
      <c r="I5" s="3193" t="s">
        <v>2544</v>
      </c>
      <c r="J5" s="3194"/>
      <c r="K5" s="610"/>
      <c r="L5" s="1133"/>
      <c r="M5" s="1134"/>
      <c r="N5" s="1134"/>
      <c r="O5" s="1134"/>
      <c r="P5" s="3181"/>
      <c r="Q5" s="3182"/>
      <c r="R5" s="3187"/>
      <c r="S5" s="3188"/>
      <c r="T5" s="3187"/>
      <c r="U5" s="3188"/>
      <c r="V5" s="3172"/>
      <c r="W5" s="3172"/>
      <c r="X5" s="1816"/>
      <c r="Y5" s="3187"/>
      <c r="Z5" s="3188"/>
      <c r="AA5" s="3174"/>
      <c r="AB5" s="3174"/>
      <c r="AC5" s="3174"/>
    </row>
    <row r="6" spans="1:29" ht="15.75" thickBot="1">
      <c r="A6" s="406"/>
      <c r="B6" s="407"/>
      <c r="C6" s="3191" t="s">
        <v>2545</v>
      </c>
      <c r="D6" s="3192"/>
      <c r="E6" s="3198" t="s">
        <v>2545</v>
      </c>
      <c r="F6" s="3199"/>
      <c r="G6" s="3191" t="s">
        <v>2545</v>
      </c>
      <c r="H6" s="3192"/>
      <c r="I6" s="3191" t="s">
        <v>2545</v>
      </c>
      <c r="J6" s="3192"/>
      <c r="K6" s="610" t="s">
        <v>2546</v>
      </c>
      <c r="L6" s="1133"/>
      <c r="M6" s="1134"/>
      <c r="N6" s="1134"/>
      <c r="O6" s="1134"/>
      <c r="P6" s="3183"/>
      <c r="Q6" s="3184"/>
      <c r="R6" s="3187"/>
      <c r="S6" s="3188"/>
      <c r="T6" s="3189"/>
      <c r="U6" s="3190"/>
      <c r="V6" s="3172"/>
      <c r="W6" s="3172"/>
      <c r="X6" s="1816"/>
      <c r="Y6" s="3189"/>
      <c r="Z6" s="3190"/>
      <c r="AA6" s="3175"/>
      <c r="AB6" s="3175"/>
      <c r="AC6" s="3175"/>
    </row>
    <row r="7" spans="1:29" s="117" customFormat="1" ht="15.75" thickBot="1">
      <c r="A7" s="408" t="s">
        <v>2547</v>
      </c>
      <c r="B7" s="409"/>
      <c r="C7" s="410">
        <f>'数据-取费表'!B2</f>
        <v>41273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5" t="s">
        <v>2548</v>
      </c>
      <c r="Q7" s="3197"/>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5" t="s">
        <v>2551</v>
      </c>
      <c r="Q8" s="3196"/>
      <c r="R8" s="770" t="s">
        <v>17</v>
      </c>
      <c r="S8" s="771">
        <f t="shared" si="0"/>
        <v>0</v>
      </c>
      <c r="T8" s="770" t="s">
        <v>17</v>
      </c>
      <c r="U8" s="771">
        <f t="shared" si="1"/>
        <v>0</v>
      </c>
      <c r="V8" s="770" t="s">
        <v>17</v>
      </c>
      <c r="W8" s="771">
        <f t="shared" si="2"/>
        <v>0</v>
      </c>
      <c r="X8" s="772"/>
      <c r="Y8" s="3195" t="s">
        <v>2551</v>
      </c>
      <c r="Z8" s="319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6" t="s">
        <v>2554</v>
      </c>
      <c r="Q9" s="1798"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6"/>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6"/>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166"/>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166"/>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8" t="s">
        <v>2559</v>
      </c>
      <c r="Q15" s="1813" t="str">
        <f t="shared" si="6"/>
        <v>产业集聚程度</v>
      </c>
      <c r="R15" s="774" t="s">
        <v>17</v>
      </c>
      <c r="S15" s="775">
        <f t="shared" si="0"/>
        <v>100</v>
      </c>
      <c r="T15" s="774" t="s">
        <v>17</v>
      </c>
      <c r="U15" s="775">
        <f t="shared" si="1"/>
        <v>100</v>
      </c>
      <c r="V15" s="774" t="s">
        <v>17</v>
      </c>
      <c r="W15" s="775">
        <f t="shared" si="2"/>
        <v>100</v>
      </c>
      <c r="X15" s="1816"/>
      <c r="Y15" s="3168"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9"/>
      <c r="Q16" s="1813"/>
      <c r="R16" s="774"/>
      <c r="S16" s="775"/>
      <c r="T16" s="774"/>
      <c r="U16" s="775"/>
      <c r="V16" s="774"/>
      <c r="W16" s="775"/>
      <c r="X16" s="1816"/>
      <c r="Y16" s="3169"/>
      <c r="Z16" s="1817"/>
      <c r="AA16" s="1814">
        <v>1</v>
      </c>
      <c r="AB16" s="1814">
        <v>1</v>
      </c>
      <c r="AC16" s="1814">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9"/>
      <c r="Q17" s="1813" t="str">
        <f>B17</f>
        <v>交通便捷度</v>
      </c>
      <c r="R17" s="774" t="s">
        <v>17</v>
      </c>
      <c r="S17" s="775">
        <f>F17</f>
        <v>100</v>
      </c>
      <c r="T17" s="774" t="s">
        <v>17</v>
      </c>
      <c r="U17" s="775">
        <f>H17</f>
        <v>100</v>
      </c>
      <c r="V17" s="774" t="s">
        <v>17</v>
      </c>
      <c r="W17" s="775">
        <f>J17</f>
        <v>100</v>
      </c>
      <c r="X17" s="1816"/>
      <c r="Y17" s="3169"/>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42"/>
      <c r="P18" s="3169"/>
      <c r="Q18" s="1813"/>
      <c r="R18" s="774"/>
      <c r="S18" s="775"/>
      <c r="T18" s="774"/>
      <c r="U18" s="775"/>
      <c r="V18" s="774"/>
      <c r="W18" s="775"/>
      <c r="X18" s="1816"/>
      <c r="Y18" s="3169"/>
      <c r="Z18" s="1817"/>
      <c r="AA18" s="1814">
        <v>1</v>
      </c>
      <c r="AB18" s="1814">
        <v>1</v>
      </c>
      <c r="AC18" s="1814">
        <v>1</v>
      </c>
    </row>
    <row r="19" spans="1:29" ht="42.75">
      <c r="A19" s="428"/>
      <c r="B19" s="451" t="s">
        <v>2687</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9"/>
      <c r="Q19" s="1813" t="str">
        <f>B19</f>
        <v>公共配套设施</v>
      </c>
      <c r="R19" s="774" t="s">
        <v>17</v>
      </c>
      <c r="S19" s="775">
        <f>F19</f>
        <v>100</v>
      </c>
      <c r="T19" s="774" t="s">
        <v>17</v>
      </c>
      <c r="U19" s="775">
        <f>H19</f>
        <v>100</v>
      </c>
      <c r="V19" s="774" t="s">
        <v>17</v>
      </c>
      <c r="W19" s="775">
        <f>J19</f>
        <v>100</v>
      </c>
      <c r="X19" s="1816"/>
      <c r="Y19" s="3169"/>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42"/>
      <c r="P20" s="3169"/>
      <c r="Q20" s="1813"/>
      <c r="R20" s="774"/>
      <c r="S20" s="775"/>
      <c r="T20" s="774"/>
      <c r="U20" s="775"/>
      <c r="V20" s="774"/>
      <c r="W20" s="775"/>
      <c r="X20" s="1816"/>
      <c r="Y20" s="3169"/>
      <c r="Z20" s="1817"/>
      <c r="AA20" s="1814">
        <v>1</v>
      </c>
      <c r="AB20" s="1814">
        <v>1</v>
      </c>
      <c r="AC20" s="1814">
        <v>1</v>
      </c>
    </row>
    <row r="21" spans="1:29" ht="28.5">
      <c r="A21" s="428"/>
      <c r="B21" s="1387" t="s">
        <v>2688</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9"/>
      <c r="Q21" s="1813" t="str">
        <f>B21</f>
        <v>基础设施水平</v>
      </c>
      <c r="R21" s="774" t="s">
        <v>17</v>
      </c>
      <c r="S21" s="775">
        <f>F21</f>
        <v>100</v>
      </c>
      <c r="T21" s="774" t="s">
        <v>17</v>
      </c>
      <c r="U21" s="775">
        <f>H21</f>
        <v>100</v>
      </c>
      <c r="V21" s="774" t="s">
        <v>17</v>
      </c>
      <c r="W21" s="775">
        <f>J21</f>
        <v>100</v>
      </c>
      <c r="X21" s="1816"/>
      <c r="Y21" s="3169"/>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42"/>
      <c r="P22" s="3169"/>
      <c r="Q22" s="1813"/>
      <c r="R22" s="774"/>
      <c r="S22" s="775"/>
      <c r="T22" s="774"/>
      <c r="U22" s="775"/>
      <c r="V22" s="774"/>
      <c r="W22" s="775"/>
      <c r="X22" s="1816"/>
      <c r="Y22" s="3169"/>
      <c r="Z22" s="1817"/>
      <c r="AA22" s="1814">
        <v>1</v>
      </c>
      <c r="AB22" s="1814">
        <v>1</v>
      </c>
      <c r="AC22" s="1814">
        <v>1</v>
      </c>
    </row>
    <row r="23" spans="1:29" ht="71.25">
      <c r="A23" s="428"/>
      <c r="B23" s="451" t="s">
        <v>2689</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9"/>
      <c r="Q23" s="1813" t="str">
        <f>B23</f>
        <v>环境质量</v>
      </c>
      <c r="R23" s="774" t="s">
        <v>17</v>
      </c>
      <c r="S23" s="775">
        <f>F23</f>
        <v>100</v>
      </c>
      <c r="T23" s="774" t="s">
        <v>17</v>
      </c>
      <c r="U23" s="775">
        <f>H23</f>
        <v>100</v>
      </c>
      <c r="V23" s="774" t="s">
        <v>17</v>
      </c>
      <c r="W23" s="775">
        <f>J23</f>
        <v>100</v>
      </c>
      <c r="X23" s="1816"/>
      <c r="Y23" s="3169"/>
      <c r="Z23" s="1817" t="str">
        <f>Q23</f>
        <v>环境质量</v>
      </c>
      <c r="AA23" s="1814">
        <f t="shared" si="3"/>
        <v>1</v>
      </c>
      <c r="AB23" s="1814">
        <f t="shared" si="4"/>
        <v>1</v>
      </c>
      <c r="AC23" s="1814">
        <f t="shared" si="5"/>
        <v>1</v>
      </c>
    </row>
    <row r="24" spans="1:29" ht="15">
      <c r="A24" s="428"/>
      <c r="B24" s="1387"/>
      <c r="C24" s="447"/>
      <c r="D24" s="448"/>
      <c r="E24" s="2605"/>
      <c r="F24" s="449"/>
      <c r="G24" s="2604"/>
      <c r="H24" s="448"/>
      <c r="I24" s="2605"/>
      <c r="J24" s="448"/>
      <c r="K24" s="615"/>
      <c r="L24" s="1143"/>
      <c r="M24" s="1134"/>
      <c r="N24" s="1134"/>
      <c r="O24" s="1142"/>
      <c r="P24" s="3169"/>
      <c r="Q24" s="1813"/>
      <c r="R24" s="774"/>
      <c r="S24" s="775"/>
      <c r="T24" s="774"/>
      <c r="U24" s="775"/>
      <c r="V24" s="774"/>
      <c r="W24" s="775"/>
      <c r="X24" s="1816"/>
      <c r="Y24" s="316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9"/>
      <c r="Q25" s="1813">
        <f>B25</f>
        <v>111</v>
      </c>
      <c r="R25" s="774" t="s">
        <v>17</v>
      </c>
      <c r="S25" s="775">
        <f>F25</f>
        <v>100</v>
      </c>
      <c r="T25" s="774" t="s">
        <v>17</v>
      </c>
      <c r="U25" s="775">
        <f>H25</f>
        <v>100</v>
      </c>
      <c r="V25" s="774" t="s">
        <v>17</v>
      </c>
      <c r="W25" s="775">
        <f>J25</f>
        <v>100</v>
      </c>
      <c r="X25" s="1816"/>
      <c r="Y25" s="316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9"/>
      <c r="Q26" s="1813">
        <f t="shared" ref="Q26:Q40" si="11">B26</f>
        <v>111</v>
      </c>
      <c r="R26" s="774" t="s">
        <v>17</v>
      </c>
      <c r="S26" s="775">
        <f>F26</f>
        <v>100</v>
      </c>
      <c r="T26" s="774" t="s">
        <v>17</v>
      </c>
      <c r="U26" s="775">
        <f>H26</f>
        <v>100</v>
      </c>
      <c r="V26" s="774" t="s">
        <v>17</v>
      </c>
      <c r="W26" s="775">
        <f>J26</f>
        <v>100</v>
      </c>
      <c r="X26" s="1816"/>
      <c r="Y26" s="316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9"/>
      <c r="Q27" s="1798">
        <f t="shared" si="11"/>
        <v>111</v>
      </c>
      <c r="R27" s="770" t="s">
        <v>17</v>
      </c>
      <c r="S27" s="771">
        <f>F27</f>
        <v>100</v>
      </c>
      <c r="T27" s="770" t="s">
        <v>17</v>
      </c>
      <c r="U27" s="771">
        <f>H27</f>
        <v>100</v>
      </c>
      <c r="V27" s="770" t="s">
        <v>17</v>
      </c>
      <c r="W27" s="771">
        <f>J27</f>
        <v>100</v>
      </c>
      <c r="X27" s="772"/>
      <c r="Y27" s="316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9"/>
      <c r="Q28" s="1813">
        <f t="shared" si="11"/>
        <v>111</v>
      </c>
      <c r="R28" s="774" t="s">
        <v>17</v>
      </c>
      <c r="S28" s="775">
        <f t="shared" ref="S28:S40" si="12">F28</f>
        <v>100</v>
      </c>
      <c r="T28" s="774" t="s">
        <v>17</v>
      </c>
      <c r="U28" s="775">
        <f t="shared" ref="U28:U40" si="13">H28</f>
        <v>100</v>
      </c>
      <c r="V28" s="774" t="s">
        <v>17</v>
      </c>
      <c r="W28" s="775">
        <f t="shared" ref="W28:W40" si="14">J28</f>
        <v>100</v>
      </c>
      <c r="X28" s="1816"/>
      <c r="Y28" s="3169"/>
      <c r="Z28" s="1817">
        <f t="shared" ref="Z28:Z40" si="15">Q28</f>
        <v>111</v>
      </c>
      <c r="AA28" s="1814">
        <f t="shared" si="3"/>
        <v>1</v>
      </c>
      <c r="AB28" s="1814">
        <f t="shared" si="4"/>
        <v>1</v>
      </c>
      <c r="AC28" s="1814">
        <f t="shared" si="5"/>
        <v>1</v>
      </c>
    </row>
    <row r="29" spans="1:29" ht="1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170" t="s">
        <v>2564</v>
      </c>
      <c r="Q29" s="1813" t="str">
        <f t="shared" si="11"/>
        <v>建筑类型</v>
      </c>
      <c r="R29" s="774" t="s">
        <v>17</v>
      </c>
      <c r="S29" s="775">
        <f t="shared" si="12"/>
        <v>100</v>
      </c>
      <c r="T29" s="774" t="s">
        <v>17</v>
      </c>
      <c r="U29" s="775">
        <f t="shared" si="13"/>
        <v>100</v>
      </c>
      <c r="V29" s="774" t="s">
        <v>17</v>
      </c>
      <c r="W29" s="775">
        <f t="shared" si="14"/>
        <v>100</v>
      </c>
      <c r="X29" s="1816"/>
      <c r="Y29" s="3171"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1"/>
      <c r="Q30" s="776" t="str">
        <f t="shared" si="11"/>
        <v>项目建筑规模</v>
      </c>
      <c r="R30" s="777" t="s">
        <v>17</v>
      </c>
      <c r="S30" s="778" t="e">
        <f t="shared" si="12"/>
        <v>#N/A</v>
      </c>
      <c r="T30" s="777" t="s">
        <v>17</v>
      </c>
      <c r="U30" s="778" t="e">
        <f t="shared" si="13"/>
        <v>#N/A</v>
      </c>
      <c r="V30" s="777" t="s">
        <v>17</v>
      </c>
      <c r="W30" s="778" t="e">
        <f t="shared" si="14"/>
        <v>#N/A</v>
      </c>
      <c r="X30" s="779"/>
      <c r="Y30" s="3171"/>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1"/>
      <c r="Q31" s="1813" t="str">
        <f t="shared" si="11"/>
        <v>建筑结构</v>
      </c>
      <c r="R31" s="774" t="s">
        <v>17</v>
      </c>
      <c r="S31" s="775">
        <f t="shared" si="12"/>
        <v>100</v>
      </c>
      <c r="T31" s="774" t="s">
        <v>17</v>
      </c>
      <c r="U31" s="775">
        <f t="shared" si="13"/>
        <v>100</v>
      </c>
      <c r="V31" s="774" t="s">
        <v>17</v>
      </c>
      <c r="W31" s="775">
        <f t="shared" si="14"/>
        <v>100</v>
      </c>
      <c r="X31" s="1816"/>
      <c r="Y31" s="3171"/>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1"/>
      <c r="Q32" s="1813" t="str">
        <f t="shared" si="11"/>
        <v>公共部分装修</v>
      </c>
      <c r="R32" s="774" t="s">
        <v>17</v>
      </c>
      <c r="S32" s="775">
        <f t="shared" si="12"/>
        <v>100</v>
      </c>
      <c r="T32" s="774" t="s">
        <v>17</v>
      </c>
      <c r="U32" s="775">
        <f t="shared" si="13"/>
        <v>100</v>
      </c>
      <c r="V32" s="774" t="s">
        <v>17</v>
      </c>
      <c r="W32" s="775">
        <f t="shared" si="14"/>
        <v>100</v>
      </c>
      <c r="X32" s="1816"/>
      <c r="Y32" s="3171"/>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1"/>
      <c r="Q33" s="1813" t="str">
        <f t="shared" si="11"/>
        <v>成新度</v>
      </c>
      <c r="R33" s="774" t="s">
        <v>17</v>
      </c>
      <c r="S33" s="775" t="e">
        <f t="shared" si="12"/>
        <v>#N/A</v>
      </c>
      <c r="T33" s="774" t="s">
        <v>17</v>
      </c>
      <c r="U33" s="775" t="e">
        <f t="shared" si="13"/>
        <v>#N/A</v>
      </c>
      <c r="V33" s="774" t="s">
        <v>17</v>
      </c>
      <c r="W33" s="775" t="e">
        <f t="shared" si="14"/>
        <v>#N/A</v>
      </c>
      <c r="X33" s="1816"/>
      <c r="Y33" s="3171"/>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1"/>
      <c r="Q34" s="1798" t="str">
        <f t="shared" si="11"/>
        <v>物业管理</v>
      </c>
      <c r="R34" s="770" t="s">
        <v>17</v>
      </c>
      <c r="S34" s="771">
        <f t="shared" si="12"/>
        <v>100</v>
      </c>
      <c r="T34" s="770" t="s">
        <v>17</v>
      </c>
      <c r="U34" s="771">
        <f t="shared" si="13"/>
        <v>100</v>
      </c>
      <c r="V34" s="770" t="s">
        <v>17</v>
      </c>
      <c r="W34" s="771">
        <f t="shared" si="14"/>
        <v>100</v>
      </c>
      <c r="X34" s="772"/>
      <c r="Y34" s="3171"/>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1" t="s">
        <v>2564</v>
      </c>
      <c r="Q35" s="1813" t="str">
        <f t="shared" si="11"/>
        <v>市政基础设施</v>
      </c>
      <c r="R35" s="774" t="s">
        <v>17</v>
      </c>
      <c r="S35" s="775">
        <f t="shared" si="12"/>
        <v>100</v>
      </c>
      <c r="T35" s="774" t="s">
        <v>17</v>
      </c>
      <c r="U35" s="775">
        <f t="shared" si="13"/>
        <v>100</v>
      </c>
      <c r="V35" s="774" t="s">
        <v>17</v>
      </c>
      <c r="W35" s="775">
        <f t="shared" si="14"/>
        <v>100</v>
      </c>
      <c r="X35" s="1816"/>
      <c r="Y35" s="3171"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1"/>
      <c r="Q36" s="1813" t="str">
        <f t="shared" si="11"/>
        <v>内部装修</v>
      </c>
      <c r="R36" s="774" t="s">
        <v>17</v>
      </c>
      <c r="S36" s="775">
        <f t="shared" si="12"/>
        <v>100</v>
      </c>
      <c r="T36" s="774" t="s">
        <v>17</v>
      </c>
      <c r="U36" s="775">
        <f t="shared" si="13"/>
        <v>100</v>
      </c>
      <c r="V36" s="774" t="s">
        <v>17</v>
      </c>
      <c r="W36" s="775">
        <f t="shared" si="14"/>
        <v>100</v>
      </c>
      <c r="X36" s="1816"/>
      <c r="Y36" s="3171"/>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1"/>
      <c r="Q37" s="1813" t="str">
        <f t="shared" si="11"/>
        <v>内部装修状况</v>
      </c>
      <c r="R37" s="774" t="s">
        <v>17</v>
      </c>
      <c r="S37" s="775">
        <f t="shared" si="12"/>
        <v>100</v>
      </c>
      <c r="T37" s="774" t="s">
        <v>17</v>
      </c>
      <c r="U37" s="775">
        <f t="shared" si="13"/>
        <v>100</v>
      </c>
      <c r="V37" s="774" t="s">
        <v>17</v>
      </c>
      <c r="W37" s="775">
        <f t="shared" si="14"/>
        <v>100</v>
      </c>
      <c r="X37" s="1816"/>
      <c r="Y37" s="317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1"/>
      <c r="Q38" s="776">
        <f t="shared" si="11"/>
        <v>111</v>
      </c>
      <c r="R38" s="777" t="s">
        <v>17</v>
      </c>
      <c r="S38" s="778">
        <f t="shared" si="12"/>
        <v>100</v>
      </c>
      <c r="T38" s="777" t="s">
        <v>17</v>
      </c>
      <c r="U38" s="778">
        <f t="shared" si="13"/>
        <v>100</v>
      </c>
      <c r="V38" s="777" t="s">
        <v>17</v>
      </c>
      <c r="W38" s="778">
        <f t="shared" si="14"/>
        <v>100</v>
      </c>
      <c r="X38" s="779"/>
      <c r="Y38" s="317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1"/>
      <c r="Q39" s="1813">
        <f t="shared" si="11"/>
        <v>111</v>
      </c>
      <c r="R39" s="774" t="s">
        <v>17</v>
      </c>
      <c r="S39" s="775">
        <f t="shared" si="12"/>
        <v>100</v>
      </c>
      <c r="T39" s="774" t="s">
        <v>17</v>
      </c>
      <c r="U39" s="775">
        <f t="shared" si="13"/>
        <v>100</v>
      </c>
      <c r="V39" s="774" t="s">
        <v>17</v>
      </c>
      <c r="W39" s="775">
        <f t="shared" si="14"/>
        <v>100</v>
      </c>
      <c r="X39" s="1816"/>
      <c r="Y39" s="3171"/>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5"/>
      <c r="Q40" s="1813">
        <f t="shared" si="11"/>
        <v>111</v>
      </c>
      <c r="R40" s="774" t="s">
        <v>17</v>
      </c>
      <c r="S40" s="775">
        <f t="shared" si="12"/>
        <v>100</v>
      </c>
      <c r="T40" s="774" t="s">
        <v>17</v>
      </c>
      <c r="U40" s="775">
        <f t="shared" si="13"/>
        <v>100</v>
      </c>
      <c r="V40" s="774" t="s">
        <v>17</v>
      </c>
      <c r="W40" s="775">
        <f t="shared" si="14"/>
        <v>100</v>
      </c>
      <c r="X40" s="1816"/>
      <c r="Y40" s="3215"/>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166" t="str">
        <f>A41</f>
        <v>成交单价（元/平方米）</v>
      </c>
      <c r="Q41" s="3166"/>
      <c r="R41" s="3211">
        <f>E41</f>
        <v>0</v>
      </c>
      <c r="S41" s="3211"/>
      <c r="T41" s="3211">
        <f>G41</f>
        <v>0</v>
      </c>
      <c r="U41" s="3211"/>
      <c r="V41" s="3211">
        <f>I41</f>
        <v>0</v>
      </c>
      <c r="W41" s="3211"/>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66" t="str">
        <f>A42</f>
        <v>比较价值（元/平方米）</v>
      </c>
      <c r="Q42" s="3166"/>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60" t="str">
        <f>A43</f>
        <v>估价对象XX用房的比较价值（楼面单价，元/平方米）</v>
      </c>
      <c r="Q43" s="3161"/>
      <c r="R43" s="3210" t="e">
        <f>IF(F1="售价",ROUND(AVERAGE(R42:V42),0),ROUND(AVERAGE(R42:V42),1))</f>
        <v>#DIV/0!</v>
      </c>
      <c r="S43" s="3210"/>
      <c r="T43" s="3210"/>
      <c r="U43" s="3210"/>
      <c r="V43" s="3210"/>
      <c r="W43" s="321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2012-12</v>
      </c>
      <c r="D52" s="1578">
        <f>EDATE(C52,-1)</f>
        <v>41214</v>
      </c>
      <c r="E52" s="1578">
        <f t="shared" ref="E52:O52" si="16">EDATE(D52,-1)</f>
        <v>41183</v>
      </c>
      <c r="F52" s="1578">
        <f t="shared" si="16"/>
        <v>41153</v>
      </c>
      <c r="G52" s="1578">
        <f t="shared" si="16"/>
        <v>41122</v>
      </c>
      <c r="H52" s="1578">
        <f t="shared" si="16"/>
        <v>41091</v>
      </c>
      <c r="I52" s="1578">
        <f t="shared" si="16"/>
        <v>41061</v>
      </c>
      <c r="J52" s="1578">
        <f t="shared" si="16"/>
        <v>41030</v>
      </c>
      <c r="K52" s="1578">
        <f t="shared" si="16"/>
        <v>41000</v>
      </c>
      <c r="L52" s="1578">
        <f t="shared" si="16"/>
        <v>40969</v>
      </c>
      <c r="M52" s="1578">
        <f t="shared" si="16"/>
        <v>40940</v>
      </c>
      <c r="N52" s="1578">
        <f t="shared" si="16"/>
        <v>40909</v>
      </c>
      <c r="O52" s="1578">
        <f t="shared" si="16"/>
        <v>40878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5"/>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63" t="s">
        <v>2645</v>
      </c>
      <c r="D4" s="3176"/>
      <c r="E4" s="3177" t="s">
        <v>2646</v>
      </c>
      <c r="F4" s="3178"/>
      <c r="G4" s="3163" t="s">
        <v>2647</v>
      </c>
      <c r="H4" s="3176"/>
      <c r="I4" s="3163" t="s">
        <v>2648</v>
      </c>
      <c r="J4" s="3176"/>
      <c r="K4" s="610" t="s">
        <v>2649</v>
      </c>
      <c r="L4" s="1133"/>
      <c r="M4" s="1134"/>
      <c r="N4" s="1134"/>
      <c r="O4" s="1134"/>
      <c r="P4" s="3179" t="s">
        <v>2650</v>
      </c>
      <c r="Q4" s="3180"/>
      <c r="R4" s="3185" t="s">
        <v>2646</v>
      </c>
      <c r="S4" s="3186"/>
      <c r="T4" s="3185" t="s">
        <v>2647</v>
      </c>
      <c r="U4" s="3186"/>
      <c r="V4" s="3172" t="s">
        <v>2648</v>
      </c>
      <c r="W4" s="3172"/>
      <c r="X4" s="1816"/>
      <c r="Y4" s="3185" t="s">
        <v>2650</v>
      </c>
      <c r="Z4" s="3186"/>
      <c r="AA4" s="3173" t="s">
        <v>2646</v>
      </c>
      <c r="AB4" s="3174" t="s">
        <v>2647</v>
      </c>
      <c r="AC4" s="3173" t="s">
        <v>2648</v>
      </c>
    </row>
    <row r="5" spans="1:29" ht="15">
      <c r="A5" s="404"/>
      <c r="B5" s="405"/>
      <c r="C5" s="3193" t="s">
        <v>2541</v>
      </c>
      <c r="D5" s="3194"/>
      <c r="E5" s="3200" t="s">
        <v>2542</v>
      </c>
      <c r="F5" s="3201"/>
      <c r="G5" s="3193" t="s">
        <v>2543</v>
      </c>
      <c r="H5" s="3194"/>
      <c r="I5" s="3193" t="s">
        <v>2544</v>
      </c>
      <c r="J5" s="3194"/>
      <c r="K5" s="610"/>
      <c r="L5" s="1133"/>
      <c r="M5" s="1134"/>
      <c r="N5" s="1134"/>
      <c r="O5" s="1134"/>
      <c r="P5" s="3181"/>
      <c r="Q5" s="3182"/>
      <c r="R5" s="3187"/>
      <c r="S5" s="3188"/>
      <c r="T5" s="3187"/>
      <c r="U5" s="3188"/>
      <c r="V5" s="3172"/>
      <c r="W5" s="3172"/>
      <c r="X5" s="1816"/>
      <c r="Y5" s="3187"/>
      <c r="Z5" s="3188"/>
      <c r="AA5" s="3174"/>
      <c r="AB5" s="3174"/>
      <c r="AC5" s="3174"/>
    </row>
    <row r="6" spans="1:29" ht="15.75" thickBot="1">
      <c r="A6" s="406"/>
      <c r="B6" s="407"/>
      <c r="C6" s="3191" t="s">
        <v>2545</v>
      </c>
      <c r="D6" s="3192"/>
      <c r="E6" s="3198" t="s">
        <v>2545</v>
      </c>
      <c r="F6" s="3199"/>
      <c r="G6" s="3191" t="s">
        <v>2545</v>
      </c>
      <c r="H6" s="3192"/>
      <c r="I6" s="3191" t="s">
        <v>2545</v>
      </c>
      <c r="J6" s="3192"/>
      <c r="K6" s="610" t="s">
        <v>2546</v>
      </c>
      <c r="L6" s="1133"/>
      <c r="M6" s="1134"/>
      <c r="N6" s="1134"/>
      <c r="O6" s="1134"/>
      <c r="P6" s="3183"/>
      <c r="Q6" s="3184"/>
      <c r="R6" s="3187"/>
      <c r="S6" s="3188"/>
      <c r="T6" s="3189"/>
      <c r="U6" s="3190"/>
      <c r="V6" s="3172"/>
      <c r="W6" s="3172"/>
      <c r="X6" s="1816"/>
      <c r="Y6" s="3189"/>
      <c r="Z6" s="3190"/>
      <c r="AA6" s="3175"/>
      <c r="AB6" s="3175"/>
      <c r="AC6" s="3175"/>
    </row>
    <row r="7" spans="1:29" s="117" customFormat="1" ht="15.75" thickBot="1">
      <c r="A7" s="408" t="s">
        <v>2547</v>
      </c>
      <c r="B7" s="409"/>
      <c r="C7" s="410">
        <f>'数据-取费表'!B2</f>
        <v>41273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5" t="s">
        <v>2548</v>
      </c>
      <c r="Q7" s="3197"/>
      <c r="R7" s="770" t="s">
        <v>17</v>
      </c>
      <c r="S7" s="771">
        <f t="shared" ref="S7:S14" si="0">F7</f>
        <v>0</v>
      </c>
      <c r="T7" s="770" t="s">
        <v>17</v>
      </c>
      <c r="U7" s="771">
        <f t="shared" ref="U7:U14" si="1">H7</f>
        <v>0</v>
      </c>
      <c r="V7" s="770" t="s">
        <v>17</v>
      </c>
      <c r="W7" s="771">
        <f t="shared" ref="W7:W14" si="2">J7</f>
        <v>0</v>
      </c>
      <c r="X7" s="772"/>
      <c r="Y7" s="3195" t="s">
        <v>2548</v>
      </c>
      <c r="Z7" s="319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5" t="s">
        <v>2551</v>
      </c>
      <c r="Q8" s="3196"/>
      <c r="R8" s="770" t="s">
        <v>17</v>
      </c>
      <c r="S8" s="771">
        <f t="shared" si="0"/>
        <v>0</v>
      </c>
      <c r="T8" s="770" t="s">
        <v>17</v>
      </c>
      <c r="U8" s="771">
        <f t="shared" si="1"/>
        <v>0</v>
      </c>
      <c r="V8" s="770" t="s">
        <v>17</v>
      </c>
      <c r="W8" s="771">
        <f t="shared" si="2"/>
        <v>0</v>
      </c>
      <c r="X8" s="772"/>
      <c r="Y8" s="3195" t="s">
        <v>2551</v>
      </c>
      <c r="Z8" s="319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6" t="s">
        <v>2554</v>
      </c>
      <c r="Q9" s="1798" t="str">
        <f t="shared" ref="Q9:Q14" si="6">B9</f>
        <v>用途</v>
      </c>
      <c r="R9" s="770" t="s">
        <v>17</v>
      </c>
      <c r="S9" s="771">
        <f t="shared" si="0"/>
        <v>100</v>
      </c>
      <c r="T9" s="770" t="s">
        <v>17</v>
      </c>
      <c r="U9" s="771">
        <f t="shared" si="1"/>
        <v>100</v>
      </c>
      <c r="V9" s="770" t="s">
        <v>17</v>
      </c>
      <c r="W9" s="771">
        <f t="shared" si="2"/>
        <v>100</v>
      </c>
      <c r="X9" s="772"/>
      <c r="Y9" s="3017"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6"/>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6"/>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6"/>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6"/>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6.75">
      <c r="A14" s="401" t="s">
        <v>2558</v>
      </c>
      <c r="B14" s="629" t="s">
        <v>2708</v>
      </c>
      <c r="C14" s="2691" t="str">
        <f>IF(B1="工业",估价对象房地状况!G4,估价对象房地状况!C6)</f>
        <v>估价对象周边道路状况较好、公共交通通达情况较好、有322、342、442等多路公交车，距6号线北运河西站约1.5公里，停车便捷程度较好，综合评价交通便捷度较好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8" t="s">
        <v>2559</v>
      </c>
      <c r="Q14" s="1813" t="str">
        <f t="shared" si="6"/>
        <v>交通便捷度</v>
      </c>
      <c r="R14" s="774" t="s">
        <v>17</v>
      </c>
      <c r="S14" s="775">
        <f t="shared" si="0"/>
        <v>100</v>
      </c>
      <c r="T14" s="774" t="s">
        <v>17</v>
      </c>
      <c r="U14" s="775">
        <f t="shared" si="1"/>
        <v>100</v>
      </c>
      <c r="V14" s="774" t="s">
        <v>17</v>
      </c>
      <c r="W14" s="775">
        <f t="shared" si="2"/>
        <v>100</v>
      </c>
      <c r="X14" s="1816"/>
      <c r="Y14" s="3168"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9"/>
      <c r="Q15" s="1813"/>
      <c r="R15" s="774"/>
      <c r="S15" s="775"/>
      <c r="T15" s="774"/>
      <c r="U15" s="775"/>
      <c r="V15" s="774"/>
      <c r="W15" s="775"/>
      <c r="X15" s="1816"/>
      <c r="Y15" s="3169"/>
      <c r="Z15" s="1817"/>
      <c r="AA15" s="1814">
        <v>1</v>
      </c>
      <c r="AB15" s="1814">
        <v>1</v>
      </c>
      <c r="AC15" s="1814">
        <v>1</v>
      </c>
    </row>
    <row r="16" spans="1:29" ht="42.75">
      <c r="A16" s="404"/>
      <c r="B16" s="631" t="s">
        <v>2687</v>
      </c>
      <c r="C16" s="2607"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9"/>
      <c r="Q16" s="1813" t="str">
        <f>B16</f>
        <v>公共配套设施</v>
      </c>
      <c r="R16" s="774" t="s">
        <v>17</v>
      </c>
      <c r="S16" s="775">
        <f>F16</f>
        <v>100</v>
      </c>
      <c r="T16" s="774" t="s">
        <v>17</v>
      </c>
      <c r="U16" s="775">
        <f>H16</f>
        <v>100</v>
      </c>
      <c r="V16" s="774" t="s">
        <v>17</v>
      </c>
      <c r="W16" s="775">
        <f>J16</f>
        <v>100</v>
      </c>
      <c r="X16" s="1816"/>
      <c r="Y16" s="3169"/>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169"/>
      <c r="Q17" s="1813"/>
      <c r="R17" s="774"/>
      <c r="S17" s="775"/>
      <c r="T17" s="774"/>
      <c r="U17" s="775"/>
      <c r="V17" s="774"/>
      <c r="W17" s="775"/>
      <c r="X17" s="1816"/>
      <c r="Y17" s="3169"/>
      <c r="Z17" s="1817"/>
      <c r="AA17" s="1814">
        <v>1</v>
      </c>
      <c r="AB17" s="1814">
        <v>1</v>
      </c>
      <c r="AC17" s="1814">
        <v>1</v>
      </c>
    </row>
    <row r="18" spans="1:29" ht="15">
      <c r="A18" s="404"/>
      <c r="B18" s="633" t="s">
        <v>2688</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9"/>
      <c r="Q18" s="1813" t="str">
        <f>B18</f>
        <v>基础设施水平</v>
      </c>
      <c r="R18" s="774" t="s">
        <v>17</v>
      </c>
      <c r="S18" s="775">
        <f>F18</f>
        <v>100</v>
      </c>
      <c r="T18" s="774" t="s">
        <v>17</v>
      </c>
      <c r="U18" s="775">
        <f>H18</f>
        <v>100</v>
      </c>
      <c r="V18" s="774" t="s">
        <v>17</v>
      </c>
      <c r="W18" s="775">
        <f>J18</f>
        <v>100</v>
      </c>
      <c r="X18" s="1816"/>
      <c r="Y18" s="3169"/>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169"/>
      <c r="Q19" s="1813"/>
      <c r="R19" s="774"/>
      <c r="S19" s="775"/>
      <c r="T19" s="774"/>
      <c r="U19" s="775"/>
      <c r="V19" s="774"/>
      <c r="W19" s="775"/>
      <c r="X19" s="1816"/>
      <c r="Y19" s="3169"/>
      <c r="Z19" s="1817"/>
      <c r="AA19" s="1814">
        <v>1</v>
      </c>
      <c r="AB19" s="1814">
        <v>1</v>
      </c>
      <c r="AC19" s="1814">
        <v>1</v>
      </c>
    </row>
    <row r="20" spans="1:29" ht="99.75">
      <c r="A20" s="404"/>
      <c r="B20" s="631" t="s">
        <v>2709</v>
      </c>
      <c r="C20" s="2607" t="str">
        <f>IF(B1="工业",估价对象房地状况!G7,估价对象房地状况!C9)</f>
        <v>区域自然环境：减河公园、运河奥体公园、潞河中学公园；人文环境：大运河美术馆；综合评价环境状况较好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9"/>
      <c r="Q20" s="1813" t="str">
        <f>B20</f>
        <v>自然及人文环境</v>
      </c>
      <c r="R20" s="774" t="s">
        <v>17</v>
      </c>
      <c r="S20" s="775">
        <f>F20</f>
        <v>100</v>
      </c>
      <c r="T20" s="774" t="s">
        <v>17</v>
      </c>
      <c r="U20" s="775">
        <f>H20</f>
        <v>100</v>
      </c>
      <c r="V20" s="774" t="s">
        <v>17</v>
      </c>
      <c r="W20" s="775">
        <f>J20</f>
        <v>100</v>
      </c>
      <c r="X20" s="1816"/>
      <c r="Y20" s="316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9"/>
      <c r="Q21" s="1813"/>
      <c r="R21" s="774"/>
      <c r="S21" s="775"/>
      <c r="T21" s="774"/>
      <c r="U21" s="775"/>
      <c r="V21" s="774"/>
      <c r="W21" s="775"/>
      <c r="X21" s="1816"/>
      <c r="Y21" s="3169"/>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9"/>
      <c r="Q22" s="1813" t="str">
        <f>B22</f>
        <v>楼层</v>
      </c>
      <c r="R22" s="774" t="s">
        <v>17</v>
      </c>
      <c r="S22" s="775">
        <f>F22</f>
        <v>100</v>
      </c>
      <c r="T22" s="774" t="s">
        <v>17</v>
      </c>
      <c r="U22" s="775">
        <f>H22</f>
        <v>100</v>
      </c>
      <c r="V22" s="774" t="s">
        <v>17</v>
      </c>
      <c r="W22" s="775">
        <f>J22</f>
        <v>100</v>
      </c>
      <c r="X22" s="1816"/>
      <c r="Y22" s="316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9"/>
      <c r="Q23" s="1813">
        <f>B23</f>
        <v>111</v>
      </c>
      <c r="R23" s="774" t="s">
        <v>17</v>
      </c>
      <c r="S23" s="775">
        <f>F23</f>
        <v>100</v>
      </c>
      <c r="T23" s="774" t="s">
        <v>17</v>
      </c>
      <c r="U23" s="775">
        <f>H23</f>
        <v>100</v>
      </c>
      <c r="V23" s="774" t="s">
        <v>17</v>
      </c>
      <c r="W23" s="775">
        <f>J23</f>
        <v>100</v>
      </c>
      <c r="X23" s="1816"/>
      <c r="Y23" s="316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9"/>
      <c r="Q24" s="1813">
        <f t="shared" ref="Q24:Q36" si="11">B24</f>
        <v>111</v>
      </c>
      <c r="R24" s="774" t="s">
        <v>17</v>
      </c>
      <c r="S24" s="775">
        <f>F24</f>
        <v>100</v>
      </c>
      <c r="T24" s="774" t="s">
        <v>17</v>
      </c>
      <c r="U24" s="775">
        <f>H24</f>
        <v>100</v>
      </c>
      <c r="V24" s="774" t="s">
        <v>17</v>
      </c>
      <c r="W24" s="775">
        <f>J24</f>
        <v>100</v>
      </c>
      <c r="X24" s="1816"/>
      <c r="Y24" s="316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9"/>
      <c r="Q25" s="1798">
        <f t="shared" si="11"/>
        <v>111</v>
      </c>
      <c r="R25" s="770" t="s">
        <v>17</v>
      </c>
      <c r="S25" s="771">
        <f>F25</f>
        <v>100</v>
      </c>
      <c r="T25" s="770" t="s">
        <v>17</v>
      </c>
      <c r="U25" s="771">
        <f>H25</f>
        <v>100</v>
      </c>
      <c r="V25" s="770" t="s">
        <v>17</v>
      </c>
      <c r="W25" s="771">
        <f>J25</f>
        <v>100</v>
      </c>
      <c r="X25" s="772"/>
      <c r="Y25" s="3169"/>
      <c r="Z25" s="55">
        <f>Q25</f>
        <v>111</v>
      </c>
      <c r="AA25" s="1814">
        <f>D25/F25</f>
        <v>1</v>
      </c>
      <c r="AB25" s="1814">
        <f>D25/H25</f>
        <v>1</v>
      </c>
      <c r="AC25" s="1814">
        <f>D25/J25</f>
        <v>1</v>
      </c>
    </row>
    <row r="26" spans="1:29" ht="1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0"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1"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1"/>
      <c r="Q27" s="776" t="str">
        <f t="shared" si="11"/>
        <v>项目停车位配比</v>
      </c>
      <c r="R27" s="777" t="s">
        <v>17</v>
      </c>
      <c r="S27" s="778">
        <f t="shared" si="12"/>
        <v>100</v>
      </c>
      <c r="T27" s="777" t="s">
        <v>17</v>
      </c>
      <c r="U27" s="778">
        <f t="shared" si="13"/>
        <v>100</v>
      </c>
      <c r="V27" s="777" t="s">
        <v>17</v>
      </c>
      <c r="W27" s="778">
        <f t="shared" si="14"/>
        <v>100</v>
      </c>
      <c r="X27" s="779"/>
      <c r="Y27" s="3171"/>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1"/>
      <c r="Q28" s="1813" t="str">
        <f t="shared" si="11"/>
        <v>公共部分装修</v>
      </c>
      <c r="R28" s="774" t="s">
        <v>17</v>
      </c>
      <c r="S28" s="775">
        <f t="shared" si="12"/>
        <v>100</v>
      </c>
      <c r="T28" s="774" t="s">
        <v>17</v>
      </c>
      <c r="U28" s="775">
        <f t="shared" si="13"/>
        <v>100</v>
      </c>
      <c r="V28" s="774" t="s">
        <v>17</v>
      </c>
      <c r="W28" s="775">
        <f t="shared" si="14"/>
        <v>100</v>
      </c>
      <c r="X28" s="1816"/>
      <c r="Y28" s="3171"/>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1"/>
      <c r="Q29" s="1813" t="str">
        <f t="shared" si="11"/>
        <v>成新率</v>
      </c>
      <c r="R29" s="774" t="s">
        <v>17</v>
      </c>
      <c r="S29" s="775" t="e">
        <f t="shared" si="12"/>
        <v>#N/A</v>
      </c>
      <c r="T29" s="774" t="s">
        <v>17</v>
      </c>
      <c r="U29" s="775" t="e">
        <f t="shared" si="13"/>
        <v>#N/A</v>
      </c>
      <c r="V29" s="774" t="s">
        <v>17</v>
      </c>
      <c r="W29" s="775" t="e">
        <f t="shared" si="14"/>
        <v>#N/A</v>
      </c>
      <c r="X29" s="1816"/>
      <c r="Y29" s="3171"/>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1"/>
      <c r="Q30" s="1813" t="str">
        <f t="shared" si="11"/>
        <v>物业等级</v>
      </c>
      <c r="R30" s="774" t="s">
        <v>17</v>
      </c>
      <c r="S30" s="775">
        <f t="shared" si="12"/>
        <v>100</v>
      </c>
      <c r="T30" s="774" t="s">
        <v>17</v>
      </c>
      <c r="U30" s="775">
        <f t="shared" si="13"/>
        <v>100</v>
      </c>
      <c r="V30" s="774" t="s">
        <v>17</v>
      </c>
      <c r="W30" s="775">
        <f t="shared" si="14"/>
        <v>100</v>
      </c>
      <c r="X30" s="1816"/>
      <c r="Y30" s="3171"/>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1"/>
      <c r="Q31" s="1798" t="str">
        <f t="shared" si="11"/>
        <v>停车位面积</v>
      </c>
      <c r="R31" s="770" t="s">
        <v>17</v>
      </c>
      <c r="S31" s="771" t="e">
        <f t="shared" si="12"/>
        <v>#N/A</v>
      </c>
      <c r="T31" s="770" t="s">
        <v>17</v>
      </c>
      <c r="U31" s="771" t="e">
        <f t="shared" si="13"/>
        <v>#N/A</v>
      </c>
      <c r="V31" s="770" t="s">
        <v>17</v>
      </c>
      <c r="W31" s="771" t="e">
        <f t="shared" si="14"/>
        <v>#N/A</v>
      </c>
      <c r="X31" s="772"/>
      <c r="Y31" s="3171"/>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1" t="s">
        <v>2564</v>
      </c>
      <c r="Q32" s="1813" t="str">
        <f t="shared" si="11"/>
        <v>车位类型</v>
      </c>
      <c r="R32" s="774" t="s">
        <v>17</v>
      </c>
      <c r="S32" s="775">
        <f t="shared" si="12"/>
        <v>100</v>
      </c>
      <c r="T32" s="774" t="s">
        <v>17</v>
      </c>
      <c r="U32" s="775">
        <f t="shared" si="13"/>
        <v>100</v>
      </c>
      <c r="V32" s="774" t="s">
        <v>17</v>
      </c>
      <c r="W32" s="775">
        <f t="shared" si="14"/>
        <v>100</v>
      </c>
      <c r="X32" s="1816"/>
      <c r="Y32" s="3171"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1"/>
      <c r="Q33" s="1813" t="str">
        <f t="shared" si="11"/>
        <v>是否直接入户</v>
      </c>
      <c r="R33" s="774" t="s">
        <v>17</v>
      </c>
      <c r="S33" s="775">
        <f t="shared" si="12"/>
        <v>100</v>
      </c>
      <c r="T33" s="774" t="s">
        <v>17</v>
      </c>
      <c r="U33" s="775">
        <f t="shared" si="13"/>
        <v>100</v>
      </c>
      <c r="V33" s="774" t="s">
        <v>17</v>
      </c>
      <c r="W33" s="775">
        <f t="shared" si="14"/>
        <v>100</v>
      </c>
      <c r="X33" s="1816"/>
      <c r="Y33" s="317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1"/>
      <c r="Q34" s="1813">
        <f t="shared" si="11"/>
        <v>111</v>
      </c>
      <c r="R34" s="774" t="s">
        <v>17</v>
      </c>
      <c r="S34" s="775">
        <f t="shared" si="12"/>
        <v>100</v>
      </c>
      <c r="T34" s="774" t="s">
        <v>17</v>
      </c>
      <c r="U34" s="775">
        <f t="shared" si="13"/>
        <v>100</v>
      </c>
      <c r="V34" s="774" t="s">
        <v>17</v>
      </c>
      <c r="W34" s="775">
        <f t="shared" si="14"/>
        <v>100</v>
      </c>
      <c r="X34" s="1816"/>
      <c r="Y34" s="317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1"/>
      <c r="Q35" s="776">
        <f t="shared" si="11"/>
        <v>111</v>
      </c>
      <c r="R35" s="777" t="s">
        <v>17</v>
      </c>
      <c r="S35" s="778">
        <f t="shared" si="12"/>
        <v>100</v>
      </c>
      <c r="T35" s="777" t="s">
        <v>17</v>
      </c>
      <c r="U35" s="778">
        <f t="shared" si="13"/>
        <v>100</v>
      </c>
      <c r="V35" s="777" t="s">
        <v>17</v>
      </c>
      <c r="W35" s="778">
        <f t="shared" si="14"/>
        <v>100</v>
      </c>
      <c r="X35" s="779"/>
      <c r="Y35" s="317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1"/>
      <c r="Q36" s="1813">
        <f t="shared" si="11"/>
        <v>111</v>
      </c>
      <c r="R36" s="774" t="s">
        <v>17</v>
      </c>
      <c r="S36" s="775">
        <f t="shared" si="12"/>
        <v>100</v>
      </c>
      <c r="T36" s="774" t="s">
        <v>17</v>
      </c>
      <c r="U36" s="775">
        <f t="shared" si="13"/>
        <v>100</v>
      </c>
      <c r="V36" s="774" t="s">
        <v>17</v>
      </c>
      <c r="W36" s="775">
        <f t="shared" si="14"/>
        <v>100</v>
      </c>
      <c r="X36" s="1816"/>
      <c r="Y36" s="3171"/>
      <c r="Z36" s="1817">
        <f t="shared" si="15"/>
        <v>111</v>
      </c>
      <c r="AA36" s="1814">
        <f t="shared" si="3"/>
        <v>1</v>
      </c>
      <c r="AB36" s="1814">
        <f t="shared" si="4"/>
        <v>1</v>
      </c>
      <c r="AC36" s="1814">
        <f t="shared" si="5"/>
        <v>1</v>
      </c>
    </row>
    <row r="37" spans="1:29" ht="15">
      <c r="A37" s="479" t="s">
        <v>2719</v>
      </c>
      <c r="B37" s="2693" t="s">
        <v>2720</v>
      </c>
      <c r="C37" s="1410" t="s">
        <v>1</v>
      </c>
      <c r="D37" s="1411"/>
      <c r="E37" s="1412"/>
      <c r="F37" s="1413"/>
      <c r="G37" s="1414"/>
      <c r="H37" s="1415"/>
      <c r="I37" s="1412"/>
      <c r="J37" s="1415"/>
      <c r="K37" s="619"/>
      <c r="L37" s="1146"/>
      <c r="M37" s="1147"/>
      <c r="N37" s="1134"/>
      <c r="O37" s="1147"/>
      <c r="P37" s="3166" t="str">
        <f>A37</f>
        <v>成交单价</v>
      </c>
      <c r="Q37" s="3166"/>
      <c r="R37" s="3211">
        <f>E37</f>
        <v>0</v>
      </c>
      <c r="S37" s="3211"/>
      <c r="T37" s="3211">
        <f>G37</f>
        <v>0</v>
      </c>
      <c r="U37" s="3211"/>
      <c r="V37" s="3211">
        <f>I37</f>
        <v>0</v>
      </c>
      <c r="W37" s="3211"/>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6" t="str">
        <f>A38</f>
        <v>比较价值（元/平方米）</v>
      </c>
      <c r="Q38" s="3166"/>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60" t="str">
        <f>A39</f>
        <v>估价对象XX用房的比较价值（楼面单价，元/平方米）</v>
      </c>
      <c r="Q39" s="3161"/>
      <c r="R39" s="3210" t="e">
        <f>IF(F1="售价",ROUND(AVERAGE(R38:V38),0),ROUND(AVERAGE(R38:V38),1))</f>
        <v>#DIV/0!</v>
      </c>
      <c r="S39" s="3210"/>
      <c r="T39" s="3210"/>
      <c r="U39" s="3210"/>
      <c r="V39" s="3210"/>
      <c r="W39" s="321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2012-12</v>
      </c>
      <c r="D48" s="1578">
        <f>EDATE(C48,-1)</f>
        <v>41214</v>
      </c>
      <c r="E48" s="1578">
        <f t="shared" ref="E48:O48" si="16">EDATE(D48,-1)</f>
        <v>41183</v>
      </c>
      <c r="F48" s="1578">
        <f t="shared" si="16"/>
        <v>41153</v>
      </c>
      <c r="G48" s="1578">
        <f t="shared" si="16"/>
        <v>41122</v>
      </c>
      <c r="H48" s="1578">
        <f t="shared" si="16"/>
        <v>41091</v>
      </c>
      <c r="I48" s="1578">
        <f t="shared" si="16"/>
        <v>41061</v>
      </c>
      <c r="J48" s="1578">
        <f t="shared" si="16"/>
        <v>41030</v>
      </c>
      <c r="K48" s="1578">
        <f t="shared" si="16"/>
        <v>41000</v>
      </c>
      <c r="L48" s="1578">
        <f t="shared" si="16"/>
        <v>40969</v>
      </c>
      <c r="M48" s="1578">
        <f t="shared" si="16"/>
        <v>40940</v>
      </c>
      <c r="N48" s="1578">
        <f t="shared" si="16"/>
        <v>40909</v>
      </c>
      <c r="O48" s="1578">
        <f t="shared" si="16"/>
        <v>40878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5"/>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63" t="s">
        <v>2645</v>
      </c>
      <c r="D4" s="3176"/>
      <c r="E4" s="3177" t="s">
        <v>2646</v>
      </c>
      <c r="F4" s="3178"/>
      <c r="G4" s="3163" t="s">
        <v>2647</v>
      </c>
      <c r="H4" s="3176"/>
      <c r="I4" s="3163" t="s">
        <v>2648</v>
      </c>
      <c r="J4" s="3176"/>
      <c r="K4" s="610" t="s">
        <v>2649</v>
      </c>
      <c r="L4" s="1133"/>
      <c r="M4" s="1134"/>
      <c r="N4" s="1134"/>
      <c r="O4" s="1134"/>
      <c r="P4" s="3179" t="s">
        <v>2650</v>
      </c>
      <c r="Q4" s="3180"/>
      <c r="R4" s="3185" t="s">
        <v>2646</v>
      </c>
      <c r="S4" s="3186"/>
      <c r="T4" s="3185" t="s">
        <v>2647</v>
      </c>
      <c r="U4" s="3186"/>
      <c r="V4" s="3172" t="s">
        <v>2648</v>
      </c>
      <c r="W4" s="3172"/>
      <c r="X4" s="1816"/>
      <c r="Y4" s="3185" t="s">
        <v>2650</v>
      </c>
      <c r="Z4" s="3186"/>
      <c r="AA4" s="3173" t="s">
        <v>2646</v>
      </c>
      <c r="AB4" s="3174" t="s">
        <v>2647</v>
      </c>
      <c r="AC4" s="3173" t="s">
        <v>2648</v>
      </c>
    </row>
    <row r="5" spans="1:29" ht="15">
      <c r="A5" s="404"/>
      <c r="B5" s="405"/>
      <c r="C5" s="3193" t="s">
        <v>2541</v>
      </c>
      <c r="D5" s="3194"/>
      <c r="E5" s="3200" t="s">
        <v>2542</v>
      </c>
      <c r="F5" s="3201"/>
      <c r="G5" s="3193" t="s">
        <v>2543</v>
      </c>
      <c r="H5" s="3194"/>
      <c r="I5" s="3193" t="s">
        <v>2544</v>
      </c>
      <c r="J5" s="3194"/>
      <c r="K5" s="610"/>
      <c r="L5" s="1133"/>
      <c r="M5" s="1134"/>
      <c r="N5" s="1134"/>
      <c r="O5" s="1134"/>
      <c r="P5" s="3181"/>
      <c r="Q5" s="3182"/>
      <c r="R5" s="3187"/>
      <c r="S5" s="3188"/>
      <c r="T5" s="3187"/>
      <c r="U5" s="3188"/>
      <c r="V5" s="3172"/>
      <c r="W5" s="3172"/>
      <c r="X5" s="1816"/>
      <c r="Y5" s="3187"/>
      <c r="Z5" s="3188"/>
      <c r="AA5" s="3174"/>
      <c r="AB5" s="3174"/>
      <c r="AC5" s="3174"/>
    </row>
    <row r="6" spans="1:29" ht="15.75" thickBot="1">
      <c r="A6" s="406"/>
      <c r="B6" s="407"/>
      <c r="C6" s="3191" t="s">
        <v>2545</v>
      </c>
      <c r="D6" s="3192"/>
      <c r="E6" s="3198" t="s">
        <v>2545</v>
      </c>
      <c r="F6" s="3199"/>
      <c r="G6" s="3191" t="s">
        <v>2545</v>
      </c>
      <c r="H6" s="3192"/>
      <c r="I6" s="3191" t="s">
        <v>2545</v>
      </c>
      <c r="J6" s="3192"/>
      <c r="K6" s="610" t="s">
        <v>2546</v>
      </c>
      <c r="L6" s="1133"/>
      <c r="M6" s="1134"/>
      <c r="N6" s="1134"/>
      <c r="O6" s="1134"/>
      <c r="P6" s="3183"/>
      <c r="Q6" s="3184"/>
      <c r="R6" s="3187"/>
      <c r="S6" s="3188"/>
      <c r="T6" s="3189"/>
      <c r="U6" s="3190"/>
      <c r="V6" s="3172"/>
      <c r="W6" s="3172"/>
      <c r="X6" s="1816"/>
      <c r="Y6" s="3189"/>
      <c r="Z6" s="3190"/>
      <c r="AA6" s="3175"/>
      <c r="AB6" s="3175"/>
      <c r="AC6" s="3175"/>
    </row>
    <row r="7" spans="1:29" s="117" customFormat="1" ht="15.75" thickBot="1">
      <c r="A7" s="408" t="s">
        <v>2547</v>
      </c>
      <c r="B7" s="409"/>
      <c r="C7" s="410">
        <f>'数据-取费表'!B2</f>
        <v>41273</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195" t="s">
        <v>2548</v>
      </c>
      <c r="Q7" s="3197"/>
      <c r="R7" s="770" t="s">
        <v>17</v>
      </c>
      <c r="S7" s="771">
        <f t="shared" ref="S7:S14" si="0">F7</f>
        <v>0</v>
      </c>
      <c r="T7" s="770" t="s">
        <v>17</v>
      </c>
      <c r="U7" s="771">
        <f t="shared" ref="U7:U14" si="1">H7</f>
        <v>0</v>
      </c>
      <c r="V7" s="770" t="s">
        <v>17</v>
      </c>
      <c r="W7" s="771">
        <f t="shared" ref="W7:W14" si="2">J7</f>
        <v>0</v>
      </c>
      <c r="X7" s="772"/>
      <c r="Y7" s="3195" t="s">
        <v>2548</v>
      </c>
      <c r="Z7" s="319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5" t="s">
        <v>2551</v>
      </c>
      <c r="Q8" s="3196"/>
      <c r="R8" s="770" t="s">
        <v>17</v>
      </c>
      <c r="S8" s="771">
        <f t="shared" si="0"/>
        <v>0</v>
      </c>
      <c r="T8" s="770" t="s">
        <v>17</v>
      </c>
      <c r="U8" s="771">
        <f t="shared" si="1"/>
        <v>0</v>
      </c>
      <c r="V8" s="770" t="s">
        <v>17</v>
      </c>
      <c r="W8" s="771">
        <f t="shared" si="2"/>
        <v>0</v>
      </c>
      <c r="X8" s="772"/>
      <c r="Y8" s="3195" t="s">
        <v>2551</v>
      </c>
      <c r="Z8" s="319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6" t="s">
        <v>2554</v>
      </c>
      <c r="Q9" s="1798" t="str">
        <f t="shared" ref="Q9:Q14" si="6">B9</f>
        <v>用途</v>
      </c>
      <c r="R9" s="770" t="s">
        <v>17</v>
      </c>
      <c r="S9" s="771">
        <f t="shared" si="0"/>
        <v>100</v>
      </c>
      <c r="T9" s="770" t="s">
        <v>17</v>
      </c>
      <c r="U9" s="771">
        <f t="shared" si="1"/>
        <v>100</v>
      </c>
      <c r="V9" s="770" t="s">
        <v>17</v>
      </c>
      <c r="W9" s="771">
        <f t="shared" si="2"/>
        <v>100</v>
      </c>
      <c r="X9" s="772"/>
      <c r="Y9" s="3017"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6"/>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6"/>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6"/>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6.75">
      <c r="A14" s="440" t="s">
        <v>2558</v>
      </c>
      <c r="B14" s="69" t="s">
        <v>2708</v>
      </c>
      <c r="C14" s="2691" t="str">
        <f>IF(B1="工业",估价对象房地状况!G4,估价对象房地状况!C6)</f>
        <v>估价对象周边道路状况较好、公共交通通达情况较好、有322、342、442等多路公交车，距6号线北运河西站约1.5公里，停车便捷程度较好，综合评价交通便捷度较好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8" t="s">
        <v>2559</v>
      </c>
      <c r="Q14" s="1813" t="str">
        <f t="shared" si="6"/>
        <v>交通便捷度</v>
      </c>
      <c r="R14" s="774" t="s">
        <v>17</v>
      </c>
      <c r="S14" s="775">
        <f t="shared" si="0"/>
        <v>100</v>
      </c>
      <c r="T14" s="774" t="s">
        <v>17</v>
      </c>
      <c r="U14" s="775">
        <f t="shared" si="1"/>
        <v>100</v>
      </c>
      <c r="V14" s="774" t="s">
        <v>17</v>
      </c>
      <c r="W14" s="775">
        <f t="shared" si="2"/>
        <v>100</v>
      </c>
      <c r="X14" s="1816"/>
      <c r="Y14" s="3168"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9"/>
      <c r="Q15" s="1813"/>
      <c r="R15" s="774"/>
      <c r="S15" s="775"/>
      <c r="T15" s="774"/>
      <c r="U15" s="775"/>
      <c r="V15" s="774"/>
      <c r="W15" s="775"/>
      <c r="X15" s="1816"/>
      <c r="Y15" s="3169"/>
      <c r="Z15" s="1817"/>
      <c r="AA15" s="1814">
        <v>1</v>
      </c>
      <c r="AB15" s="1814">
        <v>1</v>
      </c>
      <c r="AC15" s="1814">
        <v>1</v>
      </c>
    </row>
    <row r="16" spans="1:29" ht="42.75">
      <c r="A16" s="428"/>
      <c r="B16" s="451" t="s">
        <v>2687</v>
      </c>
      <c r="C16" s="2607"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9"/>
      <c r="Q16" s="1813" t="str">
        <f>B16</f>
        <v>公共配套设施</v>
      </c>
      <c r="R16" s="774" t="s">
        <v>17</v>
      </c>
      <c r="S16" s="775">
        <f>F16</f>
        <v>100</v>
      </c>
      <c r="T16" s="774" t="s">
        <v>17</v>
      </c>
      <c r="U16" s="775">
        <f>H16</f>
        <v>100</v>
      </c>
      <c r="V16" s="774" t="s">
        <v>17</v>
      </c>
      <c r="W16" s="775">
        <f>J16</f>
        <v>100</v>
      </c>
      <c r="X16" s="1816"/>
      <c r="Y16" s="3169"/>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169"/>
      <c r="Q17" s="1813"/>
      <c r="R17" s="774"/>
      <c r="S17" s="775"/>
      <c r="T17" s="774"/>
      <c r="U17" s="775"/>
      <c r="V17" s="774"/>
      <c r="W17" s="775"/>
      <c r="X17" s="1816"/>
      <c r="Y17" s="3169"/>
      <c r="Z17" s="1817"/>
      <c r="AA17" s="1814">
        <v>1</v>
      </c>
      <c r="AB17" s="1814">
        <v>1</v>
      </c>
      <c r="AC17" s="1814">
        <v>1</v>
      </c>
    </row>
    <row r="18" spans="1:29" ht="15">
      <c r="A18" s="428"/>
      <c r="B18" s="1387" t="s">
        <v>2688</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9"/>
      <c r="Q18" s="1813" t="str">
        <f>B18</f>
        <v>基础设施水平</v>
      </c>
      <c r="R18" s="774" t="s">
        <v>17</v>
      </c>
      <c r="S18" s="775">
        <f>F18</f>
        <v>100</v>
      </c>
      <c r="T18" s="774" t="s">
        <v>17</v>
      </c>
      <c r="U18" s="775">
        <f>H18</f>
        <v>100</v>
      </c>
      <c r="V18" s="774" t="s">
        <v>17</v>
      </c>
      <c r="W18" s="775">
        <f>J18</f>
        <v>100</v>
      </c>
      <c r="X18" s="1816"/>
      <c r="Y18" s="3169"/>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169"/>
      <c r="Q19" s="1813"/>
      <c r="R19" s="774"/>
      <c r="S19" s="775"/>
      <c r="T19" s="774"/>
      <c r="U19" s="775"/>
      <c r="V19" s="774"/>
      <c r="W19" s="775"/>
      <c r="X19" s="1816"/>
      <c r="Y19" s="3169"/>
      <c r="Z19" s="1817"/>
      <c r="AA19" s="1814">
        <v>1</v>
      </c>
      <c r="AB19" s="1814">
        <v>1</v>
      </c>
      <c r="AC19" s="1814">
        <v>1</v>
      </c>
    </row>
    <row r="20" spans="1:29" ht="99.75">
      <c r="A20" s="428"/>
      <c r="B20" s="451" t="s">
        <v>2709</v>
      </c>
      <c r="C20" s="2607" t="str">
        <f>IF(B1="工业",估价对象房地状况!G7,估价对象房地状况!C9)</f>
        <v>区域自然环境：减河公园、运河奥体公园、潞河中学公园；人文环境：大运河美术馆；综合评价环境状况较好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9"/>
      <c r="Q20" s="1813" t="str">
        <f>B20</f>
        <v>自然及人文环境</v>
      </c>
      <c r="R20" s="774" t="s">
        <v>17</v>
      </c>
      <c r="S20" s="775">
        <f>F20</f>
        <v>100</v>
      </c>
      <c r="T20" s="774" t="s">
        <v>17</v>
      </c>
      <c r="U20" s="775">
        <f>H20</f>
        <v>100</v>
      </c>
      <c r="V20" s="774" t="s">
        <v>17</v>
      </c>
      <c r="W20" s="775">
        <f>J20</f>
        <v>100</v>
      </c>
      <c r="X20" s="1816"/>
      <c r="Y20" s="316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9"/>
      <c r="Q21" s="1813"/>
      <c r="R21" s="774"/>
      <c r="S21" s="775"/>
      <c r="T21" s="774"/>
      <c r="U21" s="775"/>
      <c r="V21" s="774"/>
      <c r="W21" s="775"/>
      <c r="X21" s="1816"/>
      <c r="Y21" s="3169"/>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9"/>
      <c r="Q22" s="1813" t="str">
        <f>B22</f>
        <v>楼层</v>
      </c>
      <c r="R22" s="774" t="s">
        <v>17</v>
      </c>
      <c r="S22" s="775">
        <f>F22</f>
        <v>100</v>
      </c>
      <c r="T22" s="774" t="s">
        <v>17</v>
      </c>
      <c r="U22" s="775">
        <f>H22</f>
        <v>100</v>
      </c>
      <c r="V22" s="774" t="s">
        <v>17</v>
      </c>
      <c r="W22" s="775">
        <f>J22</f>
        <v>100</v>
      </c>
      <c r="X22" s="1816"/>
      <c r="Y22" s="3169"/>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9"/>
      <c r="Q23" s="1813">
        <f>B23</f>
        <v>111</v>
      </c>
      <c r="R23" s="774" t="s">
        <v>17</v>
      </c>
      <c r="S23" s="775">
        <f>F23</f>
        <v>100</v>
      </c>
      <c r="T23" s="774" t="s">
        <v>17</v>
      </c>
      <c r="U23" s="775">
        <f>H23</f>
        <v>100</v>
      </c>
      <c r="V23" s="774" t="s">
        <v>17</v>
      </c>
      <c r="W23" s="775">
        <f>J23</f>
        <v>100</v>
      </c>
      <c r="X23" s="1816"/>
      <c r="Y23" s="3169"/>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9"/>
      <c r="Q24" s="1813">
        <f t="shared" ref="Q24:Q34" si="11">B24</f>
        <v>111</v>
      </c>
      <c r="R24" s="774" t="s">
        <v>17</v>
      </c>
      <c r="S24" s="775">
        <f>F24</f>
        <v>100</v>
      </c>
      <c r="T24" s="774" t="s">
        <v>17</v>
      </c>
      <c r="U24" s="775">
        <f>H24</f>
        <v>100</v>
      </c>
      <c r="V24" s="774" t="s">
        <v>17</v>
      </c>
      <c r="W24" s="775">
        <f>J24</f>
        <v>100</v>
      </c>
      <c r="X24" s="1816"/>
      <c r="Y24" s="3169"/>
      <c r="Z24" s="1817">
        <f>Q24</f>
        <v>111</v>
      </c>
      <c r="AA24" s="1814">
        <f t="shared" si="3"/>
        <v>1</v>
      </c>
      <c r="AB24" s="1814">
        <f t="shared" si="4"/>
        <v>1</v>
      </c>
      <c r="AC24" s="1814">
        <f t="shared" si="5"/>
        <v>1</v>
      </c>
    </row>
    <row r="25" spans="1:29" s="117" customFormat="1" ht="15.75"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169"/>
      <c r="Q25" s="1798">
        <f t="shared" si="11"/>
        <v>111</v>
      </c>
      <c r="R25" s="770" t="s">
        <v>17</v>
      </c>
      <c r="S25" s="771">
        <f>F25</f>
        <v>100</v>
      </c>
      <c r="T25" s="770" t="s">
        <v>17</v>
      </c>
      <c r="U25" s="771">
        <f>H25</f>
        <v>100</v>
      </c>
      <c r="V25" s="770" t="s">
        <v>17</v>
      </c>
      <c r="W25" s="771">
        <f>J25</f>
        <v>100</v>
      </c>
      <c r="X25" s="772"/>
      <c r="Y25" s="3169"/>
      <c r="Z25" s="55">
        <f>Q25</f>
        <v>111</v>
      </c>
      <c r="AA25" s="1814">
        <f>D25/F25</f>
        <v>1</v>
      </c>
      <c r="AB25" s="1814">
        <f>D25/H25</f>
        <v>1</v>
      </c>
      <c r="AC25" s="1814">
        <f>D25/J25</f>
        <v>1</v>
      </c>
    </row>
    <row r="26" spans="1:29" ht="1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170"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1"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1"/>
      <c r="Q27" s="776" t="str">
        <f t="shared" si="11"/>
        <v>成新率</v>
      </c>
      <c r="R27" s="777" t="s">
        <v>17</v>
      </c>
      <c r="S27" s="778" t="e">
        <f t="shared" si="12"/>
        <v>#N/A</v>
      </c>
      <c r="T27" s="777" t="s">
        <v>17</v>
      </c>
      <c r="U27" s="778" t="e">
        <f t="shared" si="13"/>
        <v>#N/A</v>
      </c>
      <c r="V27" s="777" t="s">
        <v>17</v>
      </c>
      <c r="W27" s="778" t="e">
        <f t="shared" si="14"/>
        <v>#N/A</v>
      </c>
      <c r="X27" s="779"/>
      <c r="Y27" s="3171"/>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1"/>
      <c r="Q28" s="1813" t="str">
        <f t="shared" si="11"/>
        <v>物业等级</v>
      </c>
      <c r="R28" s="774" t="s">
        <v>17</v>
      </c>
      <c r="S28" s="775">
        <f t="shared" si="12"/>
        <v>100</v>
      </c>
      <c r="T28" s="774" t="s">
        <v>17</v>
      </c>
      <c r="U28" s="775">
        <f t="shared" si="13"/>
        <v>100</v>
      </c>
      <c r="V28" s="774" t="s">
        <v>17</v>
      </c>
      <c r="W28" s="775">
        <f t="shared" si="14"/>
        <v>100</v>
      </c>
      <c r="X28" s="1816"/>
      <c r="Y28" s="3171"/>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1"/>
      <c r="Q29" s="1813" t="str">
        <f t="shared" si="11"/>
        <v>有无电梯</v>
      </c>
      <c r="R29" s="774" t="s">
        <v>17</v>
      </c>
      <c r="S29" s="775">
        <f t="shared" si="12"/>
        <v>100</v>
      </c>
      <c r="T29" s="774" t="s">
        <v>17</v>
      </c>
      <c r="U29" s="775">
        <f t="shared" si="13"/>
        <v>100</v>
      </c>
      <c r="V29" s="774" t="s">
        <v>17</v>
      </c>
      <c r="W29" s="775">
        <f t="shared" si="14"/>
        <v>100</v>
      </c>
      <c r="X29" s="1816"/>
      <c r="Y29" s="3171"/>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1"/>
      <c r="Q30" s="1813" t="str">
        <f t="shared" si="11"/>
        <v>建筑面积</v>
      </c>
      <c r="R30" s="774" t="s">
        <v>17</v>
      </c>
      <c r="S30" s="775" t="e">
        <f t="shared" si="12"/>
        <v>#N/A</v>
      </c>
      <c r="T30" s="774" t="s">
        <v>17</v>
      </c>
      <c r="U30" s="775" t="e">
        <f t="shared" si="13"/>
        <v>#N/A</v>
      </c>
      <c r="V30" s="774" t="s">
        <v>17</v>
      </c>
      <c r="W30" s="775" t="e">
        <f t="shared" si="14"/>
        <v>#N/A</v>
      </c>
      <c r="X30" s="1816"/>
      <c r="Y30" s="3171"/>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1"/>
      <c r="Q31" s="1798" t="str">
        <f t="shared" si="11"/>
        <v>是否封闭</v>
      </c>
      <c r="R31" s="770" t="s">
        <v>17</v>
      </c>
      <c r="S31" s="771">
        <f t="shared" si="12"/>
        <v>100</v>
      </c>
      <c r="T31" s="770" t="s">
        <v>17</v>
      </c>
      <c r="U31" s="771">
        <f t="shared" si="13"/>
        <v>100</v>
      </c>
      <c r="V31" s="770" t="s">
        <v>17</v>
      </c>
      <c r="W31" s="771">
        <f t="shared" si="14"/>
        <v>100</v>
      </c>
      <c r="X31" s="772"/>
      <c r="Y31" s="3171"/>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1" t="s">
        <v>2564</v>
      </c>
      <c r="Q32" s="1813">
        <f t="shared" si="11"/>
        <v>111</v>
      </c>
      <c r="R32" s="774" t="s">
        <v>17</v>
      </c>
      <c r="S32" s="775">
        <f t="shared" si="12"/>
        <v>100</v>
      </c>
      <c r="T32" s="774" t="s">
        <v>17</v>
      </c>
      <c r="U32" s="775">
        <f t="shared" si="13"/>
        <v>100</v>
      </c>
      <c r="V32" s="774" t="s">
        <v>17</v>
      </c>
      <c r="W32" s="775">
        <f t="shared" si="14"/>
        <v>100</v>
      </c>
      <c r="X32" s="1816"/>
      <c r="Y32" s="3171" t="s">
        <v>2564</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1"/>
      <c r="Q33" s="1813">
        <f t="shared" si="11"/>
        <v>111</v>
      </c>
      <c r="R33" s="774" t="s">
        <v>17</v>
      </c>
      <c r="S33" s="775">
        <f t="shared" si="12"/>
        <v>100</v>
      </c>
      <c r="T33" s="774" t="s">
        <v>17</v>
      </c>
      <c r="U33" s="775">
        <f t="shared" si="13"/>
        <v>100</v>
      </c>
      <c r="V33" s="774" t="s">
        <v>17</v>
      </c>
      <c r="W33" s="775">
        <f t="shared" si="14"/>
        <v>100</v>
      </c>
      <c r="X33" s="1816"/>
      <c r="Y33" s="3171"/>
      <c r="Z33" s="1817">
        <f t="shared" si="15"/>
        <v>111</v>
      </c>
      <c r="AA33" s="1814">
        <f t="shared" si="3"/>
        <v>1</v>
      </c>
      <c r="AB33" s="1814">
        <f t="shared" si="4"/>
        <v>1</v>
      </c>
      <c r="AC33" s="1814">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171"/>
      <c r="Q34" s="1813">
        <f t="shared" si="11"/>
        <v>111</v>
      </c>
      <c r="R34" s="774" t="s">
        <v>17</v>
      </c>
      <c r="S34" s="775">
        <f t="shared" si="12"/>
        <v>100</v>
      </c>
      <c r="T34" s="774" t="s">
        <v>17</v>
      </c>
      <c r="U34" s="775">
        <f t="shared" si="13"/>
        <v>100</v>
      </c>
      <c r="V34" s="774" t="s">
        <v>17</v>
      </c>
      <c r="W34" s="775">
        <f t="shared" si="14"/>
        <v>100</v>
      </c>
      <c r="X34" s="1816"/>
      <c r="Y34" s="3171"/>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166" t="str">
        <f>A35</f>
        <v>成交单价（元/平方米）</v>
      </c>
      <c r="Q35" s="3166"/>
      <c r="R35" s="3211">
        <f>E35</f>
        <v>0</v>
      </c>
      <c r="S35" s="3211"/>
      <c r="T35" s="3211">
        <f>G35</f>
        <v>0</v>
      </c>
      <c r="U35" s="3211"/>
      <c r="V35" s="3211">
        <f>I35</f>
        <v>0</v>
      </c>
      <c r="W35" s="3211"/>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66" t="str">
        <f>A36</f>
        <v>比较价值（元/平方米）</v>
      </c>
      <c r="Q36" s="3166"/>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60" t="str">
        <f>A37</f>
        <v>估价对象XX用房的比较价值（楼面单价，元/平方米）</v>
      </c>
      <c r="Q37" s="3161"/>
      <c r="R37" s="3210" t="e">
        <f>IF(F1="售价",ROUND(AVERAGE(R36:V36),0),ROUND(AVERAGE(R36:V36),1))</f>
        <v>#DIV/0!</v>
      </c>
      <c r="S37" s="3210"/>
      <c r="T37" s="3210"/>
      <c r="U37" s="3210"/>
      <c r="V37" s="3210"/>
      <c r="W37" s="321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2012-12</v>
      </c>
      <c r="D46" s="1578">
        <f>EDATE(C46,-1)</f>
        <v>41214</v>
      </c>
      <c r="E46" s="1578">
        <f t="shared" ref="E46:O46" si="16">EDATE(D46,-1)</f>
        <v>41183</v>
      </c>
      <c r="F46" s="1578">
        <f t="shared" si="16"/>
        <v>41153</v>
      </c>
      <c r="G46" s="1578">
        <f t="shared" si="16"/>
        <v>41122</v>
      </c>
      <c r="H46" s="1578">
        <f t="shared" si="16"/>
        <v>41091</v>
      </c>
      <c r="I46" s="1578">
        <f t="shared" si="16"/>
        <v>41061</v>
      </c>
      <c r="J46" s="1578">
        <f t="shared" si="16"/>
        <v>41030</v>
      </c>
      <c r="K46" s="1578">
        <f t="shared" si="16"/>
        <v>41000</v>
      </c>
      <c r="L46" s="1578">
        <f t="shared" si="16"/>
        <v>40969</v>
      </c>
      <c r="M46" s="1578">
        <f t="shared" si="16"/>
        <v>40940</v>
      </c>
      <c r="N46" s="1578">
        <f t="shared" si="16"/>
        <v>40909</v>
      </c>
      <c r="O46" s="1578">
        <f t="shared" si="16"/>
        <v>40878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63" t="s">
        <v>2645</v>
      </c>
      <c r="D4" s="3176"/>
      <c r="E4" s="3177" t="s">
        <v>2646</v>
      </c>
      <c r="F4" s="3178"/>
      <c r="G4" s="3163" t="s">
        <v>2647</v>
      </c>
      <c r="H4" s="3176"/>
      <c r="I4" s="3163" t="s">
        <v>2648</v>
      </c>
      <c r="J4" s="3176"/>
      <c r="K4" s="610" t="s">
        <v>2649</v>
      </c>
      <c r="L4" s="1133"/>
      <c r="M4" s="1134"/>
      <c r="N4" s="1134"/>
      <c r="O4" s="1134"/>
      <c r="P4" s="3179" t="s">
        <v>2650</v>
      </c>
      <c r="Q4" s="3180"/>
      <c r="R4" s="3185" t="s">
        <v>2646</v>
      </c>
      <c r="S4" s="3186"/>
      <c r="T4" s="3185" t="s">
        <v>2647</v>
      </c>
      <c r="U4" s="3186"/>
      <c r="V4" s="3172" t="s">
        <v>2648</v>
      </c>
      <c r="W4" s="3172"/>
      <c r="X4" s="1816"/>
      <c r="Y4" s="3185" t="s">
        <v>2650</v>
      </c>
      <c r="Z4" s="3186"/>
      <c r="AA4" s="3173" t="s">
        <v>2646</v>
      </c>
      <c r="AB4" s="3174" t="s">
        <v>2647</v>
      </c>
      <c r="AC4" s="3173" t="s">
        <v>2648</v>
      </c>
    </row>
    <row r="5" spans="1:29" ht="15">
      <c r="A5" s="404"/>
      <c r="B5" s="405"/>
      <c r="C5" s="3193" t="s">
        <v>2541</v>
      </c>
      <c r="D5" s="3194"/>
      <c r="E5" s="3200" t="s">
        <v>2542</v>
      </c>
      <c r="F5" s="3201"/>
      <c r="G5" s="3193" t="s">
        <v>2543</v>
      </c>
      <c r="H5" s="3194"/>
      <c r="I5" s="3193" t="s">
        <v>2544</v>
      </c>
      <c r="J5" s="3194"/>
      <c r="K5" s="610"/>
      <c r="L5" s="1133"/>
      <c r="M5" s="1134"/>
      <c r="N5" s="1134"/>
      <c r="O5" s="1134"/>
      <c r="P5" s="3181"/>
      <c r="Q5" s="3182"/>
      <c r="R5" s="3187"/>
      <c r="S5" s="3188"/>
      <c r="T5" s="3187"/>
      <c r="U5" s="3188"/>
      <c r="V5" s="3172"/>
      <c r="W5" s="3172"/>
      <c r="X5" s="1816"/>
      <c r="Y5" s="3187"/>
      <c r="Z5" s="3188"/>
      <c r="AA5" s="3174"/>
      <c r="AB5" s="3174"/>
      <c r="AC5" s="3174"/>
    </row>
    <row r="6" spans="1:29" ht="15.75" thickBot="1">
      <c r="A6" s="406"/>
      <c r="B6" s="407"/>
      <c r="C6" s="3258" t="s">
        <v>2796</v>
      </c>
      <c r="D6" s="3259"/>
      <c r="E6" s="3260" t="s">
        <v>2796</v>
      </c>
      <c r="F6" s="3261"/>
      <c r="G6" s="3258" t="s">
        <v>2796</v>
      </c>
      <c r="H6" s="3259"/>
      <c r="I6" s="3258" t="s">
        <v>2796</v>
      </c>
      <c r="J6" s="3259"/>
      <c r="K6" s="610" t="s">
        <v>2546</v>
      </c>
      <c r="L6" s="1133"/>
      <c r="M6" s="1134"/>
      <c r="N6" s="1134"/>
      <c r="O6" s="1134"/>
      <c r="P6" s="3183"/>
      <c r="Q6" s="3184"/>
      <c r="R6" s="3187"/>
      <c r="S6" s="3188"/>
      <c r="T6" s="3189"/>
      <c r="U6" s="3190"/>
      <c r="V6" s="3172"/>
      <c r="W6" s="3172"/>
      <c r="X6" s="1816"/>
      <c r="Y6" s="3189"/>
      <c r="Z6" s="3190"/>
      <c r="AA6" s="3175"/>
      <c r="AB6" s="3175"/>
      <c r="AC6" s="3175"/>
    </row>
    <row r="7" spans="1:29" s="117" customFormat="1" ht="15.75" thickBot="1">
      <c r="A7" s="408" t="s">
        <v>2547</v>
      </c>
      <c r="B7" s="409"/>
      <c r="C7" s="410">
        <f>'数据-取费表'!B2</f>
        <v>41273</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195" t="s">
        <v>2548</v>
      </c>
      <c r="Q7" s="3197"/>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5" t="s">
        <v>2551</v>
      </c>
      <c r="Q8" s="3196"/>
      <c r="R8" s="770" t="s">
        <v>17</v>
      </c>
      <c r="S8" s="771">
        <f t="shared" si="0"/>
        <v>0</v>
      </c>
      <c r="T8" s="770" t="s">
        <v>17</v>
      </c>
      <c r="U8" s="771">
        <f t="shared" si="1"/>
        <v>0</v>
      </c>
      <c r="V8" s="770" t="s">
        <v>17</v>
      </c>
      <c r="W8" s="771">
        <f t="shared" si="2"/>
        <v>0</v>
      </c>
      <c r="X8" s="772"/>
      <c r="Y8" s="3195" t="s">
        <v>2551</v>
      </c>
      <c r="Z8" s="3196"/>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166" t="s">
        <v>2554</v>
      </c>
      <c r="Q9" s="1798" t="str">
        <f t="shared" ref="Q9:Q15" si="6">B9</f>
        <v>用途</v>
      </c>
      <c r="R9" s="770" t="s">
        <v>17</v>
      </c>
      <c r="S9" s="771">
        <f t="shared" si="0"/>
        <v>100</v>
      </c>
      <c r="T9" s="770" t="s">
        <v>17</v>
      </c>
      <c r="U9" s="771">
        <f t="shared" si="1"/>
        <v>100</v>
      </c>
      <c r="V9" s="770" t="s">
        <v>17</v>
      </c>
      <c r="W9" s="771">
        <f t="shared" si="2"/>
        <v>100</v>
      </c>
      <c r="X9" s="772"/>
      <c r="Y9" s="3017"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66"/>
      <c r="Q10" s="1798" t="str">
        <f t="shared" si="6"/>
        <v>土地使用年限（年）</v>
      </c>
      <c r="R10" s="770" t="s">
        <v>17</v>
      </c>
      <c r="S10" s="771">
        <f t="shared" si="0"/>
        <v>105</v>
      </c>
      <c r="T10" s="770" t="s">
        <v>17</v>
      </c>
      <c r="U10" s="771">
        <f t="shared" si="1"/>
        <v>105</v>
      </c>
      <c r="V10" s="770" t="s">
        <v>17</v>
      </c>
      <c r="W10" s="771">
        <f t="shared" si="2"/>
        <v>105</v>
      </c>
      <c r="X10" s="772"/>
      <c r="Y10" s="3017"/>
      <c r="Z10" s="55" t="str">
        <f t="shared" si="7"/>
        <v>土地使用年限（年）</v>
      </c>
      <c r="AA10" s="773">
        <f t="shared" si="3"/>
        <v>0.95238095238095233</v>
      </c>
      <c r="AB10" s="773">
        <f t="shared" si="4"/>
        <v>0.95238095238095233</v>
      </c>
      <c r="AC10" s="773">
        <f t="shared"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6"/>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6"/>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6"/>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2558</v>
      </c>
      <c r="B15" s="629" t="s">
        <v>2797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8" t="s">
        <v>2559</v>
      </c>
      <c r="Q15" s="1813" t="str">
        <f t="shared" si="6"/>
        <v>产业集聚程度</v>
      </c>
      <c r="R15" s="774" t="s">
        <v>17</v>
      </c>
      <c r="S15" s="775">
        <f t="shared" si="0"/>
        <v>100</v>
      </c>
      <c r="T15" s="774" t="s">
        <v>17</v>
      </c>
      <c r="U15" s="775">
        <f t="shared" si="1"/>
        <v>100</v>
      </c>
      <c r="V15" s="774" t="s">
        <v>17</v>
      </c>
      <c r="W15" s="775">
        <f t="shared" si="2"/>
        <v>100</v>
      </c>
      <c r="X15" s="1816"/>
      <c r="Y15" s="3168" t="s">
        <v>2559</v>
      </c>
      <c r="Z15" s="1817" t="str">
        <f t="shared" si="7"/>
        <v>产业集聚程度</v>
      </c>
      <c r="AA15" s="1814">
        <f t="shared" si="3"/>
        <v>1</v>
      </c>
      <c r="AB15" s="1814">
        <f t="shared" si="4"/>
        <v>1</v>
      </c>
      <c r="AC15" s="1814">
        <f t="shared" si="5"/>
        <v>1</v>
      </c>
    </row>
    <row r="16" spans="1:29" ht="15">
      <c r="A16" s="428"/>
      <c r="B16" s="630"/>
      <c r="C16" s="447"/>
      <c r="D16" s="448"/>
      <c r="E16" s="2611"/>
      <c r="F16" s="448"/>
      <c r="G16" s="2611"/>
      <c r="H16" s="450"/>
      <c r="I16" s="2611"/>
      <c r="J16" s="448"/>
      <c r="K16" s="672"/>
      <c r="L16" s="1143"/>
      <c r="M16" s="1134"/>
      <c r="N16" s="1134"/>
      <c r="O16" s="1142"/>
      <c r="P16" s="3169"/>
      <c r="Q16" s="1813"/>
      <c r="R16" s="774"/>
      <c r="S16" s="775"/>
      <c r="T16" s="774"/>
      <c r="U16" s="775"/>
      <c r="V16" s="774"/>
      <c r="W16" s="775"/>
      <c r="X16" s="1816"/>
      <c r="Y16" s="3169"/>
      <c r="Z16" s="1817"/>
      <c r="AA16" s="1814">
        <v>1</v>
      </c>
      <c r="AB16" s="1814">
        <v>1</v>
      </c>
      <c r="AC16" s="1814">
        <v>1</v>
      </c>
    </row>
    <row r="17" spans="1:29" ht="85.5">
      <c r="A17" s="428"/>
      <c r="B17" s="631" t="s">
        <v>2708</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9"/>
      <c r="Q17" s="1813" t="str">
        <f>B17</f>
        <v>交通便捷度</v>
      </c>
      <c r="R17" s="774" t="s">
        <v>17</v>
      </c>
      <c r="S17" s="775">
        <f>F17</f>
        <v>100</v>
      </c>
      <c r="T17" s="774" t="s">
        <v>17</v>
      </c>
      <c r="U17" s="775">
        <f>H17</f>
        <v>100</v>
      </c>
      <c r="V17" s="774" t="s">
        <v>17</v>
      </c>
      <c r="W17" s="775">
        <f>J17</f>
        <v>100</v>
      </c>
      <c r="X17" s="1816"/>
      <c r="Y17" s="3169"/>
      <c r="Z17" s="1817" t="str">
        <f>Q17</f>
        <v>交通便捷度</v>
      </c>
      <c r="AA17" s="1814">
        <f t="shared" si="3"/>
        <v>1</v>
      </c>
      <c r="AB17" s="1814">
        <f t="shared" si="4"/>
        <v>1</v>
      </c>
      <c r="AC17" s="1814">
        <f t="shared" si="5"/>
        <v>1</v>
      </c>
    </row>
    <row r="18" spans="1:29" ht="15">
      <c r="A18" s="428"/>
      <c r="B18" s="632"/>
      <c r="C18" s="447"/>
      <c r="D18" s="448"/>
      <c r="E18" s="2605"/>
      <c r="F18" s="448"/>
      <c r="G18" s="2605"/>
      <c r="H18" s="448"/>
      <c r="I18" s="2604"/>
      <c r="J18" s="448"/>
      <c r="K18" s="672"/>
      <c r="L18" s="1143"/>
      <c r="M18" s="1134"/>
      <c r="N18" s="1134"/>
      <c r="O18" s="1142"/>
      <c r="P18" s="3169"/>
      <c r="Q18" s="1813"/>
      <c r="R18" s="774"/>
      <c r="S18" s="775"/>
      <c r="T18" s="774"/>
      <c r="U18" s="775"/>
      <c r="V18" s="774"/>
      <c r="W18" s="775"/>
      <c r="X18" s="1816"/>
      <c r="Y18" s="3169"/>
      <c r="Z18" s="1817"/>
      <c r="AA18" s="1814">
        <v>1</v>
      </c>
      <c r="AB18" s="1814">
        <v>1</v>
      </c>
      <c r="AC18" s="1814">
        <v>1</v>
      </c>
    </row>
    <row r="19" spans="1:29" ht="15">
      <c r="A19" s="428"/>
      <c r="B19" s="631" t="s">
        <v>2747</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9"/>
      <c r="Q19" s="1813" t="str">
        <f t="shared" ref="Q19:Q33" si="8">B19</f>
        <v>区域土地利用方向</v>
      </c>
      <c r="R19" s="774" t="s">
        <v>17</v>
      </c>
      <c r="S19" s="775">
        <f>F19</f>
        <v>100</v>
      </c>
      <c r="T19" s="774" t="s">
        <v>17</v>
      </c>
      <c r="U19" s="775">
        <f>H19</f>
        <v>100</v>
      </c>
      <c r="V19" s="774" t="s">
        <v>17</v>
      </c>
      <c r="W19" s="775">
        <f>J19</f>
        <v>100</v>
      </c>
      <c r="X19" s="1816"/>
      <c r="Y19" s="3169"/>
      <c r="Z19" s="1817" t="str">
        <f>Q19</f>
        <v>区域土地利用方向</v>
      </c>
      <c r="AA19" s="1814">
        <f t="shared" si="3"/>
        <v>1</v>
      </c>
      <c r="AB19" s="1814">
        <f t="shared" si="4"/>
        <v>1</v>
      </c>
      <c r="AC19" s="1814">
        <f t="shared" si="5"/>
        <v>1</v>
      </c>
    </row>
    <row r="20" spans="1:29" ht="15">
      <c r="A20" s="404"/>
      <c r="B20" s="632"/>
      <c r="C20" s="447"/>
      <c r="D20" s="448"/>
      <c r="E20" s="2605"/>
      <c r="F20" s="448"/>
      <c r="G20" s="2605"/>
      <c r="H20" s="448"/>
      <c r="I20" s="2605"/>
      <c r="J20" s="448"/>
      <c r="K20" s="812"/>
      <c r="L20" s="1143"/>
      <c r="M20" s="1134"/>
      <c r="N20" s="1134"/>
      <c r="O20" s="1142"/>
      <c r="P20" s="3169"/>
      <c r="Q20" s="1813"/>
      <c r="R20" s="774"/>
      <c r="S20" s="775"/>
      <c r="T20" s="774"/>
      <c r="U20" s="775"/>
      <c r="V20" s="774"/>
      <c r="W20" s="775"/>
      <c r="X20" s="1816"/>
      <c r="Y20" s="3169"/>
      <c r="Z20" s="1817"/>
      <c r="AA20" s="1814"/>
      <c r="AB20" s="1814"/>
      <c r="AC20" s="1814"/>
    </row>
    <row r="21" spans="1:29" ht="71.25">
      <c r="A21" s="404"/>
      <c r="B21" s="631" t="s">
        <v>2798</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9"/>
      <c r="Q21" s="1813" t="str">
        <f t="shared" si="8"/>
        <v>环境状况</v>
      </c>
      <c r="R21" s="774" t="s">
        <v>17</v>
      </c>
      <c r="S21" s="775">
        <f>F21</f>
        <v>100</v>
      </c>
      <c r="T21" s="774" t="s">
        <v>17</v>
      </c>
      <c r="U21" s="775">
        <f>H21</f>
        <v>100</v>
      </c>
      <c r="V21" s="774" t="s">
        <v>17</v>
      </c>
      <c r="W21" s="775">
        <f>J21</f>
        <v>100</v>
      </c>
      <c r="X21" s="1816"/>
      <c r="Y21" s="3169"/>
      <c r="Z21" s="1817" t="str">
        <f>Q21</f>
        <v>环境状况</v>
      </c>
      <c r="AA21" s="1814">
        <f t="shared" si="3"/>
        <v>1</v>
      </c>
      <c r="AB21" s="1814">
        <f t="shared" si="4"/>
        <v>1</v>
      </c>
      <c r="AC21" s="1814">
        <f t="shared" si="5"/>
        <v>1</v>
      </c>
    </row>
    <row r="22" spans="1:29" ht="15">
      <c r="A22" s="404"/>
      <c r="B22" s="632"/>
      <c r="C22" s="447"/>
      <c r="D22" s="448"/>
      <c r="E22" s="2611"/>
      <c r="F22" s="448"/>
      <c r="G22" s="2611"/>
      <c r="H22" s="448"/>
      <c r="I22" s="447"/>
      <c r="J22" s="448"/>
      <c r="K22" s="672"/>
      <c r="L22" s="1143"/>
      <c r="M22" s="1134"/>
      <c r="N22" s="1134"/>
      <c r="O22" s="1142"/>
      <c r="P22" s="3169"/>
      <c r="Q22" s="1813"/>
      <c r="R22" s="774"/>
      <c r="S22" s="775"/>
      <c r="T22" s="774"/>
      <c r="U22" s="775"/>
      <c r="V22" s="774"/>
      <c r="W22" s="775"/>
      <c r="X22" s="1816"/>
      <c r="Y22" s="3169"/>
      <c r="Z22" s="1817"/>
      <c r="AA22" s="1814">
        <v>1</v>
      </c>
      <c r="AB22" s="1814">
        <v>1</v>
      </c>
      <c r="AC22" s="1814">
        <v>1</v>
      </c>
    </row>
    <row r="23" spans="1:29" s="117" customFormat="1" ht="42.75">
      <c r="A23" s="649"/>
      <c r="B23" s="633" t="s">
        <v>2653</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9"/>
      <c r="Q23" s="1798" t="str">
        <f t="shared" si="8"/>
        <v>公共配套设施</v>
      </c>
      <c r="R23" s="770" t="s">
        <v>17</v>
      </c>
      <c r="S23" s="771">
        <f>F23</f>
        <v>100</v>
      </c>
      <c r="T23" s="770" t="s">
        <v>17</v>
      </c>
      <c r="U23" s="771">
        <f>H23</f>
        <v>100</v>
      </c>
      <c r="V23" s="770" t="s">
        <v>17</v>
      </c>
      <c r="W23" s="771">
        <f>J23</f>
        <v>100</v>
      </c>
      <c r="X23" s="772"/>
      <c r="Y23" s="3169"/>
      <c r="Z23" s="55" t="str">
        <f>Q23</f>
        <v>公共配套设施</v>
      </c>
      <c r="AA23" s="1814">
        <f>D23/F23</f>
        <v>1</v>
      </c>
      <c r="AB23" s="1814">
        <f>D23/H23</f>
        <v>1</v>
      </c>
      <c r="AC23" s="1814">
        <f>D23/J23</f>
        <v>1</v>
      </c>
    </row>
    <row r="24" spans="1:29" s="117" customFormat="1" ht="15">
      <c r="A24" s="649"/>
      <c r="B24" s="632"/>
      <c r="C24" s="2698"/>
      <c r="D24" s="448"/>
      <c r="E24" s="2611"/>
      <c r="F24" s="448"/>
      <c r="G24" s="2611"/>
      <c r="H24" s="448"/>
      <c r="I24" s="447"/>
      <c r="J24" s="448"/>
      <c r="K24" s="672"/>
      <c r="L24" s="1135"/>
      <c r="M24" s="1136"/>
      <c r="N24" s="1136"/>
      <c r="O24" s="1137"/>
      <c r="P24" s="3169"/>
      <c r="Q24" s="1798"/>
      <c r="R24" s="770"/>
      <c r="S24" s="771"/>
      <c r="T24" s="770"/>
      <c r="U24" s="771"/>
      <c r="V24" s="770"/>
      <c r="W24" s="771"/>
      <c r="X24" s="772"/>
      <c r="Y24" s="3169"/>
      <c r="Z24" s="55"/>
      <c r="AA24" s="773">
        <v>1</v>
      </c>
      <c r="AB24" s="773">
        <v>1</v>
      </c>
      <c r="AC24" s="773">
        <v>1</v>
      </c>
    </row>
    <row r="25" spans="1:29" s="117" customFormat="1" ht="28.5">
      <c r="A25" s="649"/>
      <c r="B25" s="633" t="s">
        <v>2654</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9"/>
      <c r="Q25" s="1798" t="str">
        <f t="shared" ref="Q25" si="9">B25</f>
        <v>基础设施水平</v>
      </c>
      <c r="R25" s="770" t="s">
        <v>17</v>
      </c>
      <c r="S25" s="771">
        <f>F25</f>
        <v>100</v>
      </c>
      <c r="T25" s="770" t="s">
        <v>17</v>
      </c>
      <c r="U25" s="771">
        <f>H25</f>
        <v>100</v>
      </c>
      <c r="V25" s="770" t="s">
        <v>17</v>
      </c>
      <c r="W25" s="771">
        <f>J25</f>
        <v>100</v>
      </c>
      <c r="X25" s="772"/>
      <c r="Y25" s="3169"/>
      <c r="Z25" s="55" t="str">
        <f>Q25</f>
        <v>基础设施水平</v>
      </c>
      <c r="AA25" s="1814">
        <f>D25/F25</f>
        <v>1</v>
      </c>
      <c r="AB25" s="1814">
        <f>D25/H25</f>
        <v>1</v>
      </c>
      <c r="AC25" s="1814">
        <f>D25/J25</f>
        <v>1</v>
      </c>
    </row>
    <row r="26" spans="1:29" s="117" customFormat="1" ht="15">
      <c r="A26" s="649"/>
      <c r="B26" s="632"/>
      <c r="C26" s="2698"/>
      <c r="D26" s="448"/>
      <c r="E26" s="2699"/>
      <c r="F26" s="448"/>
      <c r="G26" s="2699"/>
      <c r="H26" s="448"/>
      <c r="I26" s="2699"/>
      <c r="J26" s="448"/>
      <c r="K26" s="672"/>
      <c r="L26" s="1135"/>
      <c r="M26" s="1136"/>
      <c r="N26" s="1136"/>
      <c r="O26" s="1137"/>
      <c r="P26" s="3169"/>
      <c r="Q26" s="1798"/>
      <c r="R26" s="770"/>
      <c r="S26" s="771"/>
      <c r="T26" s="770"/>
      <c r="U26" s="771"/>
      <c r="V26" s="770"/>
      <c r="W26" s="771"/>
      <c r="X26" s="772"/>
      <c r="Y26" s="316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9"/>
      <c r="Z27" s="1817" t="str">
        <f t="shared" ref="Z27:Z40" si="13">Q27</f>
        <v>临街状况</v>
      </c>
      <c r="AA27" s="1814">
        <f t="shared" si="3"/>
        <v>1</v>
      </c>
      <c r="AB27" s="1814">
        <f t="shared" si="4"/>
        <v>1</v>
      </c>
      <c r="AC27" s="1814">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9"/>
      <c r="Q28" s="1813" t="str">
        <f t="shared" si="8"/>
        <v>毗邻道路的类型与等级</v>
      </c>
      <c r="R28" s="774" t="s">
        <v>17</v>
      </c>
      <c r="S28" s="775">
        <f t="shared" si="10"/>
        <v>100</v>
      </c>
      <c r="T28" s="774" t="s">
        <v>17</v>
      </c>
      <c r="U28" s="775">
        <f t="shared" si="11"/>
        <v>100</v>
      </c>
      <c r="V28" s="774" t="s">
        <v>17</v>
      </c>
      <c r="W28" s="775">
        <f t="shared" si="12"/>
        <v>100</v>
      </c>
      <c r="X28" s="1816"/>
      <c r="Y28" s="3169"/>
      <c r="Z28" s="1817" t="str">
        <f t="shared" si="13"/>
        <v>毗邻道路的类型与等级</v>
      </c>
      <c r="AA28" s="1814">
        <f t="shared" si="3"/>
        <v>1</v>
      </c>
      <c r="AB28" s="1814">
        <f t="shared" si="4"/>
        <v>1</v>
      </c>
      <c r="AC28" s="1814">
        <f t="shared" si="5"/>
        <v>1</v>
      </c>
    </row>
    <row r="29" spans="1:29" ht="15">
      <c r="A29" s="428"/>
      <c r="B29" s="632"/>
      <c r="C29" s="447"/>
      <c r="D29" s="448"/>
      <c r="E29" s="2611"/>
      <c r="F29" s="448"/>
      <c r="G29" s="2611"/>
      <c r="H29" s="448"/>
      <c r="I29" s="2611"/>
      <c r="J29" s="448"/>
      <c r="K29" s="613"/>
      <c r="L29" s="1143"/>
      <c r="M29" s="1134"/>
      <c r="N29" s="1134"/>
      <c r="O29" s="1142"/>
      <c r="P29" s="3169"/>
      <c r="Q29" s="1813"/>
      <c r="R29" s="774"/>
      <c r="S29" s="775"/>
      <c r="T29" s="774"/>
      <c r="U29" s="775"/>
      <c r="V29" s="774"/>
      <c r="W29" s="775"/>
      <c r="X29" s="1816"/>
      <c r="Y29" s="3169"/>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9"/>
      <c r="Q30" s="1813" t="str">
        <f t="shared" si="8"/>
        <v>土地级别</v>
      </c>
      <c r="R30" s="774" t="s">
        <v>17</v>
      </c>
      <c r="S30" s="775">
        <f t="shared" si="10"/>
        <v>100</v>
      </c>
      <c r="T30" s="774" t="s">
        <v>17</v>
      </c>
      <c r="U30" s="775">
        <f t="shared" si="11"/>
        <v>100</v>
      </c>
      <c r="V30" s="774" t="s">
        <v>17</v>
      </c>
      <c r="W30" s="775">
        <f t="shared" si="12"/>
        <v>100</v>
      </c>
      <c r="X30" s="1816"/>
      <c r="Y30" s="3169"/>
      <c r="Z30" s="1817" t="str">
        <f t="shared" si="13"/>
        <v>土地级别</v>
      </c>
      <c r="AA30" s="1814">
        <f t="shared" si="3"/>
        <v>1</v>
      </c>
      <c r="AB30" s="1814">
        <f t="shared" si="4"/>
        <v>1</v>
      </c>
      <c r="AC30" s="1814">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9"/>
      <c r="Q31" s="1813">
        <f t="shared" si="8"/>
        <v>111</v>
      </c>
      <c r="R31" s="774" t="s">
        <v>17</v>
      </c>
      <c r="S31" s="775">
        <f t="shared" si="10"/>
        <v>100</v>
      </c>
      <c r="T31" s="774" t="s">
        <v>17</v>
      </c>
      <c r="U31" s="775">
        <f t="shared" si="11"/>
        <v>100</v>
      </c>
      <c r="V31" s="774" t="s">
        <v>17</v>
      </c>
      <c r="W31" s="775">
        <f t="shared" si="12"/>
        <v>100</v>
      </c>
      <c r="X31" s="1816"/>
      <c r="Y31" s="3169"/>
      <c r="Z31" s="1817">
        <f t="shared" si="13"/>
        <v>111</v>
      </c>
      <c r="AA31" s="1814">
        <f t="shared" si="3"/>
        <v>1</v>
      </c>
      <c r="AB31" s="1814">
        <f t="shared" si="4"/>
        <v>1</v>
      </c>
      <c r="AC31" s="1814">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0" t="s">
        <v>2564</v>
      </c>
      <c r="Q32" s="1813">
        <f t="shared" si="8"/>
        <v>111</v>
      </c>
      <c r="R32" s="774" t="s">
        <v>17</v>
      </c>
      <c r="S32" s="775">
        <f t="shared" si="10"/>
        <v>100</v>
      </c>
      <c r="T32" s="774" t="s">
        <v>17</v>
      </c>
      <c r="U32" s="775">
        <f t="shared" si="11"/>
        <v>100</v>
      </c>
      <c r="V32" s="774" t="s">
        <v>17</v>
      </c>
      <c r="W32" s="775">
        <f t="shared" si="12"/>
        <v>100</v>
      </c>
      <c r="X32" s="1816"/>
      <c r="Y32" s="3171" t="s">
        <v>2564</v>
      </c>
      <c r="Z32" s="1817">
        <f t="shared" si="13"/>
        <v>111</v>
      </c>
      <c r="AA32" s="1814">
        <f t="shared" si="3"/>
        <v>1</v>
      </c>
      <c r="AB32" s="1814">
        <f t="shared" si="4"/>
        <v>1</v>
      </c>
      <c r="AC32" s="1814">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1"/>
      <c r="Q33" s="1813">
        <f t="shared" si="8"/>
        <v>111</v>
      </c>
      <c r="R33" s="777" t="s">
        <v>17</v>
      </c>
      <c r="S33" s="778">
        <f t="shared" si="10"/>
        <v>100</v>
      </c>
      <c r="T33" s="777" t="s">
        <v>17</v>
      </c>
      <c r="U33" s="778">
        <f t="shared" si="11"/>
        <v>100</v>
      </c>
      <c r="V33" s="777" t="s">
        <v>17</v>
      </c>
      <c r="W33" s="778">
        <f t="shared" si="12"/>
        <v>100</v>
      </c>
      <c r="X33" s="779"/>
      <c r="Y33" s="3171"/>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1"/>
      <c r="Q34" s="1813" t="str">
        <f>B34</f>
        <v>宗地面积</v>
      </c>
      <c r="R34" s="774" t="s">
        <v>17</v>
      </c>
      <c r="S34" s="775" t="e">
        <f t="shared" si="10"/>
        <v>#N/A</v>
      </c>
      <c r="T34" s="774" t="s">
        <v>17</v>
      </c>
      <c r="U34" s="775" t="e">
        <f t="shared" si="11"/>
        <v>#N/A</v>
      </c>
      <c r="V34" s="774" t="s">
        <v>17</v>
      </c>
      <c r="W34" s="775" t="e">
        <f t="shared" si="12"/>
        <v>#N/A</v>
      </c>
      <c r="X34" s="1816"/>
      <c r="Y34" s="3171"/>
      <c r="Z34" s="1817" t="str">
        <f t="shared" si="13"/>
        <v>宗地面积</v>
      </c>
      <c r="AA34" s="1814" t="e">
        <f t="shared" si="3"/>
        <v>#N/A</v>
      </c>
      <c r="AB34" s="1814" t="e">
        <f t="shared" si="4"/>
        <v>#N/A</v>
      </c>
      <c r="AC34" s="1814" t="e">
        <f t="shared" si="5"/>
        <v>#N/A</v>
      </c>
    </row>
    <row r="35" spans="1:29" ht="15">
      <c r="A35" s="472"/>
      <c r="B35" s="422" t="s">
        <v>2751</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171"/>
      <c r="Q35" s="1813" t="str">
        <f t="shared" ref="Q35:Q40" si="14">B35</f>
        <v>宗地形状</v>
      </c>
      <c r="R35" s="774" t="s">
        <v>17</v>
      </c>
      <c r="S35" s="775">
        <f t="shared" si="10"/>
        <v>100</v>
      </c>
      <c r="T35" s="774" t="s">
        <v>17</v>
      </c>
      <c r="U35" s="775">
        <f t="shared" si="11"/>
        <v>100</v>
      </c>
      <c r="V35" s="774" t="s">
        <v>17</v>
      </c>
      <c r="W35" s="775">
        <f t="shared" si="12"/>
        <v>100</v>
      </c>
      <c r="X35" s="1816"/>
      <c r="Y35" s="3171"/>
      <c r="Z35" s="1817" t="str">
        <f t="shared" si="13"/>
        <v>宗地形状</v>
      </c>
      <c r="AA35" s="1814">
        <f t="shared" si="3"/>
        <v>1</v>
      </c>
      <c r="AB35" s="1814">
        <f t="shared" si="4"/>
        <v>1</v>
      </c>
      <c r="AC35" s="1814">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171"/>
      <c r="Q36" s="1813" t="str">
        <f t="shared" si="14"/>
        <v>宗地开发程度</v>
      </c>
      <c r="R36" s="770" t="s">
        <v>17</v>
      </c>
      <c r="S36" s="771">
        <f t="shared" si="10"/>
        <v>100</v>
      </c>
      <c r="T36" s="770" t="s">
        <v>17</v>
      </c>
      <c r="U36" s="771">
        <f t="shared" si="11"/>
        <v>100</v>
      </c>
      <c r="V36" s="770" t="s">
        <v>17</v>
      </c>
      <c r="W36" s="771">
        <f t="shared" si="12"/>
        <v>100</v>
      </c>
      <c r="X36" s="772"/>
      <c r="Y36" s="3171"/>
      <c r="Z36" s="55" t="str">
        <f t="shared" si="13"/>
        <v>宗地开发程度</v>
      </c>
      <c r="AA36" s="773">
        <f t="shared" si="3"/>
        <v>1</v>
      </c>
      <c r="AB36" s="773">
        <f t="shared" si="4"/>
        <v>1</v>
      </c>
      <c r="AC36" s="773">
        <f t="shared" si="5"/>
        <v>1</v>
      </c>
    </row>
    <row r="37" spans="1:29" ht="15">
      <c r="A37" s="472"/>
      <c r="B37" s="422" t="s">
        <v>2754</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71" t="s">
        <v>2564</v>
      </c>
      <c r="Q37" s="1813" t="str">
        <f t="shared" si="14"/>
        <v>工程地质条件</v>
      </c>
      <c r="R37" s="774" t="s">
        <v>17</v>
      </c>
      <c r="S37" s="775">
        <f t="shared" si="10"/>
        <v>100</v>
      </c>
      <c r="T37" s="774" t="s">
        <v>17</v>
      </c>
      <c r="U37" s="775">
        <f t="shared" si="11"/>
        <v>100</v>
      </c>
      <c r="V37" s="774" t="s">
        <v>17</v>
      </c>
      <c r="W37" s="775">
        <f t="shared" si="12"/>
        <v>100</v>
      </c>
      <c r="X37" s="1816"/>
      <c r="Y37" s="3171"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1"/>
      <c r="Q38" s="1813">
        <f t="shared" si="14"/>
        <v>111</v>
      </c>
      <c r="R38" s="774" t="s">
        <v>17</v>
      </c>
      <c r="S38" s="775">
        <f t="shared" si="10"/>
        <v>100</v>
      </c>
      <c r="T38" s="774" t="s">
        <v>17</v>
      </c>
      <c r="U38" s="775">
        <f t="shared" si="11"/>
        <v>100</v>
      </c>
      <c r="V38" s="774" t="s">
        <v>17</v>
      </c>
      <c r="W38" s="775">
        <f t="shared" si="12"/>
        <v>100</v>
      </c>
      <c r="X38" s="1816"/>
      <c r="Y38" s="317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1"/>
      <c r="Q39" s="1813">
        <f t="shared" si="14"/>
        <v>111</v>
      </c>
      <c r="R39" s="774" t="s">
        <v>17</v>
      </c>
      <c r="S39" s="775">
        <f t="shared" si="10"/>
        <v>100</v>
      </c>
      <c r="T39" s="774" t="s">
        <v>17</v>
      </c>
      <c r="U39" s="775">
        <f t="shared" si="11"/>
        <v>100</v>
      </c>
      <c r="V39" s="774" t="s">
        <v>17</v>
      </c>
      <c r="W39" s="775">
        <f t="shared" si="12"/>
        <v>100</v>
      </c>
      <c r="X39" s="1816"/>
      <c r="Y39" s="3171"/>
      <c r="Z39" s="1817">
        <f t="shared" si="13"/>
        <v>111</v>
      </c>
      <c r="AA39" s="1814">
        <f t="shared" si="3"/>
        <v>1</v>
      </c>
      <c r="AB39" s="1814">
        <f t="shared" si="4"/>
        <v>1</v>
      </c>
      <c r="AC39" s="1814">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1"/>
      <c r="Q40" s="1813">
        <f t="shared" si="14"/>
        <v>111</v>
      </c>
      <c r="R40" s="777" t="s">
        <v>17</v>
      </c>
      <c r="S40" s="778">
        <f t="shared" si="10"/>
        <v>100</v>
      </c>
      <c r="T40" s="777" t="s">
        <v>17</v>
      </c>
      <c r="U40" s="778">
        <f t="shared" si="11"/>
        <v>100</v>
      </c>
      <c r="V40" s="777" t="s">
        <v>17</v>
      </c>
      <c r="W40" s="778">
        <f t="shared" si="12"/>
        <v>100</v>
      </c>
      <c r="X40" s="779"/>
      <c r="Y40" s="3171"/>
      <c r="Z40" s="780">
        <f t="shared" si="13"/>
        <v>111</v>
      </c>
      <c r="AA40" s="1814">
        <f t="shared" si="3"/>
        <v>1</v>
      </c>
      <c r="AB40" s="1814">
        <f t="shared" si="4"/>
        <v>1</v>
      </c>
      <c r="AC40" s="1814">
        <f t="shared" si="5"/>
        <v>1</v>
      </c>
    </row>
    <row r="41" spans="1:29" ht="15">
      <c r="A41" s="479" t="s">
        <v>2719</v>
      </c>
      <c r="B41" s="2702" t="s">
        <v>2799</v>
      </c>
      <c r="C41" s="682" t="s">
        <v>1</v>
      </c>
      <c r="D41" s="481"/>
      <c r="E41" s="482"/>
      <c r="F41" s="483"/>
      <c r="G41" s="484"/>
      <c r="H41" s="485"/>
      <c r="I41" s="482"/>
      <c r="J41" s="485"/>
      <c r="K41" s="783"/>
      <c r="L41" s="1146"/>
      <c r="M41" s="1134"/>
      <c r="N41" s="1134"/>
      <c r="O41" s="1147"/>
      <c r="P41" s="3166" t="str">
        <f>A41</f>
        <v>成交单价</v>
      </c>
      <c r="Q41" s="3166"/>
      <c r="R41" s="3172">
        <f>E41</f>
        <v>0</v>
      </c>
      <c r="S41" s="3172"/>
      <c r="T41" s="3172">
        <f>G41</f>
        <v>0</v>
      </c>
      <c r="U41" s="3172"/>
      <c r="V41" s="3172">
        <f>I41</f>
        <v>0</v>
      </c>
      <c r="W41" s="317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66" t="str">
        <f>A42</f>
        <v>比较价值（元/平方米）</v>
      </c>
      <c r="Q42" s="3166"/>
      <c r="R42" s="3159" t="e">
        <f>ROUND(PRODUCT(R41,AA7:AA40),0)</f>
        <v>#DIV/0!</v>
      </c>
      <c r="S42" s="3159"/>
      <c r="T42" s="3159" t="e">
        <f>ROUND(PRODUCT(T41,AB7:AB40),0)</f>
        <v>#DIV/0!</v>
      </c>
      <c r="U42" s="3159"/>
      <c r="V42" s="3159" t="e">
        <f>ROUND(PRODUCT(V41,AC7:AC40),0)</f>
        <v>#DIV/0!</v>
      </c>
      <c r="W42" s="3159"/>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60" t="str">
        <f>A43</f>
        <v>估价对象XX用房的比较价值（楼面单价，元/平方米）</v>
      </c>
      <c r="Q43" s="3161"/>
      <c r="R43" s="3162" t="e">
        <f>ROUND(AVERAGE(R42:V42),0)</f>
        <v>#DIV/0!</v>
      </c>
      <c r="S43" s="3162"/>
      <c r="T43" s="3162"/>
      <c r="U43" s="3162"/>
      <c r="V43" s="3162"/>
      <c r="W43" s="316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3" t="s">
        <v>2759</v>
      </c>
      <c r="D50" s="2704" t="s">
        <v>2760</v>
      </c>
      <c r="E50" s="686" t="s">
        <v>2761</v>
      </c>
      <c r="F50" s="687" t="s">
        <v>2762</v>
      </c>
      <c r="G50" s="3163" t="s">
        <v>2763</v>
      </c>
      <c r="H50" s="3164"/>
      <c r="I50" s="1817" t="s">
        <v>2800</v>
      </c>
      <c r="J50" s="1817">
        <f>项目基本情况!F35</f>
        <v>0</v>
      </c>
      <c r="K50" s="2706" t="s">
        <v>2765</v>
      </c>
      <c r="L50" s="1109"/>
      <c r="M50" s="1147"/>
      <c r="N50" s="1147"/>
      <c r="O50" s="1147"/>
    </row>
    <row r="51" spans="1:17" s="692" customFormat="1">
      <c r="A51" s="688" t="s">
        <v>2766</v>
      </c>
      <c r="B51" s="689" t="e">
        <f>C43</f>
        <v>#DIV/0!</v>
      </c>
      <c r="C51" s="690">
        <v>1</v>
      </c>
      <c r="D51" s="1166">
        <v>1</v>
      </c>
      <c r="E51" s="690">
        <f>'数据-汇总表'!E8+'数据-汇总表'!E9</f>
        <v>66946.100000000006</v>
      </c>
      <c r="F51" s="691" t="e">
        <f t="shared" ref="F51:F60" si="15">ROUND(B51*E51/10000,0)</f>
        <v>#DIV/0!</v>
      </c>
      <c r="G51" s="3165"/>
      <c r="H51" s="3166"/>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167"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167"/>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167"/>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167"/>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07"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10888.3</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0.2</v>
      </c>
      <c r="D58" s="1167">
        <v>0.25</v>
      </c>
      <c r="E58" s="261">
        <f>'数据-汇总表'!E13</f>
        <v>29858.400000000001</v>
      </c>
      <c r="F58" s="691" t="e">
        <f t="shared" si="15"/>
        <v>#DIV/0!</v>
      </c>
      <c r="G58" s="1112" t="s">
        <v>2777</v>
      </c>
      <c r="H58" s="1107" t="str">
        <f>IF(G58="商业",项目基本情况!B37,IF(G58="办公",项目基本情况!C37,IF(G58="住宅",项目基本情况!D37,项目基本情况!E37)))</f>
        <v>六级</v>
      </c>
      <c r="I58" s="945">
        <f>SUMIF(修正!A45:A56,H58,修正!H45:H56)</f>
        <v>0.2</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07"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08"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24664.240000000002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2012-12-1</v>
      </c>
      <c r="D63" s="761">
        <f>EDATE(C63,-3)</f>
        <v>41153</v>
      </c>
      <c r="E63" s="761">
        <f>EDATE(D63,-3)</f>
        <v>41061</v>
      </c>
      <c r="F63" s="761">
        <f t="shared" ref="F63:O63" si="18">EDATE(E63,-3)</f>
        <v>40969</v>
      </c>
      <c r="G63" s="761">
        <f t="shared" si="18"/>
        <v>40878</v>
      </c>
      <c r="H63" s="761">
        <f t="shared" si="18"/>
        <v>40787</v>
      </c>
      <c r="I63" s="761">
        <f t="shared" si="18"/>
        <v>40695</v>
      </c>
      <c r="J63" s="761">
        <f t="shared" si="18"/>
        <v>40603</v>
      </c>
      <c r="K63" s="761">
        <f t="shared" si="18"/>
        <v>40513</v>
      </c>
      <c r="L63" s="761">
        <f t="shared" si="18"/>
        <v>40422</v>
      </c>
      <c r="M63" s="761">
        <f t="shared" si="18"/>
        <v>40330</v>
      </c>
      <c r="N63" s="761">
        <f t="shared" si="18"/>
        <v>40238</v>
      </c>
      <c r="O63" s="761">
        <f t="shared" si="18"/>
        <v>40148</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09" t="s">
        <v>2781</v>
      </c>
      <c r="B65" s="1362"/>
      <c r="C65" s="1575" t="str">
        <f>YEAR(C63)&amp;"-"&amp;ROUNDUP(MONTH(C63)/3,0)</f>
        <v>2012-4</v>
      </c>
      <c r="D65" s="1575" t="str">
        <f t="shared" ref="D65:O65" si="19">YEAR(D63)&amp;"-"&amp;ROUNDUP(MONTH(D63)/3,0)</f>
        <v>2012-3</v>
      </c>
      <c r="E65" s="1575" t="str">
        <f t="shared" si="19"/>
        <v>2012-2</v>
      </c>
      <c r="F65" s="1575" t="str">
        <f t="shared" si="19"/>
        <v>2012-1</v>
      </c>
      <c r="G65" s="1575" t="str">
        <f t="shared" si="19"/>
        <v>2011-4</v>
      </c>
      <c r="H65" s="1575" t="str">
        <f t="shared" si="19"/>
        <v>2011-3</v>
      </c>
      <c r="I65" s="1575" t="str">
        <f t="shared" si="19"/>
        <v>2011-2</v>
      </c>
      <c r="J65" s="1575" t="str">
        <f t="shared" si="19"/>
        <v>2011-1</v>
      </c>
      <c r="K65" s="1575" t="str">
        <f t="shared" si="19"/>
        <v>2010-4</v>
      </c>
      <c r="L65" s="1575" t="str">
        <f t="shared" si="19"/>
        <v>2010-3</v>
      </c>
      <c r="M65" s="1575" t="str">
        <f t="shared" si="19"/>
        <v>2010-2</v>
      </c>
      <c r="N65" s="1575" t="str">
        <f t="shared" si="19"/>
        <v>2010-1</v>
      </c>
      <c r="O65" s="1575" t="str">
        <f t="shared" si="19"/>
        <v>2009-4</v>
      </c>
      <c r="P65" s="507"/>
    </row>
    <row r="66" spans="1:17" s="117" customFormat="1" ht="30.75" customHeight="1">
      <c r="A66" s="2714" t="s">
        <v>2801</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 sqref="F3"/>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2803</v>
      </c>
      <c r="B1" s="241"/>
      <c r="C1" s="245" t="s">
        <v>2804</v>
      </c>
      <c r="D1" s="388">
        <f>SUM(D29:D30,D33:D39)</f>
        <v>0</v>
      </c>
      <c r="E1" s="2715"/>
      <c r="F1" s="2715"/>
      <c r="G1" s="2715"/>
      <c r="H1" s="2715"/>
      <c r="I1" s="2715"/>
      <c r="J1" s="2715"/>
      <c r="K1" s="1373"/>
      <c r="L1" s="2716" t="s">
        <v>2805</v>
      </c>
      <c r="M1" s="1083">
        <f>SUMPRODUCT((区片价!B5:B9=I2)*(区片价!C3:F3=E2)*(区片价!C5:F9))</f>
        <v>0</v>
      </c>
      <c r="N1" s="1086">
        <f>SUMPRODUCT((因素修正幅度!B5:B9=I2)*(因素修正幅度!C3:F3=E2)*(因素修正幅度!C5:F9))</f>
        <v>0</v>
      </c>
      <c r="O1" s="2717"/>
      <c r="P1" s="2717"/>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19" t="s">
        <v>2812</v>
      </c>
      <c r="D2" s="2720" t="s">
        <v>2813</v>
      </c>
      <c r="E2" s="2721"/>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73"/>
      <c r="L2" s="2724"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19" t="s">
        <v>2818</v>
      </c>
      <c r="D3" s="2720" t="s">
        <v>2819</v>
      </c>
      <c r="E3" s="2725"/>
      <c r="F3" s="2726" t="s">
        <v>2820</v>
      </c>
      <c r="G3" s="916">
        <f>IF(F3="宗地容积率",'数据-汇总表'!I4,IF(F3="估价对象容积率",'数据-汇总表'!I6,'数据-汇总表'!I7))</f>
        <v>2.8</v>
      </c>
      <c r="H3" s="198" t="s">
        <v>2821</v>
      </c>
      <c r="I3" s="947"/>
      <c r="J3" s="2723" t="s">
        <v>2822</v>
      </c>
      <c r="K3" s="1373"/>
      <c r="L3" s="2724"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5"/>
      <c r="B4" s="3266"/>
      <c r="C4" s="3266"/>
      <c r="D4" s="3267"/>
      <c r="E4" s="3267"/>
      <c r="F4" s="3267"/>
      <c r="G4" s="3267"/>
      <c r="H4" s="3267"/>
      <c r="I4" s="3267"/>
      <c r="J4" s="3268"/>
      <c r="K4" s="1373"/>
      <c r="L4" s="2724"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2825</v>
      </c>
      <c r="C5" s="917" t="e">
        <f>ROUND(IF(E2="商业",IF(F16="增加",C6*C7+C16,C6*C7-C16),IF(E2="住宅",IF(F16="增加",C6*C12+C16,C6*C12-C16),IF(F16="增加",C6+C16,C6-C16))),0)</f>
        <v>#DIV/0!</v>
      </c>
      <c r="D5" s="1790">
        <f>ROUND(IF(E2="商业",IF(F16="增加",C6+C16,C6-C16)),0)</f>
        <v>0</v>
      </c>
      <c r="E5" s="2729"/>
      <c r="F5" s="2729"/>
      <c r="G5" s="2730"/>
      <c r="H5" s="2730"/>
      <c r="I5" s="2730"/>
      <c r="J5" s="2731"/>
      <c r="K5" s="2732"/>
      <c r="L5" s="2724"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3"/>
      <c r="AD5" s="2734"/>
      <c r="AE5" s="2734"/>
      <c r="AF5" s="2734"/>
      <c r="AG5" s="2734"/>
      <c r="AH5" s="2734"/>
      <c r="AI5" s="2734"/>
      <c r="AJ5" s="2735"/>
    </row>
    <row r="6" spans="1:36" ht="15.75" thickBot="1">
      <c r="A6" s="2737" t="s">
        <v>2827</v>
      </c>
      <c r="B6" s="2738" t="s">
        <v>2828</v>
      </c>
      <c r="C6" s="918">
        <f>SUMIF(L1:L12,G2,M1:M12)</f>
        <v>0</v>
      </c>
      <c r="D6" s="2739" t="s">
        <v>2829</v>
      </c>
      <c r="E6" s="2740"/>
      <c r="F6" s="2740"/>
      <c r="G6" s="2741"/>
      <c r="H6" s="2741"/>
      <c r="I6" s="2741"/>
      <c r="J6" s="2742"/>
      <c r="K6" s="1845"/>
      <c r="L6" s="2724"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3"/>
      <c r="AD6" s="2734"/>
      <c r="AE6" s="2734"/>
      <c r="AF6" s="2734"/>
      <c r="AG6" s="2734"/>
      <c r="AH6" s="2734"/>
      <c r="AI6" s="2734"/>
      <c r="AJ6" s="2735"/>
    </row>
    <row r="7" spans="1:36" ht="24">
      <c r="A7" s="3269" t="str">
        <f>IF(E2="商业",IF(C8="不临58条商业街","",2),"")</f>
        <v/>
      </c>
      <c r="B7" s="2743" t="s">
        <v>2831</v>
      </c>
      <c r="C7" s="919" t="e">
        <f>IF(C8="不临58条商业街",1,ROUND(1+(1.6*E8+1.2*E9+0.8*E10+0.4*E11)*C9,4))</f>
        <v>#DIV/0!</v>
      </c>
      <c r="D7" s="2744" t="s">
        <v>2832</v>
      </c>
      <c r="E7" s="948"/>
      <c r="F7" s="2745"/>
      <c r="G7" s="2746"/>
      <c r="H7" s="2746"/>
      <c r="I7" s="2746"/>
      <c r="J7" s="2747"/>
      <c r="K7" s="1845"/>
      <c r="L7" s="2724"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2834</v>
      </c>
      <c r="X7" s="1607">
        <f>G2</f>
        <v>0</v>
      </c>
      <c r="Y7" s="1607" t="s">
        <v>2835</v>
      </c>
      <c r="Z7" s="1608">
        <f>G3</f>
        <v>2.8</v>
      </c>
      <c r="AA7" s="1609"/>
      <c r="AB7" s="1609"/>
      <c r="AC7" s="1610"/>
      <c r="AD7" s="1611"/>
      <c r="AE7" s="1611"/>
      <c r="AF7" s="1611"/>
      <c r="AG7" s="1611"/>
      <c r="AH7" s="1611"/>
      <c r="AI7" s="1611"/>
      <c r="AJ7" s="1612"/>
    </row>
    <row r="8" spans="1:36" ht="15">
      <c r="A8" s="3270"/>
      <c r="B8" s="198" t="s">
        <v>2836</v>
      </c>
      <c r="C8" s="2748"/>
      <c r="D8" s="920" t="s">
        <v>139</v>
      </c>
      <c r="E8" s="921" t="e">
        <f>ROUND(C11/E7,4)</f>
        <v>#DIV/0!</v>
      </c>
      <c r="F8" s="2749" t="s">
        <v>2837</v>
      </c>
      <c r="G8" s="2750"/>
      <c r="H8" s="2750"/>
      <c r="I8" s="2750"/>
      <c r="J8" s="2751"/>
      <c r="K8" s="1373"/>
      <c r="L8" s="2724"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2" t="s">
        <v>2839</v>
      </c>
      <c r="X8" s="3263"/>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70"/>
      <c r="B9" s="198" t="s">
        <v>2852</v>
      </c>
      <c r="C9" s="922">
        <f>SUMIF(修正!C59:C119,C8,修正!E59:E119)</f>
        <v>0</v>
      </c>
      <c r="D9" s="200" t="s">
        <v>140</v>
      </c>
      <c r="E9" s="200" t="e">
        <f>ROUND(C11/E7,4)</f>
        <v>#DIV/0!</v>
      </c>
      <c r="F9" s="2749" t="s">
        <v>2853</v>
      </c>
      <c r="G9" s="2750"/>
      <c r="H9" s="2750"/>
      <c r="I9" s="2750"/>
      <c r="J9" s="2751"/>
      <c r="K9" s="1373"/>
      <c r="L9" s="2724"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4"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0"/>
      <c r="B10" s="198" t="s">
        <v>2857</v>
      </c>
      <c r="C10" s="200">
        <f>SUMIF(修正!C59:C119,C8,修正!F59:F119)</f>
        <v>0</v>
      </c>
      <c r="D10" s="200" t="s">
        <v>141</v>
      </c>
      <c r="E10" s="200" t="e">
        <f>ROUND(C11/E7,4)</f>
        <v>#DIV/0!</v>
      </c>
      <c r="F10" s="2749" t="s">
        <v>2858</v>
      </c>
      <c r="G10" s="2750"/>
      <c r="H10" s="2750"/>
      <c r="I10" s="2750"/>
      <c r="J10" s="2751"/>
      <c r="K10" s="1373"/>
      <c r="L10" s="2724"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0"/>
      <c r="B11" s="2752" t="s">
        <v>2860</v>
      </c>
      <c r="C11" s="923">
        <f>C10/4</f>
        <v>0</v>
      </c>
      <c r="D11" s="923" t="s">
        <v>142</v>
      </c>
      <c r="E11" s="923" t="e">
        <f>ROUND(C11/E7,4)</f>
        <v>#DIV/0!</v>
      </c>
      <c r="F11" s="2753" t="s">
        <v>2861</v>
      </c>
      <c r="G11" s="2754"/>
      <c r="H11" s="2754"/>
      <c r="I11" s="2754"/>
      <c r="J11" s="2755"/>
      <c r="K11" s="1373"/>
      <c r="L11" s="2724"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4" t="s">
        <v>2863</v>
      </c>
      <c r="X11" s="1617" t="s">
        <v>2864</v>
      </c>
      <c r="Y11" s="1618">
        <f>$G$3</f>
        <v>2.8</v>
      </c>
      <c r="Z11" s="1618">
        <f t="shared" ref="Z11:AJ11" si="3">$G$3</f>
        <v>2.8</v>
      </c>
      <c r="AA11" s="1618">
        <f t="shared" si="3"/>
        <v>2.8</v>
      </c>
      <c r="AB11" s="1618">
        <f t="shared" si="3"/>
        <v>2.8</v>
      </c>
      <c r="AC11" s="1618">
        <f t="shared" si="3"/>
        <v>2.8</v>
      </c>
      <c r="AD11" s="1618">
        <f t="shared" si="3"/>
        <v>2.8</v>
      </c>
      <c r="AE11" s="1618">
        <f t="shared" si="3"/>
        <v>2.8</v>
      </c>
      <c r="AF11" s="1618">
        <f t="shared" si="3"/>
        <v>2.8</v>
      </c>
      <c r="AG11" s="1618">
        <f t="shared" si="3"/>
        <v>2.8</v>
      </c>
      <c r="AH11" s="1618">
        <f t="shared" si="3"/>
        <v>2.8</v>
      </c>
      <c r="AI11" s="1618">
        <f t="shared" si="3"/>
        <v>2.8</v>
      </c>
      <c r="AJ11" s="1618">
        <f t="shared" si="3"/>
        <v>2.8</v>
      </c>
    </row>
    <row r="12" spans="1:36" ht="25.5" thickBot="1">
      <c r="A12" s="3269" t="s">
        <v>2865</v>
      </c>
      <c r="B12" s="2756" t="s">
        <v>2866</v>
      </c>
      <c r="C12" s="919">
        <f>ROUND(C15*D15*E15*F15*G15*H15*I15*J15,4)</f>
        <v>1</v>
      </c>
      <c r="D12" s="2757" t="s">
        <v>2867</v>
      </c>
      <c r="E12" s="2758"/>
      <c r="F12" s="2758"/>
      <c r="G12" s="2759"/>
      <c r="H12" s="2759"/>
      <c r="I12" s="2759"/>
      <c r="J12" s="2760"/>
      <c r="K12" s="1373"/>
      <c r="L12" s="2761"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4"/>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1"/>
      <c r="B13" s="2762" t="s">
        <v>2870</v>
      </c>
      <c r="C13" s="2763" t="s">
        <v>2871</v>
      </c>
      <c r="D13" s="1811" t="s">
        <v>2872</v>
      </c>
      <c r="E13" s="1811" t="s">
        <v>2873</v>
      </c>
      <c r="F13" s="30" t="s">
        <v>2874</v>
      </c>
      <c r="G13" s="2764" t="s">
        <v>2875</v>
      </c>
      <c r="H13" s="2764" t="s">
        <v>2875</v>
      </c>
      <c r="I13" s="2764" t="s">
        <v>2875</v>
      </c>
      <c r="J13" s="2765" t="s">
        <v>2875</v>
      </c>
      <c r="K13" s="1373"/>
      <c r="L13" s="1373"/>
      <c r="M13" s="1373"/>
      <c r="N13" s="1373"/>
      <c r="O13" s="1373"/>
      <c r="P13" s="1373"/>
      <c r="Q13" s="1373"/>
      <c r="R13" s="1605">
        <v>12</v>
      </c>
      <c r="S13" s="1606"/>
      <c r="T13" s="1605" t="e">
        <f t="shared" si="0"/>
        <v>#DIV/0!</v>
      </c>
      <c r="U13" s="1606"/>
      <c r="V13" s="1605" t="e">
        <f t="shared" si="1"/>
        <v>#DIV/0!</v>
      </c>
      <c r="W13" s="3264"/>
      <c r="X13" s="1619"/>
      <c r="Y13" s="1616">
        <f>(-0.163*(Y12^2)-0.59*Y12+7617)*(10^(-4))/Y11</f>
        <v>0.27203571428571433</v>
      </c>
      <c r="Z13" s="1616">
        <f t="shared" ref="Z13:AJ13" si="5">(-0.163*(Z12^2)-0.59*Z12+7617)*(10^(-4))/Z11</f>
        <v>0.27203571428571433</v>
      </c>
      <c r="AA13" s="1616">
        <f t="shared" si="5"/>
        <v>0.27203571428571433</v>
      </c>
      <c r="AB13" s="1616">
        <f t="shared" si="5"/>
        <v>0.27203571428571433</v>
      </c>
      <c r="AC13" s="1616">
        <f t="shared" si="5"/>
        <v>0.27203571428571433</v>
      </c>
      <c r="AD13" s="1616">
        <f t="shared" si="5"/>
        <v>0.27203571428571433</v>
      </c>
      <c r="AE13" s="1616">
        <f t="shared" si="5"/>
        <v>0.27203571428571433</v>
      </c>
      <c r="AF13" s="1616">
        <f t="shared" si="5"/>
        <v>0.27203571428571433</v>
      </c>
      <c r="AG13" s="1616">
        <f t="shared" si="5"/>
        <v>0.27203571428571433</v>
      </c>
      <c r="AH13" s="1616">
        <f t="shared" si="5"/>
        <v>0.27203571428571433</v>
      </c>
      <c r="AI13" s="1616">
        <f t="shared" si="5"/>
        <v>0.27203571428571433</v>
      </c>
      <c r="AJ13" s="1616">
        <f t="shared" si="5"/>
        <v>0.27203571428571433</v>
      </c>
    </row>
    <row r="14" spans="1:36" ht="15">
      <c r="A14" s="3271"/>
      <c r="B14" s="2766"/>
      <c r="C14" s="2767"/>
      <c r="D14" s="2768"/>
      <c r="E14" s="2768"/>
      <c r="F14" s="2769"/>
      <c r="G14" s="2770" t="s">
        <v>2876</v>
      </c>
      <c r="H14" s="2771"/>
      <c r="I14" s="2772"/>
      <c r="J14" s="2773"/>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2"/>
      <c r="B15" s="2774" t="s">
        <v>2877</v>
      </c>
      <c r="C15" s="229">
        <f>IF(C14="有",1.1,1)</f>
        <v>1</v>
      </c>
      <c r="D15" s="229">
        <f>IF(D14="有",1.1,1)</f>
        <v>1</v>
      </c>
      <c r="E15" s="229">
        <f>IF(E14="有",1.1,1)</f>
        <v>1</v>
      </c>
      <c r="F15" s="229">
        <f>IF(F14="500米范围内",1.2,IF(F14="500-1000米",1.1,1))</f>
        <v>1</v>
      </c>
      <c r="G15" s="949">
        <v>1</v>
      </c>
      <c r="H15" s="949">
        <v>1</v>
      </c>
      <c r="I15" s="949">
        <v>1</v>
      </c>
      <c r="J15" s="950">
        <v>1</v>
      </c>
      <c r="K15" s="1373"/>
      <c r="L15" s="2775" t="s">
        <v>2813</v>
      </c>
      <c r="M15" s="920" t="s">
        <v>2878</v>
      </c>
      <c r="N15" s="920" t="s">
        <v>2879</v>
      </c>
      <c r="O15" s="920" t="s">
        <v>2880</v>
      </c>
      <c r="P15" s="2776"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9" t="s">
        <v>2882</v>
      </c>
      <c r="B16" s="2743" t="s">
        <v>2883</v>
      </c>
      <c r="C16" s="1804" t="e">
        <f>ROUND(SUM(G17:J17)/C17,0)</f>
        <v>#DIV/0!</v>
      </c>
      <c r="D16" s="2777" t="s">
        <v>2884</v>
      </c>
      <c r="E16" s="2778"/>
      <c r="F16" s="2779"/>
      <c r="G16" s="2780"/>
      <c r="H16" s="2780"/>
      <c r="I16" s="2780"/>
      <c r="J16" s="2781"/>
      <c r="K16" s="1373"/>
      <c r="L16" s="2782"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0"/>
      <c r="B17" s="2783" t="s">
        <v>2886</v>
      </c>
      <c r="C17" s="924">
        <f>SUMPRODUCT((修正!A2:A5=E2)*(修正!B1:M1=G2)*(修正!B2:M5))</f>
        <v>0</v>
      </c>
      <c r="D17" s="2784"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2889</v>
      </c>
      <c r="M17" s="211">
        <f ca="1">ROUND($E$20*(1+M16),3)</f>
        <v>7.4999999999999997E-2</v>
      </c>
      <c r="N17" s="211">
        <f ca="1">ROUND($E$20*(1+N16),3)</f>
        <v>7.1999999999999995E-2</v>
      </c>
      <c r="O17" s="211">
        <f ca="1">ROUND($E$20*(1+O16),3)</f>
        <v>6.9000000000000006E-2</v>
      </c>
      <c r="P17" s="1376">
        <f ca="1">ROUND($E$20*(1+P16),3)</f>
        <v>6.6000000000000003E-2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2890</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2891</v>
      </c>
      <c r="C19" s="927" t="e">
        <f>ROUND(IF(H19="按公示增长率计算",SUMPRODUCT((地价!A3:A23=YEAR(G19)&amp;"-"&amp;ROUNDUP(MONTH(G19)/3,0))*(地价!X2:AB2=E2)*(地价!X3:AB23)),IF(H19="地价指数",M20/M19,(1+I19)^O19)),4)</f>
        <v>#DIV/0!</v>
      </c>
      <c r="D19" s="2795" t="s">
        <v>2892</v>
      </c>
      <c r="E19" s="928">
        <v>41640</v>
      </c>
      <c r="F19" s="2795" t="s">
        <v>2893</v>
      </c>
      <c r="G19" s="929">
        <f>'数据-取费表'!B2</f>
        <v>41273</v>
      </c>
      <c r="H19" s="2796" t="s">
        <v>2894</v>
      </c>
      <c r="I19" s="930" t="str">
        <f>IF(H19="季度增幅（自定义）",SUMIF(N21:N24,E2,O21:O24),"")</f>
        <v/>
      </c>
      <c r="J19" s="2793"/>
      <c r="K19" s="1380"/>
      <c r="L19" s="2797" t="s">
        <v>2895</v>
      </c>
      <c r="M19" s="1737">
        <f>ROUND(SUMIF(地价!B2:F2,E2,地价!B23:F23),0)</f>
        <v>0</v>
      </c>
      <c r="N19" s="2798" t="s">
        <v>2896</v>
      </c>
      <c r="O19" s="931" t="e">
        <f>ROUNDDOWN(DATEDIF(E19,G19,"M")/3,0)</f>
        <v>#NUM!</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2897</v>
      </c>
      <c r="C20" s="932" t="e">
        <f>ROUND(POWER(1+G20,J20-I20)*(POWER(1+G20,I20)-1)/(POWER(1+G20,J20)-1),4)</f>
        <v>#DIV/0!</v>
      </c>
      <c r="D20" s="2804" t="s">
        <v>2898</v>
      </c>
      <c r="E20" s="1771">
        <f ca="1">存贷款利率!D4/100</f>
        <v>0.06</v>
      </c>
      <c r="F20" s="2804" t="s">
        <v>2889</v>
      </c>
      <c r="G20" s="937">
        <f>SUMIF(M15:P15,E2,M17:P17)</f>
        <v>0</v>
      </c>
      <c r="H20" s="2804" t="s">
        <v>2899</v>
      </c>
      <c r="I20" s="938" t="e">
        <f>SUMIF('数据-取费表'!C6:C15,E2,'数据-取费表'!F6:F15)/COUNTIF('数据-取费表'!C6:C15,E2)</f>
        <v>#DIV/0!</v>
      </c>
      <c r="J20" s="939">
        <f>IF(E2="住宅",70,IF(E2="商业",40,50))</f>
        <v>50</v>
      </c>
      <c r="K20" s="1380"/>
      <c r="L20" s="2805" t="s">
        <v>2900</v>
      </c>
      <c r="M20" s="1738">
        <f>ROUND(SUMPRODUCT((地价!A4:A23=YEAR(G19)&amp;"-"&amp;ROUNDUP(MONTH(G19)/3,0))*(地价!B2:F2=E2)*(地价!B4:F23)),0)</f>
        <v>0</v>
      </c>
      <c r="N20" s="2806" t="s">
        <v>2901</v>
      </c>
      <c r="O20" s="2807" t="s">
        <v>2902</v>
      </c>
      <c r="P20" s="2808" t="s">
        <v>2903</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2904</v>
      </c>
      <c r="C21" s="940">
        <f>IF(B21="容积率修正",IF(G3&lt;=10,D22,J22),C23)</f>
        <v>0</v>
      </c>
      <c r="D21" s="2811"/>
      <c r="E21" s="2811"/>
      <c r="F21" s="2811"/>
      <c r="G21" s="2811"/>
      <c r="H21" s="2811"/>
      <c r="I21" s="2811"/>
      <c r="J21" s="2812"/>
      <c r="K21" s="1380"/>
      <c r="N21" s="2813" t="s">
        <v>2905</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36" customFormat="1" ht="14.25">
      <c r="A22" s="2662" t="s">
        <v>2906</v>
      </c>
      <c r="B22" s="2814" t="s">
        <v>2907</v>
      </c>
      <c r="C22" s="1813" t="s">
        <v>2908</v>
      </c>
      <c r="D22" s="1813" t="b">
        <f>IF(E22=G22,F22,IF(G3&lt;=10,ROUND(F22+(H22-F22)*(G3-E22)/(G22-E22),4),"——"))</f>
        <v>0</v>
      </c>
      <c r="E22" s="916">
        <f>ROUNDDOWN(G3,1)</f>
        <v>2.8</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3" t="s">
        <v>2909</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2" t="s">
        <v>2910</v>
      </c>
      <c r="B23" s="2815" t="s">
        <v>2911</v>
      </c>
      <c r="C23" s="1016">
        <f>ROUND(IF(G3&gt;1,IF(I3&lt;7,SUMPRODUCT((B93:B98=I3)*(C92:N92=G2)*(C93:N98)),SUMIF(C92:N92,G2,C100:N100)),IF(I3&lt;7,SUMPRODUCT((B102:B107=I3)*(C92:N92=G2)*(C102:N107)),SUMIF(C92:N92,G2,C109:N109))),4)</f>
        <v>0</v>
      </c>
      <c r="D23" s="2771"/>
      <c r="E23" s="2771"/>
      <c r="F23" s="2816"/>
      <c r="G23" s="2817"/>
      <c r="H23" s="2818"/>
      <c r="I23" s="2819"/>
      <c r="J23" s="2820"/>
      <c r="K23" s="1373"/>
      <c r="N23" s="2813" t="s">
        <v>2912</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2913</v>
      </c>
      <c r="C24" s="927">
        <f>SUMIF(A45:A88,E2,B45:B88)</f>
        <v>0</v>
      </c>
      <c r="D24" s="2791"/>
      <c r="E24" s="2821"/>
      <c r="F24" s="2821"/>
      <c r="G24" s="2821"/>
      <c r="H24" s="2821"/>
      <c r="I24" s="2821"/>
      <c r="J24" s="2822"/>
      <c r="K24" s="1380"/>
      <c r="N24" s="2823" t="s">
        <v>2914</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2915</v>
      </c>
      <c r="C25" s="933"/>
      <c r="D25" s="2746"/>
      <c r="E25" s="2746"/>
      <c r="F25" s="2825"/>
      <c r="G25" s="2746"/>
      <c r="H25" s="2746"/>
      <c r="I25" s="2746"/>
      <c r="J25" s="2747"/>
      <c r="K25" s="1373"/>
      <c r="N25" s="2826" t="s">
        <v>2916</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27"/>
      <c r="B26" s="2814" t="s">
        <v>2917</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2918</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2919</v>
      </c>
      <c r="C28" s="2838" t="s">
        <v>2920</v>
      </c>
      <c r="D28" s="2838" t="s">
        <v>2921</v>
      </c>
      <c r="E28" s="2839" t="s">
        <v>2922</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2923</v>
      </c>
      <c r="C29" s="206" t="e">
        <f>ROUND(C5*C18*C19*C20*C21*C24,0)</f>
        <v>#DIV/0!</v>
      </c>
      <c r="D29" s="2843"/>
      <c r="E29" s="945" t="e">
        <f>ROUND(C29*D29/10000,0)</f>
        <v>#DIV/0!</v>
      </c>
      <c r="F29" s="2844" t="s">
        <v>2924</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2925</v>
      </c>
      <c r="C30" s="229" t="e">
        <f>ROUND(IF(E2="工业",C29*M39,C29*M38),0)</f>
        <v>#DIV/0!</v>
      </c>
      <c r="D30" s="2849"/>
      <c r="E30" s="945" t="e">
        <f>ROUND(C30*D30/10000,0)</f>
        <v>#DIV/0!</v>
      </c>
      <c r="F30" s="2850" t="s">
        <v>2926</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2920</v>
      </c>
      <c r="D32" s="498" t="s">
        <v>2921</v>
      </c>
      <c r="E32" s="498" t="s">
        <v>2922</v>
      </c>
      <c r="F32" s="388" t="s">
        <v>2930</v>
      </c>
      <c r="G32" s="2858" t="s">
        <v>2920</v>
      </c>
      <c r="H32" s="2858" t="s">
        <v>2921</v>
      </c>
      <c r="I32" s="2858"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79" t="s">
        <v>2931</v>
      </c>
      <c r="B33" s="2859" t="s">
        <v>2932</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0"/>
      <c r="B34" s="2763" t="s">
        <v>2933</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0"/>
      <c r="B35" s="2763" t="s">
        <v>2934</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81"/>
      <c r="B36" s="2763" t="s">
        <v>2935</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2936</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3"/>
      <c r="L37" s="2862" t="s">
        <v>2937</v>
      </c>
      <c r="M37" s="2863"/>
      <c r="N37" s="1373"/>
      <c r="O37" s="1373"/>
      <c r="P37" s="1373"/>
      <c r="Q37" s="1373"/>
      <c r="R37" s="1373"/>
      <c r="S37" s="1373"/>
      <c r="T37" s="1373"/>
      <c r="U37" s="1373"/>
      <c r="V37" s="1373"/>
      <c r="W37" s="1373"/>
      <c r="X37" s="1373"/>
      <c r="Y37" s="1373"/>
      <c r="Z37" s="1374"/>
    </row>
    <row r="38" spans="1:37">
      <c r="A38" s="2861"/>
      <c r="B38" s="2763" t="s">
        <v>2938</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3"/>
      <c r="L38" s="1890" t="s">
        <v>2939</v>
      </c>
      <c r="M38" s="2864">
        <v>0.25</v>
      </c>
      <c r="N38" s="1373"/>
      <c r="O38" s="1373"/>
      <c r="P38" s="1373"/>
      <c r="Q38" s="1373"/>
      <c r="R38" s="1373"/>
      <c r="S38" s="1373"/>
      <c r="T38" s="1373"/>
      <c r="U38" s="1373"/>
      <c r="V38" s="1373"/>
      <c r="W38" s="1373"/>
      <c r="X38" s="1373"/>
      <c r="Y38" s="1373"/>
      <c r="Z38" s="1374"/>
    </row>
    <row r="39" spans="1:37" ht="13.5" thickBot="1">
      <c r="A39" s="2847"/>
      <c r="B39" s="2865" t="s">
        <v>2940</v>
      </c>
      <c r="C39" s="229" t="e">
        <f>ROUND(C5*C19*C20*C24*F39,0)</f>
        <v>#DIV/0!</v>
      </c>
      <c r="D39" s="2849"/>
      <c r="E39" s="229" t="e">
        <f t="shared" si="7"/>
        <v>#DIV/0!</v>
      </c>
      <c r="F39" s="935">
        <f>SUMIF(修正!A45:A56,G2,修正!H45:H56)</f>
        <v>0</v>
      </c>
      <c r="G39" s="229" t="e">
        <f>ROUND(IF(E2="工业",C39*$M$39,C39*$M$38),0)</f>
        <v>#DIV/0!</v>
      </c>
      <c r="H39" s="229">
        <f t="shared" si="8"/>
        <v>0</v>
      </c>
      <c r="I39" s="229" t="e">
        <f t="shared" si="9"/>
        <v>#DIV/0!</v>
      </c>
      <c r="J39" s="2866"/>
      <c r="K39" s="1373"/>
      <c r="L39" s="2867" t="s">
        <v>2881</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2941</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2942</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2943</v>
      </c>
      <c r="B47" s="1812" t="s">
        <v>2944</v>
      </c>
      <c r="C47" s="1812" t="s">
        <v>2945</v>
      </c>
      <c r="D47" s="1812" t="s">
        <v>2946</v>
      </c>
      <c r="E47" s="819" t="s">
        <v>2947</v>
      </c>
      <c r="F47" s="2877" t="s">
        <v>2948</v>
      </c>
      <c r="G47" s="1812" t="s">
        <v>754</v>
      </c>
      <c r="H47" s="2878" t="s">
        <v>2949</v>
      </c>
      <c r="I47" s="1812"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24.75">
      <c r="A48" s="2876" t="s">
        <v>2951</v>
      </c>
      <c r="B48" s="2879">
        <f>估价对象房地状况!C4</f>
        <v>0</v>
      </c>
      <c r="C48" s="2768"/>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76" t="s">
        <v>2952</v>
      </c>
      <c r="B49" s="2880" t="str">
        <f>估价对象房地状况!C18</f>
        <v>估价对象周边道路状况较好、公共交通通达情况较好、有322、342、442等多路公交车，距6号线北运河西站约1.5公里，停车便捷程度较好，综合评价交通便捷度较好</v>
      </c>
      <c r="C49" s="2768"/>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2953</v>
      </c>
      <c r="B50" s="2880">
        <f>估价对象房地状况!C19</f>
        <v>0</v>
      </c>
      <c r="C50" s="2768"/>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2954</v>
      </c>
      <c r="B51" s="2881" t="s">
        <v>2955</v>
      </c>
      <c r="C51" s="2768"/>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2956</v>
      </c>
      <c r="B52" s="2880">
        <f>估价对象房地状况!C24</f>
        <v>0</v>
      </c>
      <c r="C52" s="2768"/>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2957</v>
      </c>
      <c r="B53" s="2882" t="s">
        <v>2958</v>
      </c>
      <c r="C53" s="2768"/>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3" t="s">
        <v>2959</v>
      </c>
      <c r="B54" s="1728" t="str">
        <f>估价对象房地状况!C21</f>
        <v>估价对象所在区域公共配套设施齐备情况一般</v>
      </c>
      <c r="C54" s="2768"/>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3" t="s">
        <v>2960</v>
      </c>
      <c r="B55" s="2880" t="str">
        <f>估价对象房地状况!C22</f>
        <v>七通</v>
      </c>
      <c r="C55" s="2768"/>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4" t="s">
        <v>2961</v>
      </c>
      <c r="B56" s="2885" t="str">
        <f>估价对象房地状况!C20</f>
        <v>区域自然环境：减河公园、运河奥体公园、潞河中学公园；人文环境：大运河美术馆；综合评价环境状况较好</v>
      </c>
      <c r="C56" s="2768"/>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2962</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2943</v>
      </c>
      <c r="B58" s="1812"/>
      <c r="C58" s="1812" t="s">
        <v>2945</v>
      </c>
      <c r="D58" s="1812" t="s">
        <v>2946</v>
      </c>
      <c r="E58" s="819" t="s">
        <v>2947</v>
      </c>
      <c r="F58" s="2877" t="s">
        <v>2963</v>
      </c>
      <c r="G58" s="1812" t="s">
        <v>754</v>
      </c>
      <c r="H58" s="2878" t="s">
        <v>2949</v>
      </c>
      <c r="I58" s="1812"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24">
      <c r="A59" s="2876" t="s">
        <v>2964</v>
      </c>
      <c r="B59" s="2879">
        <f>估价对象房地状况!C17</f>
        <v>0</v>
      </c>
      <c r="C59" s="2768"/>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76" t="s">
        <v>2952</v>
      </c>
      <c r="B60" s="2880" t="str">
        <f>估价对象房地状况!C18</f>
        <v>估价对象周边道路状况较好、公共交通通达情况较好、有322、342、442等多路公交车，距6号线北运河西站约1.5公里，停车便捷程度较好，综合评价交通便捷度较好</v>
      </c>
      <c r="C60" s="2768"/>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2953</v>
      </c>
      <c r="B61" s="2880">
        <f>估价对象房地状况!C19</f>
        <v>0</v>
      </c>
      <c r="C61" s="2768"/>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2954</v>
      </c>
      <c r="B62" s="2881" t="s">
        <v>2955</v>
      </c>
      <c r="C62" s="2768"/>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2956</v>
      </c>
      <c r="B63" s="2880">
        <f>估价对象房地状况!C24</f>
        <v>0</v>
      </c>
      <c r="C63" s="2768"/>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2957</v>
      </c>
      <c r="B64" s="2882" t="s">
        <v>2958</v>
      </c>
      <c r="C64" s="2768"/>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6" t="s">
        <v>2959</v>
      </c>
      <c r="B65" s="1728" t="str">
        <f>估价对象房地状况!C21</f>
        <v>估价对象所在区域公共配套设施齐备情况一般</v>
      </c>
      <c r="C65" s="2768"/>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6" t="s">
        <v>2960</v>
      </c>
      <c r="B66" s="1728" t="str">
        <f>估价对象房地状况!C22</f>
        <v>七通</v>
      </c>
      <c r="C66" s="2768"/>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4" t="s">
        <v>2961</v>
      </c>
      <c r="B67" s="2886" t="str">
        <f>估价对象房地状况!C20</f>
        <v>区域自然环境：减河公园、运河奥体公园、潞河中学公园；人文环境：大运河美术馆；综合评价环境状况较好</v>
      </c>
      <c r="C67" s="2768"/>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2965</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2943</v>
      </c>
      <c r="B69" s="1812"/>
      <c r="C69" s="1812" t="s">
        <v>2945</v>
      </c>
      <c r="D69" s="1812" t="s">
        <v>2946</v>
      </c>
      <c r="E69" s="819" t="s">
        <v>2947</v>
      </c>
      <c r="F69" s="2877" t="s">
        <v>2963</v>
      </c>
      <c r="G69" s="1812" t="s">
        <v>754</v>
      </c>
      <c r="H69" s="2878" t="s">
        <v>2949</v>
      </c>
      <c r="I69" s="1812"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76.5">
      <c r="A70" s="2876" t="s">
        <v>2966</v>
      </c>
      <c r="B70" s="2879" t="str">
        <f>估价对象房地状况!C15</f>
        <v>估价对象周边居住用地比例较高、居住小区规模较大、社区发展完善程度较好，有月季园、荔景园等多个住宅项目，综合评价居住社区成熟度较好</v>
      </c>
      <c r="C70" s="2768"/>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76" t="s">
        <v>2952</v>
      </c>
      <c r="B71" s="2880" t="str">
        <f>估价对象房地状况!C18</f>
        <v>估价对象周边道路状况较好、公共交通通达情况较好、有322、342、442等多路公交车，距6号线北运河西站约1.5公里，停车便捷程度较好，综合评价交通便捷度较好</v>
      </c>
      <c r="C71" s="2768"/>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2953</v>
      </c>
      <c r="B72" s="2880">
        <f>估价对象房地状况!C19</f>
        <v>0</v>
      </c>
      <c r="C72" s="2768"/>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2967</v>
      </c>
      <c r="B73" s="2880">
        <f>估价对象房地状况!C24</f>
        <v>0</v>
      </c>
      <c r="C73" s="2768"/>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6" t="s">
        <v>2959</v>
      </c>
      <c r="B74" s="1728" t="str">
        <f>估价对象房地状况!C21</f>
        <v>估价对象所在区域公共配套设施齐备情况一般</v>
      </c>
      <c r="C74" s="2768"/>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6" t="s">
        <v>2960</v>
      </c>
      <c r="B75" s="1728" t="str">
        <f>估价对象房地状况!C22</f>
        <v>七通</v>
      </c>
      <c r="C75" s="2768"/>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2957</v>
      </c>
      <c r="B76" s="2882" t="s">
        <v>2958</v>
      </c>
      <c r="C76" s="2768"/>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63.75">
      <c r="A77" s="2876" t="s">
        <v>2961</v>
      </c>
      <c r="B77" s="2879" t="str">
        <f>估价对象房地状况!C20</f>
        <v>区域自然环境：减河公园、运河奥体公园、潞河中学公园；人文环境：大运河美术馆；综合评价环境状况较好</v>
      </c>
      <c r="C77" s="2768"/>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2968</v>
      </c>
      <c r="B78" s="2888"/>
      <c r="C78" s="2768"/>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2969</v>
      </c>
      <c r="B79" s="2873">
        <f>1+E81</f>
        <v>1</v>
      </c>
      <c r="C79" s="814"/>
      <c r="D79" s="814"/>
      <c r="E79" s="815"/>
      <c r="F79" s="2875"/>
      <c r="G79" s="6"/>
      <c r="H79" s="6"/>
      <c r="I79" s="6"/>
      <c r="J79" s="7"/>
      <c r="K79" s="7"/>
      <c r="L79" s="7"/>
      <c r="M79" s="7"/>
      <c r="N79" s="7"/>
      <c r="Z79" s="2718"/>
      <c r="AA79" s="2794"/>
      <c r="AG79" s="1375"/>
      <c r="AK79" s="2794"/>
    </row>
    <row r="80" spans="1:37" ht="24.75">
      <c r="A80" s="2876" t="s">
        <v>2943</v>
      </c>
      <c r="B80" s="1812"/>
      <c r="C80" s="1812" t="s">
        <v>2945</v>
      </c>
      <c r="D80" s="1812" t="s">
        <v>2946</v>
      </c>
      <c r="E80" s="819" t="s">
        <v>2947</v>
      </c>
      <c r="F80" s="2877" t="s">
        <v>2963</v>
      </c>
      <c r="G80" s="1812" t="s">
        <v>754</v>
      </c>
      <c r="H80" s="2878" t="s">
        <v>2949</v>
      </c>
      <c r="I80" s="1812" t="s">
        <v>2950</v>
      </c>
      <c r="J80" s="603" t="s">
        <v>2596</v>
      </c>
      <c r="K80" s="603" t="s">
        <v>2597</v>
      </c>
      <c r="L80" s="603" t="s">
        <v>2598</v>
      </c>
      <c r="M80" s="603" t="s">
        <v>2599</v>
      </c>
      <c r="N80" s="603" t="s">
        <v>2600</v>
      </c>
      <c r="Z80" s="2718"/>
      <c r="AA80" s="2794"/>
      <c r="AG80" s="1375"/>
      <c r="AK80" s="2794"/>
    </row>
    <row r="81" spans="1:37" ht="38.25">
      <c r="A81" s="2876" t="s">
        <v>2970</v>
      </c>
      <c r="B81" s="2880" t="str">
        <f>估价对象房地状况!G15</f>
        <v>估价对象位于XX开发区，园区建设成熟度XX，产业集聚程度XX</v>
      </c>
      <c r="C81" s="2768"/>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51">
      <c r="A82" s="2876" t="s">
        <v>2952</v>
      </c>
      <c r="B82" s="2880" t="str">
        <f>估价对象房地状况!G16</f>
        <v>估价对象周边道路状况、公共交通通达情况、停车便捷程度，综合评价交通便捷度较好</v>
      </c>
      <c r="C82" s="2768"/>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2953</v>
      </c>
      <c r="B83" s="2880">
        <f>估价对象房地状况!G17</f>
        <v>0</v>
      </c>
      <c r="C83" s="2768"/>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2967</v>
      </c>
      <c r="B84" s="2880">
        <f>估价对象房地状况!G22</f>
        <v>0</v>
      </c>
      <c r="C84" s="2768"/>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5.5">
      <c r="A85" s="2876" t="s">
        <v>2959</v>
      </c>
      <c r="B85" s="1728" t="str">
        <f>估价对象房地状况!G19</f>
        <v>估价对象所在区域公共配套设施齐备情况</v>
      </c>
      <c r="C85" s="2768"/>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5.5">
      <c r="A86" s="2876" t="s">
        <v>2960</v>
      </c>
      <c r="B86" s="1728" t="str">
        <f>估价对象房地状况!G20</f>
        <v>估价对象所在区域基础设施水平</v>
      </c>
      <c r="C86" s="2768"/>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2957</v>
      </c>
      <c r="B87" s="2882" t="s">
        <v>2971</v>
      </c>
      <c r="C87" s="2768"/>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39" thickBot="1">
      <c r="A88" s="2884" t="s">
        <v>2972</v>
      </c>
      <c r="B88" s="2889" t="str">
        <f>估价对象房地状况!G18</f>
        <v>该园区内是否有污染型企业，绿化情况，卫生条件，整体环境状况判断</v>
      </c>
      <c r="C88" s="2768"/>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73" t="s">
        <v>2973</v>
      </c>
      <c r="B90" s="3273"/>
      <c r="C90" s="3273"/>
      <c r="D90" s="3273"/>
      <c r="E90" s="3273"/>
      <c r="F90" s="3273"/>
      <c r="G90" s="3273"/>
      <c r="H90" s="3273"/>
      <c r="I90" s="3273"/>
      <c r="J90" s="3273"/>
      <c r="K90" s="2890"/>
      <c r="L90" s="2890"/>
      <c r="M90" s="2890"/>
      <c r="N90" s="2890"/>
    </row>
    <row r="91" spans="1:37">
      <c r="A91" s="3275" t="s">
        <v>2974</v>
      </c>
      <c r="B91" s="3275" t="s">
        <v>2975</v>
      </c>
      <c r="C91" s="2844" t="s">
        <v>2976</v>
      </c>
      <c r="D91" s="2845"/>
      <c r="E91" s="2845"/>
      <c r="F91" s="2845"/>
      <c r="G91" s="2845"/>
      <c r="H91" s="2845"/>
      <c r="I91" s="2845"/>
      <c r="J91" s="2891"/>
      <c r="K91" s="2892"/>
      <c r="L91" s="2892"/>
      <c r="M91" s="2892"/>
      <c r="N91" s="2892"/>
    </row>
    <row r="92" spans="1:37">
      <c r="A92" s="3275"/>
      <c r="B92" s="3275"/>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76"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7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7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7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7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7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77"/>
      <c r="B99" s="2893" t="s">
        <v>2856</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7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76" t="s">
        <v>2978</v>
      </c>
      <c r="B101" s="2897" t="s">
        <v>2979</v>
      </c>
      <c r="C101" s="2898">
        <f>$G$3</f>
        <v>2.8</v>
      </c>
      <c r="D101" s="2898">
        <f t="shared" ref="D101:N101" si="31">$G$3</f>
        <v>2.8</v>
      </c>
      <c r="E101" s="2898">
        <f t="shared" si="31"/>
        <v>2.8</v>
      </c>
      <c r="F101" s="2898">
        <f t="shared" si="31"/>
        <v>2.8</v>
      </c>
      <c r="G101" s="2898">
        <f t="shared" si="31"/>
        <v>2.8</v>
      </c>
      <c r="H101" s="2898">
        <f t="shared" si="31"/>
        <v>2.8</v>
      </c>
      <c r="I101" s="2898">
        <f t="shared" si="31"/>
        <v>2.8</v>
      </c>
      <c r="J101" s="2898">
        <f t="shared" si="31"/>
        <v>2.8</v>
      </c>
      <c r="K101" s="2898">
        <f t="shared" si="31"/>
        <v>2.8</v>
      </c>
      <c r="L101" s="2898">
        <f t="shared" si="31"/>
        <v>2.8</v>
      </c>
      <c r="M101" s="2898">
        <f t="shared" si="31"/>
        <v>2.8</v>
      </c>
      <c r="N101" s="2898">
        <f t="shared" si="31"/>
        <v>2.8</v>
      </c>
    </row>
    <row r="102" spans="1:14">
      <c r="A102" s="3277"/>
      <c r="B102" s="2893">
        <v>1</v>
      </c>
      <c r="C102" s="2894">
        <f>1.9362/C101</f>
        <v>0.6915</v>
      </c>
      <c r="D102" s="2894">
        <f>1.9362/D101</f>
        <v>0.6915</v>
      </c>
      <c r="E102" s="2894">
        <f>1.8629/E101</f>
        <v>0.66532142857142862</v>
      </c>
      <c r="F102" s="2894">
        <f>1.8629/F101</f>
        <v>0.66532142857142862</v>
      </c>
      <c r="G102" s="2894">
        <f>1.8629/G101</f>
        <v>0.66532142857142862</v>
      </c>
      <c r="H102" s="2894">
        <f>1.8629/H101</f>
        <v>0.66532142857142862</v>
      </c>
      <c r="I102" s="2894">
        <f>1.8629/I101</f>
        <v>0.66532142857142862</v>
      </c>
      <c r="J102" s="2894">
        <f>1.942/J101</f>
        <v>0.69357142857142862</v>
      </c>
      <c r="K102" s="2894">
        <f>1.942/K101</f>
        <v>0.69357142857142862</v>
      </c>
      <c r="L102" s="2894">
        <f>1.942/L101</f>
        <v>0.69357142857142862</v>
      </c>
      <c r="M102" s="2894">
        <f>1.942/M101</f>
        <v>0.69357142857142862</v>
      </c>
      <c r="N102" s="2894">
        <f>1.942/N101</f>
        <v>0.69357142857142862</v>
      </c>
    </row>
    <row r="103" spans="1:14">
      <c r="A103" s="3277"/>
      <c r="B103" s="2893">
        <v>2</v>
      </c>
      <c r="C103" s="2894">
        <f>1.4198/C101</f>
        <v>0.50707142857142862</v>
      </c>
      <c r="D103" s="2894">
        <f>1.4198/D101</f>
        <v>0.50707142857142862</v>
      </c>
      <c r="E103" s="2894">
        <f>1.3372/E101</f>
        <v>0.47757142857142859</v>
      </c>
      <c r="F103" s="2894">
        <f>1.3372/F101</f>
        <v>0.47757142857142859</v>
      </c>
      <c r="G103" s="2894">
        <f>1.3372/G101</f>
        <v>0.47757142857142859</v>
      </c>
      <c r="H103" s="2894">
        <f>1.3372/H101</f>
        <v>0.47757142857142859</v>
      </c>
      <c r="I103" s="2894">
        <f>1.3372/I101</f>
        <v>0.47757142857142859</v>
      </c>
      <c r="J103" s="2894">
        <f>1.2799/J101</f>
        <v>0.45710714285714288</v>
      </c>
      <c r="K103" s="2894">
        <f>1.2799/K101</f>
        <v>0.45710714285714288</v>
      </c>
      <c r="L103" s="2894">
        <f>1.2799/L101</f>
        <v>0.45710714285714288</v>
      </c>
      <c r="M103" s="2894">
        <f>1.2799/M101</f>
        <v>0.45710714285714288</v>
      </c>
      <c r="N103" s="2894">
        <f>1.2799/N101</f>
        <v>0.45710714285714288</v>
      </c>
    </row>
    <row r="104" spans="1:14">
      <c r="A104" s="3277"/>
      <c r="B104" s="2893">
        <v>3</v>
      </c>
      <c r="C104" s="2894">
        <f>1.1594/C101</f>
        <v>0.41407142857142859</v>
      </c>
      <c r="D104" s="2894">
        <f>1.1594/D101</f>
        <v>0.41407142857142859</v>
      </c>
      <c r="E104" s="2894">
        <f>1.0788/E101</f>
        <v>0.38528571428571429</v>
      </c>
      <c r="F104" s="2894">
        <f>1.0788/F101</f>
        <v>0.38528571428571429</v>
      </c>
      <c r="G104" s="2894">
        <f>1.0788/G101</f>
        <v>0.38528571428571429</v>
      </c>
      <c r="H104" s="2894">
        <f>1.0788/H101</f>
        <v>0.38528571428571429</v>
      </c>
      <c r="I104" s="2894">
        <f>1.0788/I101</f>
        <v>0.38528571428571429</v>
      </c>
      <c r="J104" s="2894">
        <f>1.0072/J101</f>
        <v>0.35971428571428576</v>
      </c>
      <c r="K104" s="2894">
        <f>1.0072/K101</f>
        <v>0.35971428571428576</v>
      </c>
      <c r="L104" s="2894">
        <f>1.0072/L101</f>
        <v>0.35971428571428576</v>
      </c>
      <c r="M104" s="2894">
        <f>1.0072/M101</f>
        <v>0.35971428571428576</v>
      </c>
      <c r="N104" s="2894">
        <f>1.0072/N101</f>
        <v>0.35971428571428576</v>
      </c>
    </row>
    <row r="105" spans="1:14">
      <c r="A105" s="3277"/>
      <c r="B105" s="2893">
        <v>4</v>
      </c>
      <c r="C105" s="2894">
        <f>0.9622/C101</f>
        <v>0.34364285714285719</v>
      </c>
      <c r="D105" s="2894">
        <f>0.9622/D101</f>
        <v>0.34364285714285719</v>
      </c>
      <c r="E105" s="2894">
        <f>0.8656/E101</f>
        <v>0.30914285714285716</v>
      </c>
      <c r="F105" s="2894">
        <f>0.8656/F101</f>
        <v>0.30914285714285716</v>
      </c>
      <c r="G105" s="2894">
        <f>0.8656/G101</f>
        <v>0.30914285714285716</v>
      </c>
      <c r="H105" s="2894">
        <f>0.8656/H101</f>
        <v>0.30914285714285716</v>
      </c>
      <c r="I105" s="2894">
        <f>0.8656/I101</f>
        <v>0.30914285714285716</v>
      </c>
      <c r="J105" s="2894">
        <f>0.7525/J101</f>
        <v>0.26874999999999999</v>
      </c>
      <c r="K105" s="2894">
        <f>0.7525/K101</f>
        <v>0.26874999999999999</v>
      </c>
      <c r="L105" s="2894">
        <f>0.7525/L101</f>
        <v>0.26874999999999999</v>
      </c>
      <c r="M105" s="2894">
        <f>0.7525/M101</f>
        <v>0.26874999999999999</v>
      </c>
      <c r="N105" s="2894">
        <f>0.7525/N101</f>
        <v>0.26874999999999999</v>
      </c>
    </row>
    <row r="106" spans="1:14">
      <c r="A106" s="3277"/>
      <c r="B106" s="2893">
        <v>5</v>
      </c>
      <c r="C106" s="2894">
        <f>0.8417/C101</f>
        <v>0.30060714285714285</v>
      </c>
      <c r="D106" s="2894">
        <f>0.8417/D101</f>
        <v>0.30060714285714285</v>
      </c>
      <c r="E106" s="2894">
        <f>0.7371/E101</f>
        <v>0.26324999999999998</v>
      </c>
      <c r="F106" s="2894">
        <f>0.7371/F101</f>
        <v>0.26324999999999998</v>
      </c>
      <c r="G106" s="2894">
        <f>0.7371/G101</f>
        <v>0.26324999999999998</v>
      </c>
      <c r="H106" s="2894">
        <f>0.7371/H101</f>
        <v>0.26324999999999998</v>
      </c>
      <c r="I106" s="2894">
        <f>0.7371/I101</f>
        <v>0.26324999999999998</v>
      </c>
      <c r="J106" s="2894">
        <f>0.5659/J101</f>
        <v>0.20210714285714285</v>
      </c>
      <c r="K106" s="2894">
        <f>0.5659/K101</f>
        <v>0.20210714285714285</v>
      </c>
      <c r="L106" s="2894">
        <f>0.5659/L101</f>
        <v>0.20210714285714285</v>
      </c>
      <c r="M106" s="2894">
        <f>0.5659/M101</f>
        <v>0.20210714285714285</v>
      </c>
      <c r="N106" s="2894">
        <f>0.5659/N101</f>
        <v>0.20210714285714285</v>
      </c>
    </row>
    <row r="107" spans="1:14">
      <c r="A107" s="3277"/>
      <c r="B107" s="2893">
        <v>6</v>
      </c>
      <c r="C107" s="2894">
        <f>0.7608/C101</f>
        <v>0.27171428571428574</v>
      </c>
      <c r="D107" s="2894">
        <f>0.7608/D101</f>
        <v>0.27171428571428574</v>
      </c>
      <c r="E107" s="2894">
        <f>0.6482/E101</f>
        <v>0.23150000000000001</v>
      </c>
      <c r="F107" s="2894">
        <f>0.6482/F101</f>
        <v>0.23150000000000001</v>
      </c>
      <c r="G107" s="2894">
        <f>0.6482/G101</f>
        <v>0.23150000000000001</v>
      </c>
      <c r="H107" s="2894">
        <f>0.6482/H101</f>
        <v>0.23150000000000001</v>
      </c>
      <c r="I107" s="2894">
        <f>0.6482/I101</f>
        <v>0.23150000000000001</v>
      </c>
      <c r="J107" s="2894">
        <f>0.4525/J101</f>
        <v>0.16160714285714287</v>
      </c>
      <c r="K107" s="2894">
        <f>0.4525/K101</f>
        <v>0.16160714285714287</v>
      </c>
      <c r="L107" s="2894">
        <f>0.4525/L101</f>
        <v>0.16160714285714287</v>
      </c>
      <c r="M107" s="2894">
        <f>0.4525/M101</f>
        <v>0.16160714285714287</v>
      </c>
      <c r="N107" s="2894">
        <f>0.4525/N101</f>
        <v>0.16160714285714287</v>
      </c>
    </row>
    <row r="108" spans="1:14">
      <c r="A108" s="3277"/>
      <c r="B108" s="3132"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78"/>
      <c r="B109" s="3133"/>
      <c r="C109" s="2896">
        <f>(-0.163*(C108^2)-0.59*C108+7617)*(10^(-4))/C101</f>
        <v>0.27203571428571433</v>
      </c>
      <c r="D109" s="2896">
        <f>(-0.163*(D108^2)-0.59*D108+7617)*(10^(-4))/D101</f>
        <v>0.27203571428571433</v>
      </c>
      <c r="E109" s="2896">
        <f>(-0.161*(E108^2)-7.509*E108+6533)*(10^(-4))/E101</f>
        <v>0.2333214285714286</v>
      </c>
      <c r="F109" s="2896">
        <f>(-0.161*(F108^2)-7.509*F108+6533)*(10^(-4))/F101</f>
        <v>0.2333214285714286</v>
      </c>
      <c r="G109" s="2896">
        <f>(-0.161*(G108^2)-7.509*G108+6533)*(10^(-4))/G101</f>
        <v>0.2333214285714286</v>
      </c>
      <c r="H109" s="2896">
        <f>(-0.161*(H108^2)-7.509*H108+6533)*(10^(-4))/H101</f>
        <v>0.2333214285714286</v>
      </c>
      <c r="I109" s="2896">
        <f>(-0.161*(I108^2)-7.509*I108+6533)*(10^(-4))/I101</f>
        <v>0.2333214285714286</v>
      </c>
      <c r="J109" s="2896">
        <f>(-0.214*(J108^2)-21.991*J108+4665)*(10^(-4))/J101</f>
        <v>0.16660714285714287</v>
      </c>
      <c r="K109" s="2896">
        <f>(-0.214*(K108^2)-21.991*K108+4665)*(10^(-4))/K101</f>
        <v>0.16660714285714287</v>
      </c>
      <c r="L109" s="2896">
        <f>(-0.214*(L108^2)-21.991*L108+4665)*(10^(-4))/L101</f>
        <v>0.16660714285714287</v>
      </c>
      <c r="M109" s="2896">
        <f>(-0.214*(M108^2)-21.991*M108+4665)*(10^(-4))/M101</f>
        <v>0.16660714285714287</v>
      </c>
      <c r="N109" s="2896">
        <f>(-0.214*(N108^2)-21.991*N108+4665)*(10^(-4))/N101</f>
        <v>0.16660714285714287</v>
      </c>
    </row>
    <row r="110" spans="1:14">
      <c r="A110" s="3274" t="s">
        <v>2981</v>
      </c>
      <c r="B110" s="3274"/>
      <c r="C110" s="3274"/>
      <c r="D110" s="3274"/>
      <c r="E110" s="3274"/>
      <c r="F110" s="3274"/>
      <c r="G110" s="3274"/>
      <c r="H110" s="3274"/>
      <c r="I110" s="3274"/>
      <c r="J110" s="3274"/>
      <c r="K110" s="2899"/>
      <c r="L110" s="2899"/>
      <c r="M110" s="2899"/>
      <c r="N110" s="2899"/>
    </row>
    <row r="112" spans="1:14" ht="13.5" thickBot="1"/>
    <row r="113" spans="1:13" ht="25.5" thickBot="1">
      <c r="A113" s="903" t="s">
        <v>2982</v>
      </c>
      <c r="B113" s="1290">
        <f>G3</f>
        <v>2.8</v>
      </c>
      <c r="C113" s="904" t="s">
        <v>2983</v>
      </c>
      <c r="D113" s="905">
        <f>SUMPRODUCT((A115:A118=F113)*(B114:M114=H113)*B115:M118)</f>
        <v>0</v>
      </c>
      <c r="E113" s="2722" t="s">
        <v>2813</v>
      </c>
      <c r="F113" s="2901">
        <f>E2</f>
        <v>0</v>
      </c>
      <c r="G113" s="2722" t="s">
        <v>2814</v>
      </c>
      <c r="H113" s="2901">
        <f>G2</f>
        <v>0</v>
      </c>
      <c r="I113" s="2722"/>
      <c r="J113" s="2902"/>
      <c r="K113" s="2902"/>
      <c r="L113" s="2902"/>
      <c r="M113" s="2902"/>
    </row>
    <row r="114" spans="1:13">
      <c r="A114" s="908"/>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9" t="s">
        <v>2878</v>
      </c>
      <c r="B115" s="910">
        <f>ROUND(0.9335-0.0094*B113,4)</f>
        <v>0.90720000000000001</v>
      </c>
      <c r="C115" s="910">
        <f>B115</f>
        <v>0.90720000000000001</v>
      </c>
      <c r="D115" s="910">
        <f>ROUND(0.8331-0.0109*B113,4)</f>
        <v>0.80259999999999998</v>
      </c>
      <c r="E115" s="910">
        <f>D115</f>
        <v>0.80259999999999998</v>
      </c>
      <c r="F115" s="910">
        <f>E115</f>
        <v>0.80259999999999998</v>
      </c>
      <c r="G115" s="910">
        <f>F115</f>
        <v>0.80259999999999998</v>
      </c>
      <c r="H115" s="910">
        <f>G115</f>
        <v>0.80259999999999998</v>
      </c>
      <c r="I115" s="910">
        <f>ROUND(0.689-0.0155*B113,4)</f>
        <v>0.64559999999999995</v>
      </c>
      <c r="J115" s="910">
        <f t="shared" ref="J115:M118" si="33">I115</f>
        <v>0.64559999999999995</v>
      </c>
      <c r="K115" s="910">
        <f t="shared" si="33"/>
        <v>0.64559999999999995</v>
      </c>
      <c r="L115" s="910">
        <f t="shared" si="33"/>
        <v>0.64559999999999995</v>
      </c>
      <c r="M115" s="911">
        <f t="shared" si="33"/>
        <v>0.64559999999999995</v>
      </c>
    </row>
    <row r="116" spans="1:13">
      <c r="A116" s="909" t="s">
        <v>2879</v>
      </c>
      <c r="B116" s="910">
        <f>ROUND(0.949-0.012*B113,4)</f>
        <v>0.91539999999999999</v>
      </c>
      <c r="C116" s="910">
        <f>B116</f>
        <v>0.91539999999999999</v>
      </c>
      <c r="D116" s="910">
        <f>ROUND(0.8567-0.013*B113,4)</f>
        <v>0.82030000000000003</v>
      </c>
      <c r="E116" s="910">
        <f t="shared" ref="E116:H117" si="34">D116</f>
        <v>0.82030000000000003</v>
      </c>
      <c r="F116" s="910">
        <f t="shared" si="34"/>
        <v>0.82030000000000003</v>
      </c>
      <c r="G116" s="910">
        <f t="shared" si="34"/>
        <v>0.82030000000000003</v>
      </c>
      <c r="H116" s="910">
        <f t="shared" si="34"/>
        <v>0.82030000000000003</v>
      </c>
      <c r="I116" s="910">
        <f>ROUND(0.7694-0.014*B113,4)</f>
        <v>0.73019999999999996</v>
      </c>
      <c r="J116" s="910">
        <f t="shared" si="33"/>
        <v>0.73019999999999996</v>
      </c>
      <c r="K116" s="910">
        <f t="shared" si="33"/>
        <v>0.73019999999999996</v>
      </c>
      <c r="L116" s="910">
        <f t="shared" si="33"/>
        <v>0.73019999999999996</v>
      </c>
      <c r="M116" s="911">
        <f t="shared" si="33"/>
        <v>0.73019999999999996</v>
      </c>
    </row>
    <row r="117" spans="1:13">
      <c r="A117" s="909" t="s">
        <v>2880</v>
      </c>
      <c r="B117" s="910">
        <f>ROUND(0.8808-0.006*B113,4)</f>
        <v>0.86399999999999999</v>
      </c>
      <c r="C117" s="910">
        <f>B117</f>
        <v>0.86399999999999999</v>
      </c>
      <c r="D117" s="910">
        <f>ROUND(0.8748-0.008*B113,4)</f>
        <v>0.85240000000000005</v>
      </c>
      <c r="E117" s="910">
        <f t="shared" si="34"/>
        <v>0.85240000000000005</v>
      </c>
      <c r="F117" s="910">
        <f t="shared" si="34"/>
        <v>0.85240000000000005</v>
      </c>
      <c r="G117" s="910">
        <f t="shared" si="34"/>
        <v>0.85240000000000005</v>
      </c>
      <c r="H117" s="910">
        <f t="shared" si="34"/>
        <v>0.85240000000000005</v>
      </c>
      <c r="I117" s="910">
        <f>ROUND(0.7412-0.0095*B113,4)</f>
        <v>0.71460000000000001</v>
      </c>
      <c r="J117" s="910">
        <f t="shared" si="33"/>
        <v>0.71460000000000001</v>
      </c>
      <c r="K117" s="910">
        <f t="shared" si="33"/>
        <v>0.71460000000000001</v>
      </c>
      <c r="L117" s="910">
        <f t="shared" si="33"/>
        <v>0.71460000000000001</v>
      </c>
      <c r="M117" s="911">
        <f t="shared" si="33"/>
        <v>0.71460000000000001</v>
      </c>
    </row>
    <row r="118" spans="1:13" ht="13.5" thickBot="1">
      <c r="A118" s="714" t="s">
        <v>2881</v>
      </c>
      <c r="B118" s="912">
        <f>ROUND(0.7275-0.01*B113,4)</f>
        <v>0.69950000000000001</v>
      </c>
      <c r="C118" s="912">
        <f>B118</f>
        <v>0.69950000000000001</v>
      </c>
      <c r="D118" s="912">
        <f>ROUND(0.7043-0.012*B113,4)</f>
        <v>0.67069999999999996</v>
      </c>
      <c r="E118" s="912">
        <f>D118</f>
        <v>0.67069999999999996</v>
      </c>
      <c r="F118" s="912">
        <f>E118</f>
        <v>0.67069999999999996</v>
      </c>
      <c r="G118" s="912">
        <f>ROUND(0.6299-0.0122*B113,4)</f>
        <v>0.59570000000000001</v>
      </c>
      <c r="H118" s="912">
        <f>G118</f>
        <v>0.59570000000000001</v>
      </c>
      <c r="I118" s="912">
        <f>ROUND(0.5667-0.0136*B113,4)</f>
        <v>0.52859999999999996</v>
      </c>
      <c r="J118" s="912">
        <f t="shared" si="33"/>
        <v>0.52859999999999996</v>
      </c>
      <c r="K118" s="912">
        <f t="shared" si="33"/>
        <v>0.52859999999999996</v>
      </c>
      <c r="L118" s="912">
        <f t="shared" si="33"/>
        <v>0.52859999999999996</v>
      </c>
      <c r="M118" s="913">
        <f t="shared" si="33"/>
        <v>0.52859999999999996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2" t="s">
        <v>183</v>
      </c>
      <c r="B18" s="882" t="s">
        <v>560</v>
      </c>
      <c r="C18" s="883" t="s">
        <v>561</v>
      </c>
      <c r="D18" s="884"/>
      <c r="E18" s="882">
        <v>1</v>
      </c>
      <c r="F18" s="885" t="s">
        <v>562</v>
      </c>
      <c r="G18" s="886"/>
      <c r="H18" s="878"/>
      <c r="I18" s="878"/>
    </row>
    <row r="19" spans="1:9" s="887" customFormat="1" ht="19.5" customHeight="1">
      <c r="A19" s="3282"/>
      <c r="B19" s="3282" t="s">
        <v>563</v>
      </c>
      <c r="C19" s="883" t="s">
        <v>564</v>
      </c>
      <c r="D19" s="884"/>
      <c r="E19" s="882">
        <v>0.9</v>
      </c>
      <c r="F19" s="885" t="s">
        <v>565</v>
      </c>
      <c r="G19" s="886"/>
      <c r="H19" s="878"/>
      <c r="I19" s="878"/>
    </row>
    <row r="20" spans="1:9" s="887" customFormat="1" ht="19.5" customHeight="1">
      <c r="A20" s="3282"/>
      <c r="B20" s="3282"/>
      <c r="C20" s="883" t="s">
        <v>566</v>
      </c>
      <c r="D20" s="884"/>
      <c r="E20" s="882">
        <v>1.1000000000000001</v>
      </c>
      <c r="F20" s="885" t="s">
        <v>567</v>
      </c>
      <c r="G20" s="886"/>
      <c r="H20" s="878"/>
      <c r="I20" s="878"/>
    </row>
    <row r="21" spans="1:9" s="887" customFormat="1" ht="19.5" customHeight="1">
      <c r="A21" s="3282"/>
      <c r="B21" s="3282"/>
      <c r="C21" s="883" t="s">
        <v>568</v>
      </c>
      <c r="D21" s="884"/>
      <c r="E21" s="882">
        <v>0.8</v>
      </c>
      <c r="F21" s="885" t="s">
        <v>569</v>
      </c>
      <c r="G21" s="886"/>
      <c r="H21" s="878"/>
      <c r="I21" s="878"/>
    </row>
    <row r="22" spans="1:9" s="887" customFormat="1" ht="19.5" customHeight="1">
      <c r="A22" s="3282"/>
      <c r="B22" s="3282"/>
      <c r="C22" s="883" t="s">
        <v>570</v>
      </c>
      <c r="D22" s="884"/>
      <c r="E22" s="882">
        <v>0.5</v>
      </c>
      <c r="F22" s="885"/>
      <c r="G22" s="886"/>
      <c r="H22" s="878"/>
      <c r="I22" s="878"/>
    </row>
    <row r="23" spans="1:9" s="887" customFormat="1" ht="19.5" customHeight="1">
      <c r="A23" s="3282" t="s">
        <v>184</v>
      </c>
      <c r="B23" s="882" t="s">
        <v>560</v>
      </c>
      <c r="C23" s="883" t="s">
        <v>571</v>
      </c>
      <c r="D23" s="884"/>
      <c r="E23" s="882">
        <v>1</v>
      </c>
      <c r="F23" s="885" t="s">
        <v>572</v>
      </c>
      <c r="G23" s="886"/>
      <c r="H23" s="878"/>
      <c r="I23" s="878"/>
    </row>
    <row r="24" spans="1:9" s="887" customFormat="1" ht="19.5" customHeight="1">
      <c r="A24" s="3282"/>
      <c r="B24" s="3282" t="s">
        <v>563</v>
      </c>
      <c r="C24" s="883" t="s">
        <v>573</v>
      </c>
      <c r="D24" s="884"/>
      <c r="E24" s="882">
        <v>0.5</v>
      </c>
      <c r="F24" s="885"/>
      <c r="G24" s="886"/>
      <c r="H24" s="878"/>
      <c r="I24" s="878"/>
    </row>
    <row r="25" spans="1:9" s="887" customFormat="1" ht="19.5" customHeight="1">
      <c r="A25" s="3282"/>
      <c r="B25" s="3282"/>
      <c r="C25" s="883" t="s">
        <v>574</v>
      </c>
      <c r="D25" s="884"/>
      <c r="E25" s="882">
        <v>1.1000000000000001</v>
      </c>
      <c r="F25" s="885"/>
      <c r="G25" s="886"/>
      <c r="H25" s="878"/>
      <c r="I25" s="878"/>
    </row>
    <row r="26" spans="1:9" s="887" customFormat="1" ht="19.5" customHeight="1">
      <c r="A26" s="3282"/>
      <c r="B26" s="3282"/>
      <c r="C26" s="883" t="s">
        <v>575</v>
      </c>
      <c r="D26" s="884"/>
      <c r="E26" s="882">
        <v>1.1000000000000001</v>
      </c>
      <c r="F26" s="885"/>
      <c r="G26" s="886"/>
      <c r="H26" s="878"/>
      <c r="I26" s="878"/>
    </row>
    <row r="27" spans="1:9" s="887" customFormat="1" ht="19.5" customHeight="1">
      <c r="A27" s="3282"/>
      <c r="B27" s="3282"/>
      <c r="C27" s="883" t="s">
        <v>576</v>
      </c>
      <c r="D27" s="884"/>
      <c r="E27" s="882">
        <v>0.9</v>
      </c>
      <c r="F27" s="885" t="s">
        <v>577</v>
      </c>
      <c r="G27" s="886"/>
      <c r="H27" s="878"/>
      <c r="I27" s="878"/>
    </row>
    <row r="28" spans="1:9" s="887" customFormat="1" ht="19.5" customHeight="1">
      <c r="A28" s="3282"/>
      <c r="B28" s="3282"/>
      <c r="C28" s="883" t="s">
        <v>578</v>
      </c>
      <c r="D28" s="884"/>
      <c r="E28" s="882">
        <v>0.9</v>
      </c>
      <c r="F28" s="885" t="s">
        <v>579</v>
      </c>
      <c r="G28" s="886"/>
      <c r="H28" s="878"/>
      <c r="I28" s="878"/>
    </row>
    <row r="29" spans="1:9" s="887" customFormat="1" ht="19.5" customHeight="1">
      <c r="A29" s="3282"/>
      <c r="B29" s="3282"/>
      <c r="C29" s="883" t="s">
        <v>580</v>
      </c>
      <c r="D29" s="884"/>
      <c r="E29" s="882">
        <v>0.9</v>
      </c>
      <c r="F29" s="885" t="s">
        <v>581</v>
      </c>
      <c r="G29" s="886"/>
      <c r="H29" s="878"/>
      <c r="I29" s="878"/>
    </row>
    <row r="30" spans="1:9" s="887" customFormat="1" ht="19.5" customHeight="1">
      <c r="A30" s="3282"/>
      <c r="B30" s="3282"/>
      <c r="C30" s="883" t="s">
        <v>582</v>
      </c>
      <c r="D30" s="884"/>
      <c r="E30" s="882">
        <v>0.9</v>
      </c>
      <c r="F30" s="885" t="s">
        <v>583</v>
      </c>
      <c r="G30" s="886"/>
      <c r="H30" s="878"/>
      <c r="I30" s="878"/>
    </row>
    <row r="31" spans="1:9" s="887" customFormat="1" ht="19.5" customHeight="1">
      <c r="A31" s="3282"/>
      <c r="B31" s="3282"/>
      <c r="C31" s="883" t="s">
        <v>584</v>
      </c>
      <c r="D31" s="884"/>
      <c r="E31" s="882">
        <v>0.8</v>
      </c>
      <c r="F31" s="885" t="s">
        <v>585</v>
      </c>
      <c r="G31" s="886"/>
      <c r="H31" s="878"/>
      <c r="I31" s="878"/>
    </row>
    <row r="32" spans="1:9" s="887" customFormat="1" ht="19.5" customHeight="1">
      <c r="A32" s="3282"/>
      <c r="B32" s="3282"/>
      <c r="C32" s="883" t="s">
        <v>586</v>
      </c>
      <c r="D32" s="884"/>
      <c r="E32" s="882">
        <v>0.8</v>
      </c>
      <c r="F32" s="885" t="s">
        <v>587</v>
      </c>
      <c r="G32" s="886"/>
      <c r="H32" s="878"/>
      <c r="I32" s="878"/>
    </row>
    <row r="33" spans="1:9" s="887" customFormat="1" ht="19.5" customHeight="1">
      <c r="A33" s="3282" t="s">
        <v>185</v>
      </c>
      <c r="B33" s="882" t="s">
        <v>560</v>
      </c>
      <c r="C33" s="883" t="s">
        <v>588</v>
      </c>
      <c r="D33" s="884"/>
      <c r="E33" s="882">
        <v>1</v>
      </c>
      <c r="F33" s="885" t="s">
        <v>589</v>
      </c>
      <c r="G33" s="886"/>
      <c r="H33" s="878"/>
      <c r="I33" s="878"/>
    </row>
    <row r="34" spans="1:9" s="887" customFormat="1" ht="19.5" customHeight="1">
      <c r="A34" s="3282"/>
      <c r="B34" s="882" t="s">
        <v>563</v>
      </c>
      <c r="C34" s="883" t="s">
        <v>590</v>
      </c>
      <c r="D34" s="884"/>
      <c r="E34" s="882">
        <v>1.5</v>
      </c>
      <c r="F34" s="885" t="s">
        <v>591</v>
      </c>
      <c r="G34" s="886"/>
      <c r="H34" s="878"/>
      <c r="I34" s="878"/>
    </row>
    <row r="35" spans="1:9" s="887" customFormat="1" ht="19.5" customHeight="1">
      <c r="A35" s="3282" t="s">
        <v>186</v>
      </c>
      <c r="B35" s="882" t="s">
        <v>560</v>
      </c>
      <c r="C35" s="883" t="s">
        <v>592</v>
      </c>
      <c r="D35" s="884"/>
      <c r="E35" s="882">
        <v>1</v>
      </c>
      <c r="F35" s="885" t="s">
        <v>593</v>
      </c>
      <c r="G35" s="886"/>
      <c r="H35" s="878"/>
      <c r="I35" s="878"/>
    </row>
    <row r="36" spans="1:9" s="887" customFormat="1" ht="19.5" customHeight="1">
      <c r="A36" s="3282"/>
      <c r="B36" s="3282" t="s">
        <v>563</v>
      </c>
      <c r="C36" s="883" t="s">
        <v>594</v>
      </c>
      <c r="D36" s="884"/>
      <c r="E36" s="882">
        <v>1</v>
      </c>
      <c r="F36" s="885" t="s">
        <v>595</v>
      </c>
      <c r="G36" s="886"/>
      <c r="H36" s="878"/>
      <c r="I36" s="878"/>
    </row>
    <row r="37" spans="1:9" s="887" customFormat="1" ht="19.5" customHeight="1">
      <c r="A37" s="3282"/>
      <c r="B37" s="3282"/>
      <c r="C37" s="883" t="s">
        <v>596</v>
      </c>
      <c r="D37" s="884"/>
      <c r="E37" s="882">
        <v>1.5</v>
      </c>
      <c r="F37" s="885" t="s">
        <v>597</v>
      </c>
      <c r="G37" s="886"/>
      <c r="H37" s="878"/>
      <c r="I37" s="878"/>
    </row>
    <row r="38" spans="1:9" s="887" customFormat="1" ht="19.5" customHeight="1">
      <c r="A38" s="3282"/>
      <c r="B38" s="3282"/>
      <c r="C38" s="883" t="s">
        <v>598</v>
      </c>
      <c r="D38" s="884"/>
      <c r="E38" s="882">
        <v>1</v>
      </c>
      <c r="F38" s="885" t="s">
        <v>599</v>
      </c>
      <c r="G38" s="886"/>
      <c r="H38" s="878"/>
      <c r="I38" s="878"/>
    </row>
    <row r="39" spans="1:9" s="887" customFormat="1" ht="19.5" customHeight="1">
      <c r="A39" s="3282"/>
      <c r="B39" s="32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2" t="s">
        <v>614</v>
      </c>
      <c r="C61" s="818" t="s">
        <v>615</v>
      </c>
      <c r="D61" s="818" t="s">
        <v>616</v>
      </c>
      <c r="E61" s="895">
        <v>0.5</v>
      </c>
      <c r="F61" s="882">
        <v>80</v>
      </c>
    </row>
    <row r="62" spans="1:8" s="878" customFormat="1" ht="24">
      <c r="A62" s="882">
        <v>2</v>
      </c>
      <c r="B62" s="3282"/>
      <c r="C62" s="818" t="s">
        <v>617</v>
      </c>
      <c r="D62" s="818" t="s">
        <v>618</v>
      </c>
      <c r="E62" s="895">
        <v>0.5</v>
      </c>
      <c r="F62" s="882">
        <v>80</v>
      </c>
    </row>
    <row r="63" spans="1:8" s="878" customFormat="1" ht="36">
      <c r="A63" s="882">
        <v>3</v>
      </c>
      <c r="B63" s="3282"/>
      <c r="C63" s="818" t="s">
        <v>619</v>
      </c>
      <c r="D63" s="818" t="s">
        <v>620</v>
      </c>
      <c r="E63" s="895">
        <v>0.5</v>
      </c>
      <c r="F63" s="882">
        <v>80</v>
      </c>
    </row>
    <row r="64" spans="1:8" s="878" customFormat="1" ht="36">
      <c r="A64" s="882">
        <v>4</v>
      </c>
      <c r="B64" s="3282"/>
      <c r="C64" s="818" t="s">
        <v>621</v>
      </c>
      <c r="D64" s="818" t="s">
        <v>622</v>
      </c>
      <c r="E64" s="895">
        <v>0.4</v>
      </c>
      <c r="F64" s="882">
        <v>60</v>
      </c>
    </row>
    <row r="65" spans="1:6" s="878" customFormat="1" ht="36">
      <c r="A65" s="882">
        <v>5</v>
      </c>
      <c r="B65" s="3282"/>
      <c r="C65" s="818" t="s">
        <v>623</v>
      </c>
      <c r="D65" s="818" t="s">
        <v>624</v>
      </c>
      <c r="E65" s="895">
        <v>0.2</v>
      </c>
      <c r="F65" s="882">
        <v>30</v>
      </c>
    </row>
    <row r="66" spans="1:6" s="878" customFormat="1" ht="36">
      <c r="A66" s="882">
        <v>6</v>
      </c>
      <c r="B66" s="3282"/>
      <c r="C66" s="818" t="s">
        <v>625</v>
      </c>
      <c r="D66" s="818" t="s">
        <v>626</v>
      </c>
      <c r="E66" s="895">
        <v>0.3</v>
      </c>
      <c r="F66" s="882">
        <v>50</v>
      </c>
    </row>
    <row r="67" spans="1:6" s="878" customFormat="1" ht="36">
      <c r="A67" s="882">
        <v>7</v>
      </c>
      <c r="B67" s="3282"/>
      <c r="C67" s="818" t="s">
        <v>627</v>
      </c>
      <c r="D67" s="818" t="s">
        <v>628</v>
      </c>
      <c r="E67" s="895">
        <v>0.2</v>
      </c>
      <c r="F67" s="882">
        <v>30</v>
      </c>
    </row>
    <row r="68" spans="1:6" s="878" customFormat="1" ht="36">
      <c r="A68" s="882">
        <v>8</v>
      </c>
      <c r="B68" s="3282"/>
      <c r="C68" s="818" t="s">
        <v>629</v>
      </c>
      <c r="D68" s="818" t="s">
        <v>630</v>
      </c>
      <c r="E68" s="895">
        <v>0.2</v>
      </c>
      <c r="F68" s="882">
        <v>30</v>
      </c>
    </row>
    <row r="69" spans="1:6" s="878" customFormat="1" ht="36">
      <c r="A69" s="882">
        <v>9</v>
      </c>
      <c r="B69" s="3282"/>
      <c r="C69" s="818" t="s">
        <v>631</v>
      </c>
      <c r="D69" s="818" t="s">
        <v>632</v>
      </c>
      <c r="E69" s="895">
        <v>0.2</v>
      </c>
      <c r="F69" s="882">
        <v>30</v>
      </c>
    </row>
    <row r="70" spans="1:6" s="878" customFormat="1" ht="48">
      <c r="A70" s="882">
        <v>10</v>
      </c>
      <c r="B70" s="3282"/>
      <c r="C70" s="818" t="s">
        <v>633</v>
      </c>
      <c r="D70" s="818" t="s">
        <v>634</v>
      </c>
      <c r="E70" s="895">
        <v>0.2</v>
      </c>
      <c r="F70" s="882">
        <v>30</v>
      </c>
    </row>
    <row r="71" spans="1:6" s="878" customFormat="1" ht="48">
      <c r="A71" s="882">
        <v>11</v>
      </c>
      <c r="B71" s="3282"/>
      <c r="C71" s="818" t="s">
        <v>635</v>
      </c>
      <c r="D71" s="818" t="s">
        <v>636</v>
      </c>
      <c r="E71" s="895">
        <v>0.2</v>
      </c>
      <c r="F71" s="882">
        <v>30</v>
      </c>
    </row>
    <row r="72" spans="1:6" s="878" customFormat="1" ht="36">
      <c r="A72" s="882">
        <v>12</v>
      </c>
      <c r="B72" s="3282"/>
      <c r="C72" s="818" t="s">
        <v>637</v>
      </c>
      <c r="D72" s="818" t="s">
        <v>638</v>
      </c>
      <c r="E72" s="895">
        <v>0.5</v>
      </c>
      <c r="F72" s="882">
        <v>80</v>
      </c>
    </row>
    <row r="73" spans="1:6" s="878" customFormat="1" ht="24">
      <c r="A73" s="882">
        <v>13</v>
      </c>
      <c r="B73" s="3282"/>
      <c r="C73" s="818" t="s">
        <v>639</v>
      </c>
      <c r="D73" s="818" t="s">
        <v>640</v>
      </c>
      <c r="E73" s="895">
        <v>0.4</v>
      </c>
      <c r="F73" s="882">
        <v>60</v>
      </c>
    </row>
    <row r="74" spans="1:6" s="878" customFormat="1" ht="24">
      <c r="A74" s="882">
        <v>14</v>
      </c>
      <c r="B74" s="3282"/>
      <c r="C74" s="818" t="s">
        <v>641</v>
      </c>
      <c r="D74" s="818" t="s">
        <v>642</v>
      </c>
      <c r="E74" s="895">
        <v>0.2</v>
      </c>
      <c r="F74" s="882">
        <v>30</v>
      </c>
    </row>
    <row r="75" spans="1:6" s="878" customFormat="1" ht="24">
      <c r="A75" s="882">
        <v>15</v>
      </c>
      <c r="B75" s="3282"/>
      <c r="C75" s="818" t="s">
        <v>643</v>
      </c>
      <c r="D75" s="818" t="s">
        <v>644</v>
      </c>
      <c r="E75" s="895">
        <v>0.2</v>
      </c>
      <c r="F75" s="882">
        <v>30</v>
      </c>
    </row>
    <row r="76" spans="1:6" s="878" customFormat="1" ht="24">
      <c r="A76" s="882">
        <v>16</v>
      </c>
      <c r="B76" s="3282" t="s">
        <v>645</v>
      </c>
      <c r="C76" s="818" t="s">
        <v>646</v>
      </c>
      <c r="D76" s="818" t="s">
        <v>647</v>
      </c>
      <c r="E76" s="895">
        <v>0.5</v>
      </c>
      <c r="F76" s="882">
        <v>80</v>
      </c>
    </row>
    <row r="77" spans="1:6" s="878" customFormat="1" ht="24">
      <c r="A77" s="882">
        <v>17</v>
      </c>
      <c r="B77" s="3282"/>
      <c r="C77" s="818" t="s">
        <v>648</v>
      </c>
      <c r="D77" s="818" t="s">
        <v>649</v>
      </c>
      <c r="E77" s="895">
        <v>0.5</v>
      </c>
      <c r="F77" s="882">
        <v>80</v>
      </c>
    </row>
    <row r="78" spans="1:6" s="878" customFormat="1" ht="24">
      <c r="A78" s="882">
        <v>18</v>
      </c>
      <c r="B78" s="3282"/>
      <c r="C78" s="818" t="s">
        <v>650</v>
      </c>
      <c r="D78" s="818" t="s">
        <v>651</v>
      </c>
      <c r="E78" s="895">
        <v>0.2</v>
      </c>
      <c r="F78" s="882">
        <v>30</v>
      </c>
    </row>
    <row r="79" spans="1:6" s="878" customFormat="1" ht="24">
      <c r="A79" s="882">
        <v>19</v>
      </c>
      <c r="B79" s="3282"/>
      <c r="C79" s="818" t="s">
        <v>652</v>
      </c>
      <c r="D79" s="818" t="s">
        <v>653</v>
      </c>
      <c r="E79" s="895">
        <v>0.5</v>
      </c>
      <c r="F79" s="882">
        <v>80</v>
      </c>
    </row>
    <row r="80" spans="1:6" s="878" customFormat="1" ht="36">
      <c r="A80" s="882">
        <v>20</v>
      </c>
      <c r="B80" s="3282"/>
      <c r="C80" s="818" t="s">
        <v>654</v>
      </c>
      <c r="D80" s="818" t="s">
        <v>655</v>
      </c>
      <c r="E80" s="895">
        <v>0.2</v>
      </c>
      <c r="F80" s="882">
        <v>30</v>
      </c>
    </row>
    <row r="81" spans="1:6" s="878" customFormat="1" ht="36">
      <c r="A81" s="882">
        <v>21</v>
      </c>
      <c r="B81" s="3282"/>
      <c r="C81" s="818" t="s">
        <v>656</v>
      </c>
      <c r="D81" s="818" t="s">
        <v>657</v>
      </c>
      <c r="E81" s="895">
        <v>0.2</v>
      </c>
      <c r="F81" s="882">
        <v>30</v>
      </c>
    </row>
    <row r="82" spans="1:6" s="878" customFormat="1" ht="48">
      <c r="A82" s="882">
        <v>22</v>
      </c>
      <c r="B82" s="3282"/>
      <c r="C82" s="818" t="s">
        <v>658</v>
      </c>
      <c r="D82" s="818" t="s">
        <v>659</v>
      </c>
      <c r="E82" s="895">
        <v>0.2</v>
      </c>
      <c r="F82" s="882">
        <v>30</v>
      </c>
    </row>
    <row r="83" spans="1:6" s="878" customFormat="1" ht="48">
      <c r="A83" s="882">
        <v>23</v>
      </c>
      <c r="B83" s="3282"/>
      <c r="C83" s="818" t="s">
        <v>660</v>
      </c>
      <c r="D83" s="818" t="s">
        <v>661</v>
      </c>
      <c r="E83" s="895">
        <v>0.2</v>
      </c>
      <c r="F83" s="882">
        <v>30</v>
      </c>
    </row>
    <row r="84" spans="1:6" s="878" customFormat="1" ht="36">
      <c r="A84" s="882">
        <v>24</v>
      </c>
      <c r="B84" s="3282"/>
      <c r="C84" s="818" t="s">
        <v>662</v>
      </c>
      <c r="D84" s="818" t="s">
        <v>663</v>
      </c>
      <c r="E84" s="895">
        <v>0.2</v>
      </c>
      <c r="F84" s="882">
        <v>30</v>
      </c>
    </row>
    <row r="85" spans="1:6" s="878" customFormat="1" ht="36">
      <c r="A85" s="882">
        <v>25</v>
      </c>
      <c r="B85" s="3282"/>
      <c r="C85" s="818" t="s">
        <v>664</v>
      </c>
      <c r="D85" s="818" t="s">
        <v>665</v>
      </c>
      <c r="E85" s="895">
        <v>0.5</v>
      </c>
      <c r="F85" s="882">
        <v>80</v>
      </c>
    </row>
    <row r="86" spans="1:6" s="878" customFormat="1" ht="36">
      <c r="A86" s="882">
        <v>26</v>
      </c>
      <c r="B86" s="3282"/>
      <c r="C86" s="818" t="s">
        <v>666</v>
      </c>
      <c r="D86" s="818" t="s">
        <v>667</v>
      </c>
      <c r="E86" s="895">
        <v>0.2</v>
      </c>
      <c r="F86" s="882">
        <v>30</v>
      </c>
    </row>
    <row r="87" spans="1:6" s="878" customFormat="1" ht="36">
      <c r="A87" s="882">
        <v>27</v>
      </c>
      <c r="B87" s="3282"/>
      <c r="C87" s="818" t="s">
        <v>668</v>
      </c>
      <c r="D87" s="818" t="s">
        <v>669</v>
      </c>
      <c r="E87" s="895">
        <v>0.2</v>
      </c>
      <c r="F87" s="882">
        <v>30</v>
      </c>
    </row>
    <row r="88" spans="1:6" s="878" customFormat="1" ht="36">
      <c r="A88" s="882">
        <v>28</v>
      </c>
      <c r="B88" s="3282"/>
      <c r="C88" s="818" t="s">
        <v>670</v>
      </c>
      <c r="D88" s="818" t="s">
        <v>671</v>
      </c>
      <c r="E88" s="895">
        <v>0.2</v>
      </c>
      <c r="F88" s="882">
        <v>30</v>
      </c>
    </row>
    <row r="89" spans="1:6" s="878" customFormat="1" ht="24">
      <c r="A89" s="882">
        <v>29</v>
      </c>
      <c r="B89" s="3282"/>
      <c r="C89" s="818" t="s">
        <v>672</v>
      </c>
      <c r="D89" s="818" t="s">
        <v>673</v>
      </c>
      <c r="E89" s="895">
        <v>0.2</v>
      </c>
      <c r="F89" s="882">
        <v>30</v>
      </c>
    </row>
    <row r="90" spans="1:6" s="878" customFormat="1" ht="24">
      <c r="A90" s="882">
        <v>30</v>
      </c>
      <c r="B90" s="3282"/>
      <c r="C90" s="818" t="s">
        <v>674</v>
      </c>
      <c r="D90" s="818" t="s">
        <v>675</v>
      </c>
      <c r="E90" s="895">
        <v>0.2</v>
      </c>
      <c r="F90" s="882">
        <v>30</v>
      </c>
    </row>
    <row r="91" spans="1:6" s="878" customFormat="1" ht="36">
      <c r="A91" s="882">
        <v>31</v>
      </c>
      <c r="B91" s="3282"/>
      <c r="C91" s="818" t="s">
        <v>676</v>
      </c>
      <c r="D91" s="818" t="s">
        <v>677</v>
      </c>
      <c r="E91" s="895">
        <v>0.2</v>
      </c>
      <c r="F91" s="882">
        <v>30</v>
      </c>
    </row>
    <row r="92" spans="1:6" s="878" customFormat="1" ht="24">
      <c r="A92" s="882">
        <v>32</v>
      </c>
      <c r="B92" s="3282" t="s">
        <v>678</v>
      </c>
      <c r="C92" s="882" t="s">
        <v>679</v>
      </c>
      <c r="D92" s="818" t="s">
        <v>680</v>
      </c>
      <c r="E92" s="895">
        <v>0.2</v>
      </c>
      <c r="F92" s="882">
        <v>30</v>
      </c>
    </row>
    <row r="93" spans="1:6" s="878" customFormat="1" ht="36">
      <c r="A93" s="882">
        <v>33</v>
      </c>
      <c r="B93" s="3282"/>
      <c r="C93" s="882" t="s">
        <v>681</v>
      </c>
      <c r="D93" s="818" t="s">
        <v>682</v>
      </c>
      <c r="E93" s="895">
        <v>0.2</v>
      </c>
      <c r="F93" s="882">
        <v>30</v>
      </c>
    </row>
    <row r="94" spans="1:6" s="878" customFormat="1" ht="48">
      <c r="A94" s="882">
        <v>34</v>
      </c>
      <c r="B94" s="3282"/>
      <c r="C94" s="882" t="s">
        <v>683</v>
      </c>
      <c r="D94" s="818" t="s">
        <v>684</v>
      </c>
      <c r="E94" s="895">
        <v>0.2</v>
      </c>
      <c r="F94" s="882">
        <v>30</v>
      </c>
    </row>
    <row r="95" spans="1:6" s="878" customFormat="1" ht="36">
      <c r="A95" s="882">
        <v>35</v>
      </c>
      <c r="B95" s="3282"/>
      <c r="C95" s="882" t="s">
        <v>685</v>
      </c>
      <c r="D95" s="818" t="s">
        <v>686</v>
      </c>
      <c r="E95" s="895">
        <v>0.2</v>
      </c>
      <c r="F95" s="882">
        <v>30</v>
      </c>
    </row>
    <row r="96" spans="1:6" s="878" customFormat="1" ht="48">
      <c r="A96" s="882">
        <v>36</v>
      </c>
      <c r="B96" s="3282"/>
      <c r="C96" s="818" t="s">
        <v>687</v>
      </c>
      <c r="D96" s="818" t="s">
        <v>688</v>
      </c>
      <c r="E96" s="895">
        <v>0.2</v>
      </c>
      <c r="F96" s="882">
        <v>30</v>
      </c>
    </row>
    <row r="97" spans="1:6" s="878" customFormat="1" ht="36">
      <c r="A97" s="882">
        <v>37</v>
      </c>
      <c r="B97" s="3282"/>
      <c r="C97" s="882" t="s">
        <v>689</v>
      </c>
      <c r="D97" s="818" t="s">
        <v>690</v>
      </c>
      <c r="E97" s="895">
        <v>0.2</v>
      </c>
      <c r="F97" s="882">
        <v>30</v>
      </c>
    </row>
    <row r="98" spans="1:6" s="878" customFormat="1" ht="36">
      <c r="A98" s="882">
        <v>38</v>
      </c>
      <c r="B98" s="3282"/>
      <c r="C98" s="882" t="s">
        <v>691</v>
      </c>
      <c r="D98" s="818" t="s">
        <v>692</v>
      </c>
      <c r="E98" s="895">
        <v>0.2</v>
      </c>
      <c r="F98" s="882">
        <v>30</v>
      </c>
    </row>
    <row r="99" spans="1:6" s="878" customFormat="1" ht="36">
      <c r="A99" s="882">
        <v>39</v>
      </c>
      <c r="B99" s="3282" t="s">
        <v>693</v>
      </c>
      <c r="C99" s="882" t="s">
        <v>694</v>
      </c>
      <c r="D99" s="818" t="s">
        <v>695</v>
      </c>
      <c r="E99" s="895">
        <v>0.3</v>
      </c>
      <c r="F99" s="882">
        <v>50</v>
      </c>
    </row>
    <row r="100" spans="1:6" s="878" customFormat="1" ht="24">
      <c r="A100" s="882">
        <v>40</v>
      </c>
      <c r="B100" s="3282"/>
      <c r="C100" s="882" t="s">
        <v>696</v>
      </c>
      <c r="D100" s="818" t="s">
        <v>697</v>
      </c>
      <c r="E100" s="895">
        <v>0.2</v>
      </c>
      <c r="F100" s="882">
        <v>30</v>
      </c>
    </row>
    <row r="101" spans="1:6" s="878" customFormat="1" ht="36">
      <c r="A101" s="882">
        <v>41</v>
      </c>
      <c r="B101" s="328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2" t="s">
        <v>708</v>
      </c>
      <c r="C105" s="882" t="s">
        <v>709</v>
      </c>
      <c r="D105" s="818" t="s">
        <v>710</v>
      </c>
      <c r="E105" s="895">
        <v>0.2</v>
      </c>
      <c r="F105" s="882">
        <v>30</v>
      </c>
    </row>
    <row r="106" spans="1:6" s="878" customFormat="1" ht="36">
      <c r="A106" s="882">
        <v>46</v>
      </c>
      <c r="B106" s="3282"/>
      <c r="C106" s="882" t="s">
        <v>711</v>
      </c>
      <c r="D106" s="818" t="s">
        <v>712</v>
      </c>
      <c r="E106" s="895">
        <v>0.2</v>
      </c>
      <c r="F106" s="882">
        <v>30</v>
      </c>
    </row>
    <row r="107" spans="1:6" s="878" customFormat="1" ht="36">
      <c r="A107" s="882">
        <v>47</v>
      </c>
      <c r="B107" s="3282" t="s">
        <v>713</v>
      </c>
      <c r="C107" s="882" t="s">
        <v>714</v>
      </c>
      <c r="D107" s="818" t="s">
        <v>715</v>
      </c>
      <c r="E107" s="895">
        <v>0.3</v>
      </c>
      <c r="F107" s="882">
        <v>50</v>
      </c>
    </row>
    <row r="108" spans="1:6" s="878" customFormat="1" ht="36">
      <c r="A108" s="882">
        <v>48</v>
      </c>
      <c r="B108" s="328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2" t="s">
        <v>724</v>
      </c>
      <c r="C111" s="882" t="s">
        <v>725</v>
      </c>
      <c r="D111" s="818" t="s">
        <v>726</v>
      </c>
      <c r="E111" s="895">
        <v>0.2</v>
      </c>
      <c r="F111" s="882">
        <v>30</v>
      </c>
    </row>
    <row r="112" spans="1:6" s="878" customFormat="1" ht="24">
      <c r="A112" s="882">
        <v>52</v>
      </c>
      <c r="B112" s="3282"/>
      <c r="C112" s="882" t="s">
        <v>727</v>
      </c>
      <c r="D112" s="818" t="s">
        <v>728</v>
      </c>
      <c r="E112" s="895">
        <v>0.2</v>
      </c>
      <c r="F112" s="882">
        <v>30</v>
      </c>
    </row>
    <row r="113" spans="1:6" s="878" customFormat="1" ht="24">
      <c r="A113" s="882">
        <v>53</v>
      </c>
      <c r="B113" s="328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2" t="s">
        <v>737</v>
      </c>
      <c r="C116" s="882" t="s">
        <v>738</v>
      </c>
      <c r="D116" s="818" t="s">
        <v>739</v>
      </c>
      <c r="E116" s="895">
        <v>0.2</v>
      </c>
      <c r="F116" s="882">
        <v>30</v>
      </c>
    </row>
    <row r="117" spans="1:6" ht="36">
      <c r="A117" s="882">
        <v>57</v>
      </c>
      <c r="B117" s="328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6">
        <f ca="1">SUMIF(INDIRECT("'"&amp;A6&amp;"'"&amp;"!C:C"),"建筑面积",INDIRECT("'"&amp;A6&amp;"'"&amp;"!D:D"))</f>
        <v>0</v>
      </c>
    </row>
    <row r="7" spans="1:5" ht="15.75">
      <c r="A7" s="2913"/>
      <c r="B7" s="2909" t="e">
        <f ca="1">SUMIF(INDIRECT("'"&amp;A7&amp;"'"&amp;"!A:A"),"总价",INDIRECT("'"&amp;A7&amp;"'"&amp;"!B:B"))</f>
        <v>#REF!</v>
      </c>
      <c r="C7" s="2908" t="s">
        <v>2997</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6" t="e">
        <f t="shared" ca="1" si="0"/>
        <v>#REF!</v>
      </c>
    </row>
    <row r="9" spans="1:5" ht="15.75">
      <c r="A9" s="2913"/>
      <c r="B9" s="2909" t="e">
        <f t="shared" ca="1" si="1"/>
        <v>#REF!</v>
      </c>
      <c r="C9" s="2908" t="s">
        <v>2997</v>
      </c>
      <c r="D9" s="2910"/>
      <c r="E9" s="2576" t="e">
        <f t="shared" ca="1" si="0"/>
        <v>#REF!</v>
      </c>
    </row>
    <row r="10" spans="1:5" ht="15.75">
      <c r="A10" s="2913"/>
      <c r="B10" s="2909" t="e">
        <f t="shared" ca="1" si="1"/>
        <v>#REF!</v>
      </c>
      <c r="C10" s="2908" t="s">
        <v>2997</v>
      </c>
      <c r="D10" s="2910"/>
      <c r="E10" s="2576" t="e">
        <f t="shared" ca="1" si="0"/>
        <v>#REF!</v>
      </c>
    </row>
    <row r="11" spans="1:5" ht="15.75">
      <c r="A11" s="2913"/>
      <c r="B11" s="2909" t="e">
        <f t="shared" ca="1" si="1"/>
        <v>#REF!</v>
      </c>
      <c r="C11" s="2908" t="s">
        <v>2997</v>
      </c>
      <c r="D11" s="2910"/>
      <c r="E11" s="2576" t="e">
        <f t="shared" ca="1" si="0"/>
        <v>#REF!</v>
      </c>
    </row>
    <row r="12" spans="1:5" ht="15.75">
      <c r="A12" s="2913"/>
      <c r="B12" s="2909" t="e">
        <f t="shared" ca="1" si="1"/>
        <v>#REF!</v>
      </c>
      <c r="C12" s="2908" t="s">
        <v>2997</v>
      </c>
      <c r="D12" s="2910"/>
      <c r="E12" s="2576" t="e">
        <f t="shared" ca="1" si="0"/>
        <v>#REF!</v>
      </c>
    </row>
    <row r="13" spans="1:5" ht="15.75">
      <c r="A13" s="2913"/>
      <c r="B13" s="2909" t="e">
        <f t="shared" ca="1" si="1"/>
        <v>#REF!</v>
      </c>
      <c r="C13" s="2908" t="s">
        <v>2997</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估价结果一览表（市场价值不需“结果表-1”）</v>
      </c>
      <c r="B3" s="2979"/>
      <c r="C3" s="2979"/>
      <c r="D3" s="2979"/>
      <c r="E3" s="2979"/>
    </row>
    <row r="4" spans="1:5" ht="19.5" thickBot="1">
      <c r="A4" s="1964"/>
      <c r="B4" s="2977" t="s">
        <v>1630</v>
      </c>
      <c r="C4" s="2977"/>
      <c r="D4" s="2977"/>
      <c r="E4" s="1964"/>
    </row>
    <row r="5" spans="1:5" ht="16.5" thickTop="1">
      <c r="A5" s="1962"/>
      <c r="B5" s="2975" t="s">
        <v>1622</v>
      </c>
      <c r="C5" s="1965" t="s">
        <v>1623</v>
      </c>
      <c r="D5" s="1043">
        <f ca="1">结果表!H101</f>
        <v>52980</v>
      </c>
      <c r="E5" s="1962"/>
    </row>
    <row r="6" spans="1:5" ht="15.75">
      <c r="A6" s="1962"/>
      <c r="B6" s="2975"/>
      <c r="C6" s="1965" t="s">
        <v>1624</v>
      </c>
      <c r="D6" s="1043" t="str">
        <f ca="1">NUMBERSTRING(INT(D5*10000),2)&amp;"元整"</f>
        <v>伍亿贰仟玖佰捌拾万元整</v>
      </c>
      <c r="E6" s="1962"/>
    </row>
    <row r="7" spans="1:5" ht="15.75">
      <c r="A7" s="1962"/>
      <c r="B7" s="2980"/>
      <c r="C7" s="1966" t="s">
        <v>1625</v>
      </c>
      <c r="D7" s="1044">
        <f ca="1">结果表!H102</f>
        <v>7914</v>
      </c>
      <c r="E7" s="1962"/>
    </row>
    <row r="8" spans="1:5" ht="15.75">
      <c r="A8" s="1962"/>
      <c r="B8" s="2981" t="str">
        <f>结果表!E103</f>
        <v>2.估价师知悉的法定优先受偿款</v>
      </c>
      <c r="C8" s="1967" t="s">
        <v>1626</v>
      </c>
      <c r="D8" s="1044">
        <f>结果表!H103</f>
        <v>0</v>
      </c>
      <c r="E8" s="1962"/>
    </row>
    <row r="9" spans="1:5" ht="15.75">
      <c r="A9" s="1962"/>
      <c r="B9" s="298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4" t="str">
        <f>结果表!E107</f>
        <v>3.房地产抵押价值</v>
      </c>
      <c r="C13" s="1970" t="s">
        <v>1623</v>
      </c>
      <c r="D13" s="1046">
        <f ca="1">结果表!H107</f>
        <v>52980</v>
      </c>
      <c r="E13" s="1962"/>
    </row>
    <row r="14" spans="1:5" ht="15.75">
      <c r="A14" s="1962"/>
      <c r="B14" s="2975"/>
      <c r="C14" s="1965" t="s">
        <v>1624</v>
      </c>
      <c r="D14" s="1043" t="str">
        <f ca="1">NUMBERSTRING(INT(D13*10000),2)&amp;"元整"</f>
        <v>伍亿贰仟玖佰捌拾万元整</v>
      </c>
      <c r="E14" s="1962"/>
    </row>
    <row r="15" spans="1:5" ht="15">
      <c r="A15" s="1962"/>
      <c r="B15" s="2980"/>
      <c r="C15" s="1966" t="s">
        <v>1634</v>
      </c>
      <c r="D15" s="1055">
        <f ca="1">结果表!H108</f>
        <v>4920</v>
      </c>
      <c r="E15" s="1962"/>
    </row>
    <row r="16" spans="1:5" ht="15">
      <c r="A16" s="1962"/>
      <c r="B16" s="2981" t="str">
        <f>结果表!E109</f>
        <v>——</v>
      </c>
      <c r="C16" s="1970" t="s">
        <v>1635</v>
      </c>
      <c r="D16" s="1971" t="str">
        <f>结果表!H109</f>
        <v>——</v>
      </c>
      <c r="E16" s="1962"/>
    </row>
    <row r="17" spans="1:5" ht="15.75">
      <c r="A17" s="1962"/>
      <c r="B17" s="2982"/>
      <c r="C17" s="1965" t="s">
        <v>1636</v>
      </c>
      <c r="D17" s="1043" t="e">
        <f>NUMBERSTRING(INT(D16*10000),2)&amp;"元整"</f>
        <v>#VALUE!</v>
      </c>
      <c r="E17" s="1962"/>
    </row>
    <row r="18" spans="1:5" ht="15">
      <c r="A18" s="1962"/>
      <c r="B18" s="2983"/>
      <c r="C18" s="1966" t="s">
        <v>1625</v>
      </c>
      <c r="D18" s="1055" t="str">
        <f>结果表!H110</f>
        <v>——</v>
      </c>
      <c r="E18" s="1962"/>
    </row>
    <row r="19" spans="1:5" ht="15.75">
      <c r="A19" s="1962"/>
      <c r="B19" s="2974" t="str">
        <f>结果表!E111</f>
        <v>——</v>
      </c>
      <c r="C19" s="1970" t="s">
        <v>1623</v>
      </c>
      <c r="D19" s="1044" t="str">
        <f>结果表!H111</f>
        <v>——</v>
      </c>
      <c r="E19" s="1962"/>
    </row>
    <row r="20" spans="1:5" ht="15.75">
      <c r="A20" s="1962"/>
      <c r="B20" s="2975"/>
      <c r="C20" s="1965" t="s">
        <v>1636</v>
      </c>
      <c r="D20" s="1043" t="e">
        <f>NUMBERSTRING(INT(D19*10000),2)&amp;"元整"</f>
        <v>#VALUE!</v>
      </c>
      <c r="E20" s="1962"/>
    </row>
    <row r="21" spans="1:5" ht="15.75" thickBot="1">
      <c r="A21" s="1962"/>
      <c r="B21" s="297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8" t="s">
        <v>1150</v>
      </c>
      <c r="C1" s="3288"/>
      <c r="D1" s="3288"/>
      <c r="E1" s="3288"/>
      <c r="F1" s="3288"/>
      <c r="G1" s="3287" t="s">
        <v>1151</v>
      </c>
      <c r="H1" s="3287"/>
      <c r="I1" s="3287"/>
      <c r="J1" s="3287"/>
      <c r="K1" s="3287"/>
      <c r="L1" s="3287"/>
      <c r="N1" s="3287" t="s">
        <v>1152</v>
      </c>
      <c r="O1" s="3287"/>
      <c r="P1" s="3287"/>
      <c r="Q1" s="3287"/>
      <c r="R1" s="1449"/>
      <c r="S1" s="3287" t="s">
        <v>1153</v>
      </c>
      <c r="T1" s="3287"/>
      <c r="U1" s="3287"/>
      <c r="V1" s="3287"/>
      <c r="X1" s="3286" t="s">
        <v>1154</v>
      </c>
      <c r="Y1" s="3287"/>
      <c r="Z1" s="3287"/>
      <c r="AA1" s="3287"/>
      <c r="AB1" s="3287"/>
      <c r="AD1" s="3286" t="s">
        <v>1155</v>
      </c>
      <c r="AE1" s="3287"/>
      <c r="AF1" s="3287"/>
      <c r="AG1" s="3287"/>
      <c r="AH1" s="328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3039</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3046</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39">
        <v>2018</v>
      </c>
      <c r="H5" s="1733">
        <v>3</v>
      </c>
      <c r="I5" s="2922">
        <v>0</v>
      </c>
      <c r="J5" s="2922">
        <v>0</v>
      </c>
      <c r="K5" s="2922">
        <v>0</v>
      </c>
      <c r="L5" s="2922">
        <v>0</v>
      </c>
      <c r="N5" s="1470">
        <f>I5/100</f>
        <v>0</v>
      </c>
      <c r="O5" s="1470">
        <f t="shared" ref="O5" si="7">J5/100</f>
        <v>0</v>
      </c>
      <c r="P5" s="1470">
        <f t="shared" ref="P5" si="8">K5/100</f>
        <v>0</v>
      </c>
      <c r="Q5" s="1470">
        <f t="shared" ref="Q5" si="9">L5/100</f>
        <v>0</v>
      </c>
      <c r="R5" s="1735"/>
      <c r="S5" s="1736"/>
      <c r="T5" s="1735"/>
      <c r="U5" s="1735"/>
      <c r="V5" s="1735"/>
      <c r="W5" s="2926" t="s">
        <v>3040</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3047</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7"/>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3038</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7"/>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3035</v>
      </c>
      <c r="B8" s="1472">
        <v>439</v>
      </c>
      <c r="C8" s="1472">
        <v>327</v>
      </c>
      <c r="D8" s="1472">
        <f>C8</f>
        <v>327</v>
      </c>
      <c r="E8" s="1472">
        <v>627</v>
      </c>
      <c r="F8" s="1473">
        <v>283</v>
      </c>
      <c r="G8" s="2924">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3036</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0"/>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9"/>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0"/>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89">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4"/>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4"/>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5"/>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3">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4"/>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4"/>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5"/>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3">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4"/>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4"/>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5"/>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90">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1"/>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91"/>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2"/>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3">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4"/>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4"/>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85"/>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3">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4">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4">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5">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3">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4">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4">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5">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3">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4">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4">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5">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3">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4">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4">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5">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3">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4">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4">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5">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3">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4">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4">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5">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3">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4">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4">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5">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3">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4">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4">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5">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3">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4">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4">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85">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3">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4">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4">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85">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94" t="s">
        <v>3007</v>
      </c>
      <c r="D1" s="3295"/>
      <c r="E1" s="3295"/>
      <c r="F1" s="3295"/>
      <c r="G1" s="3295"/>
      <c r="H1" s="3295"/>
      <c r="I1" s="3295"/>
      <c r="J1" s="3295"/>
      <c r="K1" s="3295"/>
      <c r="L1" s="3295"/>
      <c r="M1" s="3295"/>
      <c r="N1" s="3295"/>
      <c r="O1" s="3295"/>
      <c r="P1" s="3295"/>
      <c r="Q1" s="3295"/>
      <c r="R1" s="3295"/>
      <c r="S1" s="3296"/>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3016</v>
      </c>
      <c r="B17" s="2915"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17" t="s">
        <v>3020</v>
      </c>
      <c r="E20" s="1796"/>
      <c r="F20" s="1207" t="e">
        <f ca="1">SUMIF(INDIRECT("'"&amp;H20&amp;"'"&amp;"!A:A"),"承租人权益价值",INDIRECT("'"&amp;H20&amp;"'"&amp;"!c:c"))</f>
        <v>#REF!</v>
      </c>
      <c r="G20" s="1207" t="s">
        <v>3021</v>
      </c>
      <c r="H20" s="2918"/>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54" t="s">
        <v>33</v>
      </c>
      <c r="D22" s="3155"/>
      <c r="E22" s="3155"/>
      <c r="F22" s="3155"/>
      <c r="G22" s="3155"/>
      <c r="H22" s="3155"/>
      <c r="I22" s="3155"/>
      <c r="J22" s="3155"/>
      <c r="K22" s="3155"/>
      <c r="L22" s="3155"/>
      <c r="M22" s="3155"/>
      <c r="N22" s="3155"/>
      <c r="O22" s="3155"/>
      <c r="P22" s="3155"/>
      <c r="Q22" s="3293"/>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62000</v>
      </c>
      <c r="C2" s="2" t="s">
        <v>133</v>
      </c>
      <c r="D2" s="243"/>
      <c r="E2" s="243"/>
      <c r="F2" s="243"/>
      <c r="G2" s="243"/>
    </row>
    <row r="3" spans="1:7" s="244" customFormat="1" ht="18" customHeight="1" thickBot="1">
      <c r="A3" s="247" t="s">
        <v>85</v>
      </c>
      <c r="B3" s="248">
        <f ca="1">ROUND(B2*10000/'数据-汇总表'!E3,0)</f>
        <v>5757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1071</v>
      </c>
      <c r="D9" s="1035">
        <f>'数据-汇总表'!E5</f>
        <v>66946.100000000006</v>
      </c>
      <c r="E9" s="269">
        <f>'数据-取费表'!B27</f>
        <v>160</v>
      </c>
      <c r="F9" s="265"/>
      <c r="G9" s="270"/>
    </row>
    <row r="10" spans="1:7" s="258" customFormat="1" ht="13.5" customHeight="1">
      <c r="A10" s="953" t="s">
        <v>801</v>
      </c>
      <c r="B10" s="268" t="s">
        <v>94</v>
      </c>
      <c r="C10" s="269">
        <f>ROUND(D10*E10/10000,0)</f>
        <v>815</v>
      </c>
      <c r="D10" s="1035">
        <f>'数据-汇总表'!E6</f>
        <v>40746.699999999997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1615</v>
      </c>
      <c r="D19" s="1039">
        <f>'数据-汇总表'!E3</f>
        <v>107692.8</v>
      </c>
      <c r="E19" s="255">
        <f>'数据-取费表'!B31</f>
        <v>150</v>
      </c>
      <c r="F19" s="275"/>
      <c r="G19" s="1" t="s">
        <v>1074</v>
      </c>
    </row>
    <row r="20" spans="1:7" s="258" customFormat="1" ht="13.5" customHeight="1">
      <c r="A20" s="951" t="s">
        <v>1057</v>
      </c>
      <c r="B20" s="254" t="s">
        <v>104</v>
      </c>
      <c r="C20" s="276">
        <f>ROUND((C5+C19)*F20,0)</f>
        <v>222</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2091</v>
      </c>
      <c r="D22" s="279">
        <f ca="1">C26</f>
        <v>5.0000000000000001E-4</v>
      </c>
      <c r="E22" s="280" t="s">
        <v>126</v>
      </c>
      <c r="F22" s="281">
        <f ca="1">'数据-取费表'!B40</f>
        <v>6.1500000000000006E-2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1930</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151</v>
      </c>
      <c r="D24" s="282"/>
      <c r="E24" s="282"/>
      <c r="F24" s="283"/>
      <c r="G24" s="284" t="s">
        <v>109</v>
      </c>
    </row>
    <row r="25" spans="1:7" s="258" customFormat="1" ht="24">
      <c r="A25" s="954" t="s">
        <v>793</v>
      </c>
      <c r="B25" s="259" t="s">
        <v>1058</v>
      </c>
      <c r="C25" s="1358">
        <f ca="1">ROUND(IF('数据-取费表'!B22&lt;=1,C20*F22*'数据-取费表'!B23/2,C20*(POWER((1+F22),'数据-取费表'!B23/2)-1)),0)</f>
        <v>10</v>
      </c>
      <c r="D25" s="282"/>
      <c r="E25" s="285"/>
      <c r="F25" s="283"/>
      <c r="G25" s="286" t="s">
        <v>110</v>
      </c>
    </row>
    <row r="26" spans="1:7" s="258" customFormat="1">
      <c r="A26" s="954" t="s">
        <v>795</v>
      </c>
      <c r="B26" s="259" t="s">
        <v>1060</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673</v>
      </c>
      <c r="D27" s="279">
        <f>C29</f>
        <v>2.9999999999999997E-4</v>
      </c>
      <c r="E27" s="280" t="s">
        <v>126</v>
      </c>
      <c r="F27" s="290">
        <f>'数据-取费表'!Q16</f>
        <v>0.03</v>
      </c>
      <c r="G27" s="291" t="s">
        <v>1069</v>
      </c>
    </row>
    <row r="28" spans="1:7" s="258" customFormat="1" ht="13.5" customHeight="1">
      <c r="A28" s="954" t="s">
        <v>794</v>
      </c>
      <c r="B28" s="292" t="s">
        <v>1062</v>
      </c>
      <c r="C28" s="293">
        <f>ROUND((C5+C19+C20)*F27*'数据-取费表'!B21/'数据-取费表'!B20,0)</f>
        <v>673</v>
      </c>
      <c r="D28" s="279"/>
      <c r="E28" s="280"/>
      <c r="F28" s="290"/>
      <c r="G28" s="291"/>
    </row>
    <row r="29" spans="1:7" s="258" customFormat="1" ht="13.5" customHeight="1">
      <c r="A29" s="954" t="s">
        <v>792</v>
      </c>
      <c r="B29" s="292" t="s">
        <v>1063</v>
      </c>
      <c r="C29" s="282">
        <f>ROUND(C21*F27*'数据-取费表'!B21/'数据-取费表'!B20,4)</f>
        <v>2.9999999999999997E-4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26911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30253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26924</v>
      </c>
      <c r="D34" s="261"/>
      <c r="E34" s="264"/>
      <c r="F34" s="301">
        <f>IF('数据-取费表'!B24=0,1,'数据-取费表'!N16)</f>
        <v>1</v>
      </c>
      <c r="G34" s="263" t="s">
        <v>116</v>
      </c>
    </row>
    <row r="35" spans="1:7" ht="13.5" customHeight="1">
      <c r="A35" s="954" t="s">
        <v>796</v>
      </c>
      <c r="B35" s="259" t="s">
        <v>60</v>
      </c>
      <c r="C35" s="264">
        <f>ROUND(C34*F35,0)</f>
        <v>808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502</v>
      </c>
      <c r="D36" s="264"/>
      <c r="E36" s="264"/>
      <c r="F36" s="303">
        <f>'数据-取费表'!B34</f>
        <v>0.03</v>
      </c>
      <c r="G36" s="304" t="s">
        <v>62</v>
      </c>
    </row>
    <row r="37" spans="1:7" s="302" customFormat="1" ht="13.5" customHeight="1">
      <c r="A37" s="954" t="s">
        <v>798</v>
      </c>
      <c r="B37" s="259" t="s">
        <v>118</v>
      </c>
      <c r="C37" s="293">
        <f>ROUND(E37*D37*F34/10000,0)</f>
        <v>1615</v>
      </c>
      <c r="D37" s="261">
        <f>'数据-汇总表'!E3</f>
        <v>107692.8</v>
      </c>
      <c r="E37" s="293">
        <f>'数据-取费表'!B35</f>
        <v>150</v>
      </c>
      <c r="F37" s="303"/>
      <c r="G37" s="305" t="s">
        <v>119</v>
      </c>
    </row>
    <row r="38" spans="1:7" ht="13.5" customHeight="1">
      <c r="A38" s="954" t="s">
        <v>799</v>
      </c>
      <c r="B38" s="259" t="s">
        <v>63</v>
      </c>
      <c r="C38" s="264">
        <f>ROUND(C34*F38,0)</f>
        <v>404</v>
      </c>
      <c r="D38" s="264"/>
      <c r="E38" s="264"/>
      <c r="F38" s="303">
        <f>'数据-取费表'!B36</f>
        <v>1.4999999999999999E-2</v>
      </c>
      <c r="G38" s="263" t="s">
        <v>117</v>
      </c>
    </row>
    <row r="39" spans="1:7" s="258" customFormat="1" ht="13.5" customHeight="1">
      <c r="A39" s="951" t="s">
        <v>783</v>
      </c>
      <c r="B39" s="254" t="s">
        <v>104</v>
      </c>
      <c r="C39" s="276">
        <f>ROUND(C33*F20,0)</f>
        <v>303</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1399</v>
      </c>
      <c r="D41" s="279">
        <f ca="1">C44</f>
        <v>5.0000000000000001E-4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1385</v>
      </c>
      <c r="D42" s="282"/>
      <c r="E42" s="282"/>
      <c r="F42" s="283"/>
      <c r="G42" s="3202" t="s">
        <v>121</v>
      </c>
    </row>
    <row r="43" spans="1:7" ht="13.5" customHeight="1">
      <c r="A43" s="954" t="s">
        <v>792</v>
      </c>
      <c r="B43" s="259" t="s">
        <v>1064</v>
      </c>
      <c r="C43" s="282">
        <f ca="1">ROUND(IF('数据-取费表'!B22&lt;=1,C39*F22*'数据-取费表'!B21/2,C39*(POWER((1+F22),'数据-取费表'!B21/2)-1)),0)</f>
        <v>14</v>
      </c>
      <c r="D43" s="282"/>
      <c r="E43" s="282"/>
      <c r="F43" s="283"/>
      <c r="G43" s="3203"/>
    </row>
    <row r="44" spans="1:7" ht="13.5" customHeight="1">
      <c r="A44" s="954" t="s">
        <v>793</v>
      </c>
      <c r="B44" s="259" t="s">
        <v>1066</v>
      </c>
      <c r="C44" s="282">
        <f ca="1">ROUND(IF('数据-取费表'!B22&lt;=1,C40*F22*'数据-取费表'!B21/2,C40*(POWER((1+F22),'数据-取费表'!B21/2)-1)),4)</f>
        <v>5.0000000000000001E-4</v>
      </c>
      <c r="D44" s="282"/>
      <c r="E44" s="282"/>
      <c r="F44" s="283"/>
      <c r="G44" s="3204"/>
    </row>
    <row r="45" spans="1:7" s="258" customFormat="1" ht="13.5" customHeight="1">
      <c r="A45" s="951" t="s">
        <v>786</v>
      </c>
      <c r="B45" s="288" t="s">
        <v>112</v>
      </c>
      <c r="C45" s="289">
        <f>C46</f>
        <v>917</v>
      </c>
      <c r="D45" s="279">
        <f>C47</f>
        <v>2.9999999999999997E-4</v>
      </c>
      <c r="E45" s="280" t="s">
        <v>129</v>
      </c>
      <c r="F45" s="290"/>
      <c r="G45" s="291" t="s">
        <v>1072</v>
      </c>
    </row>
    <row r="46" spans="1:7" s="258" customFormat="1" ht="13.5" customHeight="1">
      <c r="A46" s="954" t="s">
        <v>794</v>
      </c>
      <c r="B46" s="292" t="s">
        <v>1065</v>
      </c>
      <c r="C46" s="293">
        <f>ROUND((C33+C39)*F27,0)</f>
        <v>917</v>
      </c>
      <c r="D46" s="307"/>
      <c r="E46" s="280"/>
      <c r="F46" s="290"/>
      <c r="G46" s="291"/>
    </row>
    <row r="47" spans="1:7" s="258" customFormat="1" ht="13.5" customHeight="1">
      <c r="A47" s="954" t="s">
        <v>792</v>
      </c>
      <c r="B47" s="292" t="s">
        <v>1067</v>
      </c>
      <c r="C47" s="282">
        <f>ROUND(C40*F27,4)</f>
        <v>2.9999999999999997E-4</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35089</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35089</v>
      </c>
      <c r="D51" s="276"/>
      <c r="E51" s="276"/>
      <c r="F51" s="308"/>
      <c r="G51" s="278" t="s">
        <v>64</v>
      </c>
    </row>
    <row r="52" spans="1:7" s="252" customFormat="1" ht="16.5" thickBot="1">
      <c r="A52" s="309" t="s">
        <v>65</v>
      </c>
      <c r="B52" s="310"/>
      <c r="C52" s="311">
        <f ca="1">C31+C51</f>
        <v>62000</v>
      </c>
      <c r="D52" s="310"/>
      <c r="E52" s="310"/>
      <c r="F52" s="310"/>
      <c r="G52" s="312"/>
    </row>
    <row r="55" spans="1:7" ht="15">
      <c r="B55" s="314" t="s">
        <v>66</v>
      </c>
      <c r="C55" s="315"/>
    </row>
    <row r="56" spans="1:7">
      <c r="B56" s="317" t="s">
        <v>67</v>
      </c>
      <c r="C56" s="318">
        <f ca="1">ROUND(C51/C52,3)</f>
        <v>0.56599999999999995</v>
      </c>
    </row>
    <row r="57" spans="1:7">
      <c r="B57" s="317" t="s">
        <v>68</v>
      </c>
      <c r="C57" s="319">
        <f ca="1">1-C56</f>
        <v>0.43400000000000005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871</v>
      </c>
      <c r="B1" s="329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41273</v>
      </c>
      <c r="D1" s="1703" t="s">
        <v>1301</v>
      </c>
      <c r="E1" s="1698">
        <f>'数据-取费表'!B22</f>
        <v>1.5</v>
      </c>
      <c r="F1" s="1703" t="s">
        <v>1302</v>
      </c>
      <c r="G1" s="1699">
        <f ca="1">INDIRECT("d"&amp;$K$1)/100</f>
        <v>6.1500000000000006E-2</v>
      </c>
      <c r="H1" s="1703" t="s">
        <v>1332</v>
      </c>
      <c r="I1" s="1699">
        <f ca="1">F4/100</f>
        <v>0.03</v>
      </c>
      <c r="J1" s="1704">
        <f>IF(C1&gt;C13,0,MATCH(C1,C$13:C$100,-1))+IF(SUMIF(C13:C100,C1,D13:D100)=0,13,12)</f>
        <v>19</v>
      </c>
      <c r="K1" s="1704">
        <f>MATCH(E1,C3:C7,1)+IF(SUMIF(C3:C7,E1,D3:D7)=0,2,1)</f>
        <v>5</v>
      </c>
      <c r="L1" s="1704">
        <f>IF(C1&gt;M13,0,MATCH(C1,M$13:M$100,-1))+IF(SUMIF(M13:M100,C1,N13:N100)=0,13,12)</f>
        <v>19</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5.6</v>
      </c>
      <c r="E3" s="1645">
        <v>0.5</v>
      </c>
      <c r="F3" s="1646">
        <f ca="1">INDIRECT("p"&amp;$L$1)</f>
        <v>2.8</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6</v>
      </c>
      <c r="E4" s="1651">
        <v>1</v>
      </c>
      <c r="F4" s="1652">
        <f ca="1">INDIRECT("q"&amp;$L$1)</f>
        <v>3</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6.15</v>
      </c>
      <c r="E5" s="1651">
        <v>2</v>
      </c>
      <c r="F5" s="1652">
        <f ca="1">INDIRECT("r"&amp;$L$1)</f>
        <v>3.75</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6.4</v>
      </c>
      <c r="E6" s="1651">
        <v>3</v>
      </c>
      <c r="F6" s="1652">
        <f ca="1">INDIRECT("s"&amp;$L$1)</f>
        <v>4.25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6.55</v>
      </c>
      <c r="E7" s="1656">
        <v>5</v>
      </c>
      <c r="F7" s="1657">
        <f ca="1">INDIRECT("t"&amp;$L$1)</f>
        <v>4.75</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6"/>
  <sheetViews>
    <sheetView workbookViewId="0">
      <selection activeCell="A34" sqref="A34"/>
    </sheetView>
  </sheetViews>
  <sheetFormatPr defaultRowHeight="13.5"/>
  <cols>
    <col min="5" max="5" width="0" hidden="1" customWidth="1"/>
    <col min="9" max="9" width="31" customWidth="1"/>
    <col min="13" max="13" width="0" hidden="1" customWidth="1"/>
    <col min="16" max="18" width="0" hidden="1" customWidth="1"/>
    <col min="19" max="19" width="80.75" customWidth="1"/>
    <col min="24" max="24" width="11.25" customWidth="1"/>
    <col min="41" max="41" width="32.625" customWidth="1"/>
  </cols>
  <sheetData>
    <row r="1" spans="1:44" s="1638" customFormat="1">
      <c r="A1" s="1638" t="s">
        <v>3096</v>
      </c>
      <c r="B1" s="1638" t="s">
        <v>3097</v>
      </c>
      <c r="C1" s="1638" t="s">
        <v>3098</v>
      </c>
      <c r="D1" s="1638" t="s">
        <v>3099</v>
      </c>
      <c r="E1" s="1638" t="s">
        <v>3100</v>
      </c>
      <c r="F1" s="1638" t="s">
        <v>3101</v>
      </c>
      <c r="G1" s="1638" t="s">
        <v>3102</v>
      </c>
      <c r="H1" s="1638" t="s">
        <v>3103</v>
      </c>
      <c r="I1" s="1638" t="s">
        <v>3104</v>
      </c>
      <c r="J1" s="1638" t="s">
        <v>3105</v>
      </c>
      <c r="K1" s="1638" t="s">
        <v>3106</v>
      </c>
      <c r="L1" s="1638" t="s">
        <v>3107</v>
      </c>
      <c r="M1" s="1638" t="s">
        <v>3108</v>
      </c>
      <c r="N1" s="1638" t="s">
        <v>3109</v>
      </c>
      <c r="O1" s="1638" t="s">
        <v>3110</v>
      </c>
      <c r="P1" s="1638" t="s">
        <v>3111</v>
      </c>
      <c r="Q1" s="1638" t="s">
        <v>3112</v>
      </c>
      <c r="R1" s="1638" t="s">
        <v>3113</v>
      </c>
      <c r="S1" s="1638" t="s">
        <v>3114</v>
      </c>
      <c r="T1" s="1638" t="s">
        <v>3115</v>
      </c>
      <c r="U1" s="1638" t="s">
        <v>3116</v>
      </c>
      <c r="V1" s="1638" t="s">
        <v>3117</v>
      </c>
      <c r="W1" s="1638" t="s">
        <v>3118</v>
      </c>
      <c r="X1" s="1638" t="s">
        <v>3259</v>
      </c>
      <c r="Y1" s="1638" t="s">
        <v>3260</v>
      </c>
      <c r="Z1" s="1638" t="s">
        <v>3261</v>
      </c>
      <c r="AA1" s="1638" t="s">
        <v>3119</v>
      </c>
      <c r="AB1" s="1638" t="s">
        <v>3262</v>
      </c>
      <c r="AC1" s="1638" t="s">
        <v>3263</v>
      </c>
      <c r="AD1" s="1638" t="s">
        <v>3120</v>
      </c>
      <c r="AE1" s="1638" t="s">
        <v>3264</v>
      </c>
      <c r="AF1" s="1638" t="s">
        <v>3265</v>
      </c>
      <c r="AG1" s="1638" t="s">
        <v>3121</v>
      </c>
      <c r="AH1" s="1638" t="s">
        <v>3266</v>
      </c>
      <c r="AI1" s="1638" t="s">
        <v>3122</v>
      </c>
      <c r="AJ1" s="1638" t="s">
        <v>3267</v>
      </c>
      <c r="AK1" s="1638" t="s">
        <v>3123</v>
      </c>
      <c r="AL1" s="1638" t="s">
        <v>3268</v>
      </c>
      <c r="AM1" s="1638" t="s">
        <v>3124</v>
      </c>
      <c r="AN1" s="1638" t="s">
        <v>3125</v>
      </c>
      <c r="AO1" s="1638" t="s">
        <v>3269</v>
      </c>
      <c r="AP1" s="1638" t="s">
        <v>3270</v>
      </c>
      <c r="AQ1" s="1638" t="s">
        <v>3271</v>
      </c>
      <c r="AR1" s="1638" t="s">
        <v>3272</v>
      </c>
    </row>
    <row r="2" spans="1:44" s="1638" customFormat="1" ht="14.25">
      <c r="A2" s="2970" t="s">
        <v>3337</v>
      </c>
      <c r="B2" s="1638" t="s">
        <v>3050</v>
      </c>
      <c r="C2" s="1638" t="s">
        <v>3126</v>
      </c>
      <c r="D2" s="1638" t="s">
        <v>3127</v>
      </c>
      <c r="E2" s="1638" t="s">
        <v>1331</v>
      </c>
      <c r="F2" s="1638" t="s">
        <v>3194</v>
      </c>
      <c r="G2" s="1638" t="s">
        <v>3128</v>
      </c>
      <c r="H2" s="1638" t="s">
        <v>3195</v>
      </c>
      <c r="I2" s="1638" t="s">
        <v>3196</v>
      </c>
      <c r="J2" s="1638">
        <v>59119</v>
      </c>
      <c r="K2" s="1638">
        <v>122798</v>
      </c>
      <c r="L2" s="1638">
        <v>2.0099999999999998</v>
      </c>
      <c r="M2" s="1638" t="s">
        <v>1331</v>
      </c>
      <c r="N2" s="1638" t="s">
        <v>1331</v>
      </c>
      <c r="O2" s="1638" t="s">
        <v>1331</v>
      </c>
      <c r="P2" s="1638" t="s">
        <v>3197</v>
      </c>
      <c r="Q2" s="1638">
        <v>42000</v>
      </c>
      <c r="R2" s="1638">
        <v>42000</v>
      </c>
      <c r="S2" s="1638" t="s">
        <v>1331</v>
      </c>
      <c r="T2" s="1638" t="s">
        <v>1331</v>
      </c>
      <c r="U2" s="1638" t="s">
        <v>1331</v>
      </c>
      <c r="V2" s="1638" t="s">
        <v>1331</v>
      </c>
      <c r="W2" s="1638" t="s">
        <v>3198</v>
      </c>
      <c r="X2" s="1638" t="s">
        <v>3199</v>
      </c>
      <c r="Y2" s="1638" t="s">
        <v>3200</v>
      </c>
      <c r="Z2" s="1638" t="s">
        <v>3201</v>
      </c>
      <c r="AA2" s="1638" t="s">
        <v>3201</v>
      </c>
      <c r="AB2" s="1638" t="s">
        <v>3195</v>
      </c>
      <c r="AC2" s="1638" t="s">
        <v>3202</v>
      </c>
      <c r="AD2" s="1638" t="s">
        <v>3203</v>
      </c>
      <c r="AE2" s="1638">
        <v>4000</v>
      </c>
      <c r="AF2" s="1638">
        <v>17000</v>
      </c>
      <c r="AG2" s="1638">
        <v>100500</v>
      </c>
      <c r="AH2" s="1638">
        <v>191.7</v>
      </c>
      <c r="AI2" s="1638">
        <v>1133.31</v>
      </c>
      <c r="AJ2" s="1638">
        <v>1384.38</v>
      </c>
      <c r="AK2" s="1638">
        <v>8184.17</v>
      </c>
      <c r="AL2" s="1638">
        <v>2104</v>
      </c>
      <c r="AM2" s="1638">
        <v>12438</v>
      </c>
      <c r="AN2" s="1638">
        <v>491.18</v>
      </c>
      <c r="AO2" s="1638" t="s">
        <v>3204</v>
      </c>
      <c r="AP2" s="1638" t="s">
        <v>1331</v>
      </c>
      <c r="AQ2" s="1638" t="s">
        <v>1331</v>
      </c>
      <c r="AR2" s="1638" t="s">
        <v>1331</v>
      </c>
    </row>
    <row r="3" spans="1:44" s="1638" customFormat="1">
      <c r="A3" s="2972" t="s">
        <v>3340</v>
      </c>
      <c r="B3" s="1638" t="s">
        <v>3050</v>
      </c>
      <c r="C3" s="1638" t="s">
        <v>3126</v>
      </c>
      <c r="D3" s="1638" t="s">
        <v>3341</v>
      </c>
      <c r="E3" s="1638" t="s">
        <v>1331</v>
      </c>
      <c r="F3" s="1638" t="s">
        <v>3342</v>
      </c>
      <c r="G3" s="1638" t="s">
        <v>3128</v>
      </c>
      <c r="H3" s="1638" t="s">
        <v>3343</v>
      </c>
      <c r="I3" s="1638" t="s">
        <v>3344</v>
      </c>
      <c r="J3" s="1638">
        <v>76674</v>
      </c>
      <c r="K3" s="1638">
        <v>175155</v>
      </c>
      <c r="L3" s="1638">
        <v>2.2799999999999998</v>
      </c>
      <c r="M3" s="1638" t="s">
        <v>1331</v>
      </c>
      <c r="N3" s="1638" t="s">
        <v>1331</v>
      </c>
      <c r="O3" s="1638" t="s">
        <v>1331</v>
      </c>
      <c r="P3" s="1638" t="s">
        <v>1331</v>
      </c>
      <c r="Q3" s="1638" t="s">
        <v>1331</v>
      </c>
      <c r="R3" s="1638" t="s">
        <v>1331</v>
      </c>
      <c r="S3" s="1638" t="s">
        <v>1331</v>
      </c>
      <c r="T3" s="1638" t="s">
        <v>1331</v>
      </c>
      <c r="U3" s="1638" t="s">
        <v>1331</v>
      </c>
      <c r="V3" s="1638" t="s">
        <v>1331</v>
      </c>
      <c r="W3" s="1638" t="s">
        <v>3198</v>
      </c>
      <c r="X3" s="1638" t="s">
        <v>1331</v>
      </c>
      <c r="Y3" s="1638" t="s">
        <v>3239</v>
      </c>
      <c r="Z3" s="1638" t="s">
        <v>3240</v>
      </c>
      <c r="AA3" s="1638" t="s">
        <v>3240</v>
      </c>
      <c r="AB3" s="1638" t="s">
        <v>1331</v>
      </c>
      <c r="AC3" s="1638" t="s">
        <v>3202</v>
      </c>
      <c r="AD3" s="1638" t="s">
        <v>3345</v>
      </c>
      <c r="AE3" s="1638">
        <v>27000</v>
      </c>
      <c r="AF3" s="1638">
        <v>90000</v>
      </c>
      <c r="AG3" s="1638">
        <v>128000</v>
      </c>
      <c r="AH3" s="1638">
        <v>782.53</v>
      </c>
      <c r="AI3" s="1638">
        <v>1112.94</v>
      </c>
      <c r="AJ3" s="1638">
        <v>5138.3</v>
      </c>
      <c r="AK3" s="1638">
        <v>7307.81</v>
      </c>
      <c r="AL3" s="1638" t="s">
        <v>1331</v>
      </c>
      <c r="AM3" s="1638" t="s">
        <v>1331</v>
      </c>
      <c r="AN3" s="1638">
        <v>42.22</v>
      </c>
      <c r="AO3" s="1638" t="s">
        <v>3242</v>
      </c>
      <c r="AP3" s="1638" t="s">
        <v>1331</v>
      </c>
      <c r="AQ3" s="1638" t="s">
        <v>1331</v>
      </c>
      <c r="AR3" s="1638" t="s">
        <v>1331</v>
      </c>
    </row>
    <row r="4" spans="1:44" s="1638" customFormat="1">
      <c r="A4" s="2969" t="s">
        <v>3301</v>
      </c>
      <c r="B4" s="1638" t="s">
        <v>3050</v>
      </c>
      <c r="C4" s="1638" t="s">
        <v>3126</v>
      </c>
      <c r="D4" s="1638" t="s">
        <v>3127</v>
      </c>
      <c r="E4" s="1638" t="s">
        <v>1331</v>
      </c>
      <c r="F4" s="1638" t="s">
        <v>3302</v>
      </c>
      <c r="G4" s="1638" t="s">
        <v>3128</v>
      </c>
      <c r="H4" s="1638" t="s">
        <v>3303</v>
      </c>
      <c r="I4" s="1638" t="s">
        <v>3304</v>
      </c>
      <c r="J4" s="1638">
        <v>195824</v>
      </c>
      <c r="K4" s="1638">
        <v>466353</v>
      </c>
      <c r="L4" s="1638">
        <v>2.38</v>
      </c>
      <c r="M4" s="1638" t="s">
        <v>1331</v>
      </c>
      <c r="N4" s="1638" t="s">
        <v>1331</v>
      </c>
      <c r="O4" s="1638" t="s">
        <v>1331</v>
      </c>
      <c r="P4" s="1638" t="s">
        <v>3287</v>
      </c>
      <c r="Q4" s="1638">
        <v>130000</v>
      </c>
      <c r="R4" s="1638">
        <v>130000</v>
      </c>
      <c r="S4" s="1638" t="s">
        <v>3305</v>
      </c>
      <c r="T4" s="1638" t="s">
        <v>1331</v>
      </c>
      <c r="U4" s="1638" t="s">
        <v>1331</v>
      </c>
      <c r="V4" s="1638" t="s">
        <v>1331</v>
      </c>
      <c r="W4" s="1638" t="s">
        <v>3198</v>
      </c>
      <c r="X4" s="1638" t="s">
        <v>3306</v>
      </c>
      <c r="Y4" s="1638" t="s">
        <v>3307</v>
      </c>
      <c r="Z4" s="1638" t="s">
        <v>3308</v>
      </c>
      <c r="AA4" s="1638" t="s">
        <v>3308</v>
      </c>
      <c r="AB4" s="1638" t="s">
        <v>3303</v>
      </c>
      <c r="AC4" s="1638" t="s">
        <v>3202</v>
      </c>
      <c r="AD4" s="1638" t="s">
        <v>3309</v>
      </c>
      <c r="AE4" s="1638">
        <v>90000</v>
      </c>
      <c r="AF4" s="1638">
        <v>290000</v>
      </c>
      <c r="AG4" s="1638">
        <v>356000</v>
      </c>
      <c r="AH4" s="1638">
        <v>987.28</v>
      </c>
      <c r="AI4" s="1638">
        <v>1211.97</v>
      </c>
      <c r="AJ4" s="1638">
        <v>6218.46</v>
      </c>
      <c r="AK4" s="1638">
        <v>7633.69</v>
      </c>
      <c r="AL4" s="1638">
        <v>8622</v>
      </c>
      <c r="AM4" s="1638">
        <v>10584</v>
      </c>
      <c r="AN4" s="1638">
        <v>22.76</v>
      </c>
      <c r="AO4" s="1638" t="s">
        <v>3214</v>
      </c>
      <c r="AP4" s="1638" t="s">
        <v>1331</v>
      </c>
      <c r="AQ4" s="1638" t="s">
        <v>1331</v>
      </c>
      <c r="AR4" s="1638" t="s">
        <v>1331</v>
      </c>
    </row>
    <row r="6" spans="1:44" s="1638" customFormat="1">
      <c r="A6" s="1638" t="s">
        <v>3096</v>
      </c>
      <c r="B6" s="1638" t="s">
        <v>3097</v>
      </c>
      <c r="C6" s="1638" t="s">
        <v>3098</v>
      </c>
      <c r="D6" s="1638" t="s">
        <v>3099</v>
      </c>
      <c r="E6" s="1638" t="s">
        <v>3100</v>
      </c>
      <c r="F6" s="1638" t="s">
        <v>3101</v>
      </c>
      <c r="G6" s="1638" t="s">
        <v>3102</v>
      </c>
      <c r="H6" s="1638" t="s">
        <v>3103</v>
      </c>
      <c r="I6" s="1638" t="s">
        <v>3104</v>
      </c>
      <c r="J6" s="1638" t="s">
        <v>3105</v>
      </c>
      <c r="K6" s="1638" t="s">
        <v>3106</v>
      </c>
      <c r="L6" s="1638" t="s">
        <v>3107</v>
      </c>
      <c r="M6" s="1638" t="s">
        <v>3108</v>
      </c>
      <c r="N6" s="1638" t="s">
        <v>3109</v>
      </c>
      <c r="O6" s="1638" t="s">
        <v>3110</v>
      </c>
      <c r="P6" s="1638" t="s">
        <v>3111</v>
      </c>
      <c r="Q6" s="1638" t="s">
        <v>3112</v>
      </c>
      <c r="R6" s="1638" t="s">
        <v>3113</v>
      </c>
      <c r="S6" s="1638" t="s">
        <v>3114</v>
      </c>
      <c r="T6" s="1638" t="s">
        <v>3115</v>
      </c>
      <c r="U6" s="1638" t="s">
        <v>3116</v>
      </c>
      <c r="V6" s="1638" t="s">
        <v>3117</v>
      </c>
      <c r="W6" s="1638" t="s">
        <v>3118</v>
      </c>
      <c r="X6" s="1638" t="s">
        <v>3259</v>
      </c>
      <c r="Y6" s="1638" t="s">
        <v>3260</v>
      </c>
      <c r="Z6" s="1638" t="s">
        <v>3261</v>
      </c>
      <c r="AA6" s="1638" t="s">
        <v>3119</v>
      </c>
      <c r="AB6" s="1638" t="s">
        <v>3262</v>
      </c>
      <c r="AC6" s="1638" t="s">
        <v>3263</v>
      </c>
      <c r="AD6" s="1638" t="s">
        <v>3120</v>
      </c>
      <c r="AE6" s="1638" t="s">
        <v>3264</v>
      </c>
      <c r="AF6" s="1638" t="s">
        <v>3265</v>
      </c>
      <c r="AG6" s="1638" t="s">
        <v>3121</v>
      </c>
      <c r="AH6" s="1638" t="s">
        <v>3266</v>
      </c>
      <c r="AI6" s="1638" t="s">
        <v>3122</v>
      </c>
      <c r="AJ6" s="1638" t="s">
        <v>3267</v>
      </c>
      <c r="AK6" s="1638" t="s">
        <v>3123</v>
      </c>
      <c r="AL6" s="1638" t="s">
        <v>3268</v>
      </c>
      <c r="AM6" s="1638" t="s">
        <v>3124</v>
      </c>
      <c r="AN6" s="1638" t="s">
        <v>3125</v>
      </c>
      <c r="AO6" s="1638" t="s">
        <v>3269</v>
      </c>
      <c r="AP6" s="1638" t="s">
        <v>3270</v>
      </c>
      <c r="AQ6" s="1638" t="s">
        <v>3271</v>
      </c>
      <c r="AR6" s="1638" t="s">
        <v>3272</v>
      </c>
    </row>
    <row r="7" spans="1:44" s="1638" customFormat="1">
      <c r="A7" s="1638" t="s">
        <v>3193</v>
      </c>
      <c r="B7" s="1638" t="s">
        <v>3050</v>
      </c>
      <c r="C7" s="1638" t="s">
        <v>3126</v>
      </c>
      <c r="D7" s="1638" t="s">
        <v>3127</v>
      </c>
      <c r="E7" s="1638" t="s">
        <v>1331</v>
      </c>
      <c r="F7" s="1638" t="s">
        <v>3194</v>
      </c>
      <c r="G7" s="1638" t="s">
        <v>3128</v>
      </c>
      <c r="H7" s="1638" t="s">
        <v>3195</v>
      </c>
      <c r="I7" s="1638" t="s">
        <v>3196</v>
      </c>
      <c r="J7" s="1638">
        <v>59119</v>
      </c>
      <c r="K7" s="1638">
        <v>122798</v>
      </c>
      <c r="L7" s="1638">
        <v>2.0099999999999998</v>
      </c>
      <c r="M7" s="1638" t="s">
        <v>1331</v>
      </c>
      <c r="N7" s="1638" t="s">
        <v>1331</v>
      </c>
      <c r="O7" s="1638" t="s">
        <v>1331</v>
      </c>
      <c r="P7" s="1638" t="s">
        <v>3197</v>
      </c>
      <c r="Q7" s="1638">
        <v>42000</v>
      </c>
      <c r="R7" s="1638">
        <v>42000</v>
      </c>
      <c r="S7" s="1638" t="s">
        <v>1331</v>
      </c>
      <c r="T7" s="1638" t="s">
        <v>1331</v>
      </c>
      <c r="U7" s="1638" t="s">
        <v>1331</v>
      </c>
      <c r="V7" s="1638" t="s">
        <v>1331</v>
      </c>
      <c r="W7" s="1638" t="s">
        <v>3198</v>
      </c>
      <c r="X7" s="1638" t="s">
        <v>3199</v>
      </c>
      <c r="Y7" s="1638" t="s">
        <v>3200</v>
      </c>
      <c r="Z7" s="1638" t="s">
        <v>3201</v>
      </c>
      <c r="AA7" s="1638" t="s">
        <v>3201</v>
      </c>
      <c r="AB7" s="1638" t="s">
        <v>3195</v>
      </c>
      <c r="AC7" s="1638" t="s">
        <v>3202</v>
      </c>
      <c r="AD7" s="1638" t="s">
        <v>3203</v>
      </c>
      <c r="AE7" s="1638">
        <v>4000</v>
      </c>
      <c r="AF7" s="1638">
        <v>17000</v>
      </c>
      <c r="AG7" s="1638">
        <v>100500</v>
      </c>
      <c r="AH7" s="1638">
        <v>191.7</v>
      </c>
      <c r="AI7" s="1638">
        <v>1133.31</v>
      </c>
      <c r="AJ7" s="1638">
        <v>1384.38</v>
      </c>
      <c r="AK7" s="1638">
        <v>8184.17</v>
      </c>
      <c r="AL7" s="1638">
        <v>2104</v>
      </c>
      <c r="AM7" s="1638">
        <v>12438</v>
      </c>
      <c r="AN7" s="1638">
        <v>491.18</v>
      </c>
      <c r="AO7" s="1638" t="s">
        <v>3204</v>
      </c>
      <c r="AP7" s="1638" t="s">
        <v>1331</v>
      </c>
      <c r="AQ7" s="1638" t="s">
        <v>1331</v>
      </c>
      <c r="AR7" s="1638" t="s">
        <v>1331</v>
      </c>
    </row>
    <row r="8" spans="1:44" s="1638" customFormat="1">
      <c r="A8" s="1638" t="s">
        <v>3205</v>
      </c>
      <c r="B8" s="1638" t="s">
        <v>3050</v>
      </c>
      <c r="C8" s="1638" t="s">
        <v>3126</v>
      </c>
      <c r="D8" s="1638" t="s">
        <v>3127</v>
      </c>
      <c r="E8" s="1638" t="s">
        <v>1331</v>
      </c>
      <c r="F8" s="1638" t="s">
        <v>3206</v>
      </c>
      <c r="G8" s="1638" t="s">
        <v>3128</v>
      </c>
      <c r="H8" s="1638" t="s">
        <v>3207</v>
      </c>
      <c r="I8" s="1638" t="s">
        <v>3208</v>
      </c>
      <c r="J8" s="1638">
        <v>80121</v>
      </c>
      <c r="K8" s="1638">
        <v>174913</v>
      </c>
      <c r="L8" s="1638">
        <v>2.1800000000000002</v>
      </c>
      <c r="M8" s="1638" t="s">
        <v>1331</v>
      </c>
      <c r="N8" s="1638" t="s">
        <v>1331</v>
      </c>
      <c r="O8" s="1638" t="s">
        <v>1331</v>
      </c>
      <c r="P8" s="1638" t="s">
        <v>3209</v>
      </c>
      <c r="Q8" s="1638">
        <v>67622</v>
      </c>
      <c r="R8" s="1638">
        <v>104622</v>
      </c>
      <c r="S8" s="1638" t="s">
        <v>1331</v>
      </c>
      <c r="T8" s="1638" t="s">
        <v>1331</v>
      </c>
      <c r="U8" s="1638" t="s">
        <v>1331</v>
      </c>
      <c r="V8" s="1638" t="s">
        <v>1331</v>
      </c>
      <c r="W8" s="1638" t="s">
        <v>3198</v>
      </c>
      <c r="X8" s="1638" t="s">
        <v>3210</v>
      </c>
      <c r="Y8" s="1638" t="s">
        <v>3211</v>
      </c>
      <c r="Z8" s="1638" t="s">
        <v>3212</v>
      </c>
      <c r="AA8" s="1638" t="s">
        <v>3212</v>
      </c>
      <c r="AB8" s="1638" t="s">
        <v>3207</v>
      </c>
      <c r="AC8" s="1638" t="s">
        <v>3202</v>
      </c>
      <c r="AD8" s="1638" t="s">
        <v>3213</v>
      </c>
      <c r="AE8" s="1638">
        <v>18000</v>
      </c>
      <c r="AF8" s="1638">
        <v>61380</v>
      </c>
      <c r="AG8" s="1638">
        <v>90000</v>
      </c>
      <c r="AH8" s="1638">
        <v>510.73</v>
      </c>
      <c r="AI8" s="1638">
        <v>748.87</v>
      </c>
      <c r="AJ8" s="1638">
        <v>3509.17</v>
      </c>
      <c r="AK8" s="1638">
        <v>5145.42</v>
      </c>
      <c r="AL8" s="1638">
        <v>5721</v>
      </c>
      <c r="AM8" s="1638">
        <v>12804</v>
      </c>
      <c r="AN8" s="1638">
        <v>46.63</v>
      </c>
      <c r="AO8" s="1638" t="s">
        <v>3214</v>
      </c>
      <c r="AP8" s="1638" t="s">
        <v>1331</v>
      </c>
      <c r="AQ8" s="1638" t="s">
        <v>1331</v>
      </c>
      <c r="AR8" s="1638" t="s">
        <v>1331</v>
      </c>
    </row>
    <row r="9" spans="1:44" s="1638" customFormat="1">
      <c r="A9" s="1638" t="s">
        <v>3215</v>
      </c>
      <c r="B9" s="1638" t="s">
        <v>3050</v>
      </c>
      <c r="C9" s="1638" t="s">
        <v>3126</v>
      </c>
      <c r="D9" s="1638" t="s">
        <v>3127</v>
      </c>
      <c r="E9" s="1638" t="s">
        <v>1331</v>
      </c>
      <c r="F9" s="1638" t="s">
        <v>3206</v>
      </c>
      <c r="G9" s="1638" t="s">
        <v>3128</v>
      </c>
      <c r="H9" s="1638" t="s">
        <v>3216</v>
      </c>
      <c r="I9" s="1638" t="s">
        <v>3217</v>
      </c>
      <c r="J9" s="1638">
        <v>49807</v>
      </c>
      <c r="K9" s="1638">
        <v>119418</v>
      </c>
      <c r="L9" s="1638">
        <v>2.4</v>
      </c>
      <c r="M9" s="1638" t="s">
        <v>1331</v>
      </c>
      <c r="N9" s="1638" t="s">
        <v>1331</v>
      </c>
      <c r="O9" s="1638" t="s">
        <v>1331</v>
      </c>
      <c r="P9" s="1638" t="s">
        <v>3209</v>
      </c>
      <c r="Q9" s="1638">
        <v>52378</v>
      </c>
      <c r="R9" s="1638">
        <v>79378</v>
      </c>
      <c r="S9" s="1638" t="s">
        <v>1331</v>
      </c>
      <c r="T9" s="1638" t="s">
        <v>1331</v>
      </c>
      <c r="U9" s="1638" t="s">
        <v>1331</v>
      </c>
      <c r="V9" s="1638" t="s">
        <v>1331</v>
      </c>
      <c r="W9" s="1638" t="s">
        <v>3198</v>
      </c>
      <c r="X9" s="1638" t="s">
        <v>3210</v>
      </c>
      <c r="Y9" s="1638" t="s">
        <v>3211</v>
      </c>
      <c r="Z9" s="1638" t="s">
        <v>3212</v>
      </c>
      <c r="AA9" s="1638" t="s">
        <v>3212</v>
      </c>
      <c r="AB9" s="1638" t="s">
        <v>3216</v>
      </c>
      <c r="AC9" s="1638" t="s">
        <v>3202</v>
      </c>
      <c r="AD9" s="1638" t="s">
        <v>3218</v>
      </c>
      <c r="AE9" s="1638">
        <v>13000</v>
      </c>
      <c r="AF9" s="1638">
        <v>43850</v>
      </c>
      <c r="AG9" s="1638">
        <v>64000</v>
      </c>
      <c r="AH9" s="1638">
        <v>586.92999999999995</v>
      </c>
      <c r="AI9" s="1638">
        <v>856.64</v>
      </c>
      <c r="AJ9" s="1638">
        <v>3671.97</v>
      </c>
      <c r="AK9" s="1638">
        <v>5359.32</v>
      </c>
      <c r="AL9" s="1638">
        <v>6541</v>
      </c>
      <c r="AM9" s="1638">
        <v>15984</v>
      </c>
      <c r="AN9" s="1638">
        <v>45.95</v>
      </c>
      <c r="AO9" s="1638" t="s">
        <v>3214</v>
      </c>
      <c r="AP9" s="1638" t="s">
        <v>1331</v>
      </c>
      <c r="AQ9" s="1638" t="s">
        <v>1331</v>
      </c>
      <c r="AR9" s="1638" t="s">
        <v>1331</v>
      </c>
    </row>
    <row r="10" spans="1:44" s="1638" customFormat="1">
      <c r="A10" s="1638" t="s">
        <v>3219</v>
      </c>
      <c r="B10" s="1638" t="s">
        <v>3050</v>
      </c>
      <c r="C10" s="1638" t="s">
        <v>3126</v>
      </c>
      <c r="D10" s="1638" t="s">
        <v>3127</v>
      </c>
      <c r="E10" s="1638" t="s">
        <v>1331</v>
      </c>
      <c r="F10" s="1638" t="s">
        <v>3206</v>
      </c>
      <c r="G10" s="1638" t="s">
        <v>3128</v>
      </c>
      <c r="H10" s="1638" t="s">
        <v>3220</v>
      </c>
      <c r="I10" s="1638" t="s">
        <v>3221</v>
      </c>
      <c r="J10" s="1638">
        <v>38960</v>
      </c>
      <c r="K10" s="1638">
        <v>91320</v>
      </c>
      <c r="L10" s="1638">
        <v>3.24</v>
      </c>
      <c r="M10" s="1638" t="s">
        <v>1331</v>
      </c>
      <c r="N10" s="1638" t="s">
        <v>1331</v>
      </c>
      <c r="O10" s="1638" t="s">
        <v>1331</v>
      </c>
      <c r="P10" s="1638" t="s">
        <v>3209</v>
      </c>
      <c r="Q10" s="1638" t="s">
        <v>1331</v>
      </c>
      <c r="R10" s="1638">
        <v>32000</v>
      </c>
      <c r="S10" s="1638" t="s">
        <v>1331</v>
      </c>
      <c r="T10" s="1638" t="s">
        <v>1331</v>
      </c>
      <c r="U10" s="1638" t="s">
        <v>1331</v>
      </c>
      <c r="V10" s="1638" t="s">
        <v>1331</v>
      </c>
      <c r="W10" s="1638" t="s">
        <v>3198</v>
      </c>
      <c r="X10" s="1638" t="s">
        <v>3210</v>
      </c>
      <c r="Y10" s="1638" t="s">
        <v>3211</v>
      </c>
      <c r="Z10" s="1638" t="s">
        <v>3212</v>
      </c>
      <c r="AA10" s="1638" t="s">
        <v>3212</v>
      </c>
      <c r="AB10" s="1638" t="s">
        <v>3220</v>
      </c>
      <c r="AC10" s="1638" t="s">
        <v>3202</v>
      </c>
      <c r="AD10" s="1638" t="s">
        <v>3218</v>
      </c>
      <c r="AE10" s="1638">
        <v>16000</v>
      </c>
      <c r="AF10" s="1638">
        <v>53400</v>
      </c>
      <c r="AG10" s="1638">
        <v>78000</v>
      </c>
      <c r="AH10" s="1638">
        <v>913.76</v>
      </c>
      <c r="AI10" s="1638">
        <v>1334.7</v>
      </c>
      <c r="AJ10" s="1638">
        <v>5847.56</v>
      </c>
      <c r="AK10" s="1638">
        <v>8541.3799999999992</v>
      </c>
      <c r="AL10" s="1638" t="s">
        <v>1331</v>
      </c>
      <c r="AM10" s="1638">
        <v>13149</v>
      </c>
      <c r="AN10" s="1638">
        <v>46.07</v>
      </c>
      <c r="AO10" s="1638" t="s">
        <v>3214</v>
      </c>
      <c r="AP10" s="1638" t="s">
        <v>1331</v>
      </c>
      <c r="AQ10" s="1638" t="s">
        <v>1331</v>
      </c>
      <c r="AR10" s="1638" t="s">
        <v>1331</v>
      </c>
    </row>
    <row r="11" spans="1:44" s="1638" customFormat="1">
      <c r="A11" s="1638" t="s">
        <v>3222</v>
      </c>
      <c r="B11" s="1638" t="s">
        <v>3050</v>
      </c>
      <c r="C11" s="1638" t="s">
        <v>3126</v>
      </c>
      <c r="D11" s="1638" t="s">
        <v>3127</v>
      </c>
      <c r="E11" s="1638" t="s">
        <v>1331</v>
      </c>
      <c r="F11" s="1638" t="s">
        <v>3223</v>
      </c>
      <c r="G11" s="1638" t="s">
        <v>3224</v>
      </c>
      <c r="H11" s="1638" t="s">
        <v>3225</v>
      </c>
      <c r="I11" s="1638" t="s">
        <v>3226</v>
      </c>
      <c r="J11" s="1638">
        <v>56591</v>
      </c>
      <c r="K11" s="1638">
        <v>246593</v>
      </c>
      <c r="L11" s="1638">
        <v>4.3600000000000003</v>
      </c>
      <c r="M11" s="1638" t="s">
        <v>1331</v>
      </c>
      <c r="N11" s="1638" t="s">
        <v>1331</v>
      </c>
      <c r="O11" s="1638" t="s">
        <v>1331</v>
      </c>
      <c r="P11" s="1638" t="s">
        <v>1331</v>
      </c>
      <c r="Q11" s="1638" t="s">
        <v>1331</v>
      </c>
      <c r="R11" s="1638" t="s">
        <v>1331</v>
      </c>
      <c r="S11" s="1638" t="s">
        <v>1331</v>
      </c>
      <c r="T11" s="1638" t="s">
        <v>1331</v>
      </c>
      <c r="U11" s="1638" t="s">
        <v>1331</v>
      </c>
      <c r="V11" s="1638" t="s">
        <v>1331</v>
      </c>
      <c r="W11" s="1638" t="s">
        <v>3198</v>
      </c>
      <c r="X11" s="1638" t="s">
        <v>1331</v>
      </c>
      <c r="Y11" s="1638" t="s">
        <v>3227</v>
      </c>
      <c r="Z11" s="1638" t="s">
        <v>3227</v>
      </c>
      <c r="AA11" s="1638" t="s">
        <v>3227</v>
      </c>
      <c r="AB11" s="1638" t="s">
        <v>1331</v>
      </c>
      <c r="AC11" s="1638" t="s">
        <v>3202</v>
      </c>
      <c r="AD11" s="1638" t="s">
        <v>3228</v>
      </c>
      <c r="AE11" s="1638">
        <v>60000</v>
      </c>
      <c r="AF11" s="1638" t="s">
        <v>1331</v>
      </c>
      <c r="AG11" s="1638">
        <v>192000</v>
      </c>
      <c r="AH11" s="1638" t="s">
        <v>1331</v>
      </c>
      <c r="AI11" s="1638">
        <v>2261.84</v>
      </c>
      <c r="AJ11" s="1638" t="s">
        <v>1331</v>
      </c>
      <c r="AK11" s="1638">
        <v>7786.1</v>
      </c>
      <c r="AL11" s="1638" t="s">
        <v>1331</v>
      </c>
      <c r="AM11" s="1638" t="s">
        <v>1331</v>
      </c>
      <c r="AN11" s="1638" t="s">
        <v>1331</v>
      </c>
      <c r="AO11" s="1638" t="s">
        <v>3229</v>
      </c>
      <c r="AP11" s="1638" t="s">
        <v>1331</v>
      </c>
      <c r="AQ11" s="1638" t="s">
        <v>1331</v>
      </c>
      <c r="AR11" s="1638" t="s">
        <v>1331</v>
      </c>
    </row>
    <row r="12" spans="1:44" s="1638" customFormat="1">
      <c r="A12" s="1638" t="s">
        <v>3230</v>
      </c>
      <c r="B12" s="1638" t="s">
        <v>3050</v>
      </c>
      <c r="C12" s="1638" t="s">
        <v>3126</v>
      </c>
      <c r="D12" s="1638" t="s">
        <v>3127</v>
      </c>
      <c r="E12" s="1638" t="s">
        <v>1331</v>
      </c>
      <c r="F12" s="1638" t="s">
        <v>3223</v>
      </c>
      <c r="G12" s="1638" t="s">
        <v>3224</v>
      </c>
      <c r="H12" s="1638" t="s">
        <v>3231</v>
      </c>
      <c r="I12" s="1638" t="s">
        <v>3232</v>
      </c>
      <c r="J12" s="1638">
        <v>47335</v>
      </c>
      <c r="K12" s="1638">
        <v>155318</v>
      </c>
      <c r="L12" s="1638">
        <v>3.28</v>
      </c>
      <c r="M12" s="1638" t="s">
        <v>1331</v>
      </c>
      <c r="N12" s="1638" t="s">
        <v>1331</v>
      </c>
      <c r="O12" s="1638" t="s">
        <v>1331</v>
      </c>
      <c r="P12" s="1638" t="s">
        <v>1331</v>
      </c>
      <c r="Q12" s="1638" t="s">
        <v>1331</v>
      </c>
      <c r="R12" s="1638" t="s">
        <v>1331</v>
      </c>
      <c r="S12" s="1638" t="s">
        <v>1331</v>
      </c>
      <c r="T12" s="1638" t="s">
        <v>1331</v>
      </c>
      <c r="U12" s="1638" t="s">
        <v>1331</v>
      </c>
      <c r="V12" s="1638" t="s">
        <v>1331</v>
      </c>
      <c r="W12" s="1638" t="s">
        <v>3198</v>
      </c>
      <c r="X12" s="1638" t="s">
        <v>1331</v>
      </c>
      <c r="Y12" s="1638" t="s">
        <v>3233</v>
      </c>
      <c r="Z12" s="1638" t="s">
        <v>3234</v>
      </c>
      <c r="AA12" s="1638" t="s">
        <v>3234</v>
      </c>
      <c r="AB12" s="1638" t="s">
        <v>1331</v>
      </c>
      <c r="AC12" s="1638" t="s">
        <v>3202</v>
      </c>
      <c r="AD12" s="1638" t="s">
        <v>3228</v>
      </c>
      <c r="AE12" s="1638">
        <v>40000</v>
      </c>
      <c r="AF12" s="1638" t="s">
        <v>1331</v>
      </c>
      <c r="AG12" s="1638">
        <v>140000</v>
      </c>
      <c r="AH12" s="1638" t="s">
        <v>1331</v>
      </c>
      <c r="AI12" s="1638">
        <v>1971.76</v>
      </c>
      <c r="AJ12" s="1638" t="s">
        <v>1331</v>
      </c>
      <c r="AK12" s="1638">
        <v>9013.77</v>
      </c>
      <c r="AL12" s="1638" t="s">
        <v>1331</v>
      </c>
      <c r="AM12" s="1638" t="s">
        <v>1331</v>
      </c>
      <c r="AN12" s="1638" t="s">
        <v>1331</v>
      </c>
      <c r="AO12" s="1638" t="s">
        <v>3229</v>
      </c>
      <c r="AP12" s="1638" t="s">
        <v>1331</v>
      </c>
      <c r="AQ12" s="1638" t="s">
        <v>1331</v>
      </c>
      <c r="AR12" s="1638" t="s">
        <v>1331</v>
      </c>
    </row>
    <row r="13" spans="1:44" s="1638" customFormat="1">
      <c r="A13" s="1638" t="s">
        <v>3235</v>
      </c>
      <c r="B13" s="1638" t="s">
        <v>3050</v>
      </c>
      <c r="C13" s="1638" t="s">
        <v>3129</v>
      </c>
      <c r="D13" s="1638" t="s">
        <v>3127</v>
      </c>
      <c r="E13" s="1638" t="s">
        <v>1331</v>
      </c>
      <c r="F13" s="1638" t="s">
        <v>3236</v>
      </c>
      <c r="G13" s="1638" t="s">
        <v>3128</v>
      </c>
      <c r="H13" s="1638" t="s">
        <v>3237</v>
      </c>
      <c r="I13" s="1638" t="s">
        <v>3238</v>
      </c>
      <c r="J13" s="1638">
        <v>75591</v>
      </c>
      <c r="K13" s="1638">
        <v>173859</v>
      </c>
      <c r="L13" s="1638">
        <v>2.2999999999999998</v>
      </c>
      <c r="M13" s="1638" t="s">
        <v>1331</v>
      </c>
      <c r="N13" s="1638" t="s">
        <v>1331</v>
      </c>
      <c r="O13" s="1638" t="s">
        <v>1331</v>
      </c>
      <c r="P13" s="1638" t="s">
        <v>1331</v>
      </c>
      <c r="Q13" s="1638" t="s">
        <v>1331</v>
      </c>
      <c r="R13" s="1638" t="s">
        <v>1331</v>
      </c>
      <c r="S13" s="1638" t="s">
        <v>1331</v>
      </c>
      <c r="T13" s="1638" t="s">
        <v>1331</v>
      </c>
      <c r="U13" s="1638" t="s">
        <v>1331</v>
      </c>
      <c r="V13" s="1638" t="s">
        <v>1331</v>
      </c>
      <c r="W13" s="1638" t="s">
        <v>3198</v>
      </c>
      <c r="X13" s="1638" t="s">
        <v>1331</v>
      </c>
      <c r="Y13" s="1638" t="s">
        <v>3239</v>
      </c>
      <c r="Z13" s="1638" t="s">
        <v>3240</v>
      </c>
      <c r="AA13" s="1638" t="s">
        <v>3240</v>
      </c>
      <c r="AB13" s="1638" t="s">
        <v>1331</v>
      </c>
      <c r="AC13" s="1638" t="s">
        <v>3202</v>
      </c>
      <c r="AD13" s="1638" t="s">
        <v>3241</v>
      </c>
      <c r="AE13" s="1638">
        <v>21000</v>
      </c>
      <c r="AF13" s="1638">
        <v>68430</v>
      </c>
      <c r="AG13" s="1638">
        <v>98000</v>
      </c>
      <c r="AH13" s="1638">
        <v>603.51</v>
      </c>
      <c r="AI13" s="1638">
        <v>864.3</v>
      </c>
      <c r="AJ13" s="1638">
        <v>3935.94</v>
      </c>
      <c r="AK13" s="1638">
        <v>5636.75</v>
      </c>
      <c r="AL13" s="1638" t="s">
        <v>1331</v>
      </c>
      <c r="AM13" s="1638" t="s">
        <v>1331</v>
      </c>
      <c r="AN13" s="1638">
        <v>43.21</v>
      </c>
      <c r="AO13" s="1638" t="s">
        <v>3242</v>
      </c>
      <c r="AP13" s="1638" t="s">
        <v>1331</v>
      </c>
      <c r="AQ13" s="1638" t="s">
        <v>1331</v>
      </c>
      <c r="AR13" s="1638" t="s">
        <v>1331</v>
      </c>
    </row>
    <row r="14" spans="1:44" s="1638" customFormat="1">
      <c r="A14" s="1638" t="s">
        <v>3243</v>
      </c>
      <c r="B14" s="1638" t="s">
        <v>3050</v>
      </c>
      <c r="C14" s="1638" t="s">
        <v>3126</v>
      </c>
      <c r="D14" s="1638" t="s">
        <v>3127</v>
      </c>
      <c r="E14" s="1638" t="s">
        <v>1331</v>
      </c>
      <c r="F14" s="1638" t="s">
        <v>3236</v>
      </c>
      <c r="G14" s="1638" t="s">
        <v>3128</v>
      </c>
      <c r="H14" s="1638" t="s">
        <v>3244</v>
      </c>
      <c r="I14" s="1638" t="s">
        <v>3245</v>
      </c>
      <c r="J14" s="1638">
        <v>65281</v>
      </c>
      <c r="K14" s="1638">
        <v>151826</v>
      </c>
      <c r="L14" s="1638">
        <v>2.33</v>
      </c>
      <c r="M14" s="1638" t="s">
        <v>1331</v>
      </c>
      <c r="N14" s="1638" t="s">
        <v>1331</v>
      </c>
      <c r="O14" s="1638" t="s">
        <v>1331</v>
      </c>
      <c r="P14" s="1638" t="s">
        <v>1331</v>
      </c>
      <c r="Q14" s="1638" t="s">
        <v>1331</v>
      </c>
      <c r="R14" s="1638" t="s">
        <v>1331</v>
      </c>
      <c r="S14" s="1638" t="s">
        <v>1331</v>
      </c>
      <c r="T14" s="1638" t="s">
        <v>1331</v>
      </c>
      <c r="U14" s="1638" t="s">
        <v>1331</v>
      </c>
      <c r="V14" s="1638" t="s">
        <v>1331</v>
      </c>
      <c r="W14" s="1638" t="s">
        <v>3198</v>
      </c>
      <c r="X14" s="1638" t="s">
        <v>1331</v>
      </c>
      <c r="Y14" s="1638" t="s">
        <v>3239</v>
      </c>
      <c r="Z14" s="1638" t="s">
        <v>3240</v>
      </c>
      <c r="AA14" s="1638" t="s">
        <v>3240</v>
      </c>
      <c r="AB14" s="1638" t="s">
        <v>1331</v>
      </c>
      <c r="AC14" s="1638" t="s">
        <v>3202</v>
      </c>
      <c r="AD14" s="1638" t="s">
        <v>3241</v>
      </c>
      <c r="AE14" s="1638">
        <v>18000</v>
      </c>
      <c r="AF14" s="1638">
        <v>56710</v>
      </c>
      <c r="AG14" s="1638">
        <v>80000</v>
      </c>
      <c r="AH14" s="1638">
        <v>579.14</v>
      </c>
      <c r="AI14" s="1638">
        <v>816.98</v>
      </c>
      <c r="AJ14" s="1638">
        <v>3735.19</v>
      </c>
      <c r="AK14" s="1638">
        <v>5269.18</v>
      </c>
      <c r="AL14" s="1638" t="s">
        <v>1331</v>
      </c>
      <c r="AM14" s="1638" t="s">
        <v>1331</v>
      </c>
      <c r="AN14" s="1638">
        <v>41.07</v>
      </c>
      <c r="AO14" s="1638" t="s">
        <v>3242</v>
      </c>
      <c r="AP14" s="1638" t="s">
        <v>1331</v>
      </c>
      <c r="AQ14" s="1638" t="s">
        <v>1331</v>
      </c>
      <c r="AR14" s="1638" t="s">
        <v>1331</v>
      </c>
    </row>
    <row r="15" spans="1:44" s="1638" customFormat="1">
      <c r="A15" s="1638" t="s">
        <v>3246</v>
      </c>
      <c r="B15" s="1638" t="s">
        <v>3050</v>
      </c>
      <c r="C15" s="1638" t="s">
        <v>3126</v>
      </c>
      <c r="D15" s="1638" t="s">
        <v>3127</v>
      </c>
      <c r="E15" s="1638" t="s">
        <v>1331</v>
      </c>
      <c r="F15" s="1638" t="s">
        <v>3247</v>
      </c>
      <c r="G15" s="1638" t="s">
        <v>3128</v>
      </c>
      <c r="H15" s="1638" t="s">
        <v>3248</v>
      </c>
      <c r="I15" s="1638" t="s">
        <v>3249</v>
      </c>
      <c r="J15" s="1638">
        <v>95398</v>
      </c>
      <c r="K15" s="1638">
        <v>183696</v>
      </c>
      <c r="L15" s="1638">
        <v>1.93</v>
      </c>
      <c r="M15" s="1638" t="s">
        <v>1331</v>
      </c>
      <c r="N15" s="1638" t="s">
        <v>1331</v>
      </c>
      <c r="O15" s="1638" t="s">
        <v>1331</v>
      </c>
      <c r="P15" s="1638" t="s">
        <v>1331</v>
      </c>
      <c r="Q15" s="1638" t="s">
        <v>1331</v>
      </c>
      <c r="R15" s="1638" t="s">
        <v>1331</v>
      </c>
      <c r="S15" s="1638" t="s">
        <v>1331</v>
      </c>
      <c r="T15" s="1638" t="s">
        <v>1331</v>
      </c>
      <c r="U15" s="1638" t="s">
        <v>1331</v>
      </c>
      <c r="V15" s="1638" t="s">
        <v>1331</v>
      </c>
      <c r="W15" s="1638" t="s">
        <v>3198</v>
      </c>
      <c r="X15" s="1638" t="s">
        <v>1331</v>
      </c>
      <c r="Y15" s="1638" t="s">
        <v>3250</v>
      </c>
      <c r="Z15" s="1638" t="s">
        <v>3251</v>
      </c>
      <c r="AA15" s="1638" t="s">
        <v>3251</v>
      </c>
      <c r="AB15" s="1638" t="s">
        <v>1331</v>
      </c>
      <c r="AC15" s="1638" t="s">
        <v>3202</v>
      </c>
      <c r="AD15" s="1638" t="s">
        <v>3252</v>
      </c>
      <c r="AE15" s="1638">
        <v>16000</v>
      </c>
      <c r="AF15" s="1638">
        <v>64500</v>
      </c>
      <c r="AG15" s="1638">
        <v>94000</v>
      </c>
      <c r="AH15" s="1638">
        <v>450.74</v>
      </c>
      <c r="AI15" s="1638">
        <v>656.9</v>
      </c>
      <c r="AJ15" s="1638">
        <v>3511.23</v>
      </c>
      <c r="AK15" s="1638">
        <v>5117.1400000000003</v>
      </c>
      <c r="AL15" s="1638" t="s">
        <v>1331</v>
      </c>
      <c r="AM15" s="1638" t="s">
        <v>1331</v>
      </c>
      <c r="AN15" s="1638">
        <v>45.74</v>
      </c>
      <c r="AO15" s="1638" t="s">
        <v>3204</v>
      </c>
      <c r="AP15" s="1638" t="s">
        <v>1331</v>
      </c>
      <c r="AQ15" s="1638" t="s">
        <v>1331</v>
      </c>
      <c r="AR15" s="1638" t="s">
        <v>1331</v>
      </c>
    </row>
    <row r="16" spans="1:44" s="1638" customFormat="1">
      <c r="A16" s="1638" t="s">
        <v>3253</v>
      </c>
      <c r="B16" s="1638" t="s">
        <v>3050</v>
      </c>
      <c r="C16" s="1638" t="s">
        <v>3126</v>
      </c>
      <c r="D16" s="1638" t="s">
        <v>3127</v>
      </c>
      <c r="E16" s="1638" t="s">
        <v>1331</v>
      </c>
      <c r="F16" s="1638" t="s">
        <v>3247</v>
      </c>
      <c r="G16" s="1638" t="s">
        <v>3128</v>
      </c>
      <c r="H16" s="1638" t="s">
        <v>3254</v>
      </c>
      <c r="I16" s="1638" t="s">
        <v>3255</v>
      </c>
      <c r="J16" s="1638">
        <v>87821</v>
      </c>
      <c r="K16" s="1638">
        <v>177647</v>
      </c>
      <c r="L16" s="1638">
        <v>2.02</v>
      </c>
      <c r="M16" s="1638" t="s">
        <v>1331</v>
      </c>
      <c r="N16" s="1638" t="s">
        <v>1331</v>
      </c>
      <c r="O16" s="1638" t="s">
        <v>1331</v>
      </c>
      <c r="P16" s="1638" t="s">
        <v>1331</v>
      </c>
      <c r="Q16" s="1638" t="s">
        <v>1331</v>
      </c>
      <c r="R16" s="1638" t="s">
        <v>1331</v>
      </c>
      <c r="S16" s="1638" t="s">
        <v>1331</v>
      </c>
      <c r="T16" s="1638" t="s">
        <v>1331</v>
      </c>
      <c r="U16" s="1638" t="s">
        <v>1331</v>
      </c>
      <c r="V16" s="1638" t="s">
        <v>1331</v>
      </c>
      <c r="W16" s="1638" t="s">
        <v>3198</v>
      </c>
      <c r="X16" s="1638" t="s">
        <v>1331</v>
      </c>
      <c r="Y16" s="1638" t="s">
        <v>3256</v>
      </c>
      <c r="Z16" s="1638" t="s">
        <v>3257</v>
      </c>
      <c r="AA16" s="1638" t="s">
        <v>3257</v>
      </c>
      <c r="AB16" s="1638" t="s">
        <v>1331</v>
      </c>
      <c r="AC16" s="1638" t="s">
        <v>3202</v>
      </c>
      <c r="AD16" s="1638" t="s">
        <v>3258</v>
      </c>
      <c r="AE16" s="1638">
        <v>14000</v>
      </c>
      <c r="AF16" s="1638">
        <v>55400</v>
      </c>
      <c r="AG16" s="1638">
        <v>56300</v>
      </c>
      <c r="AH16" s="1638">
        <v>420.55</v>
      </c>
      <c r="AI16" s="1638">
        <v>427.38</v>
      </c>
      <c r="AJ16" s="1638">
        <v>3118.54</v>
      </c>
      <c r="AK16" s="1638">
        <v>3169.21</v>
      </c>
      <c r="AL16" s="1638" t="s">
        <v>1331</v>
      </c>
      <c r="AM16" s="1638" t="s">
        <v>1331</v>
      </c>
      <c r="AN16" s="1638">
        <v>1.62</v>
      </c>
      <c r="AO16" s="1638" t="s">
        <v>3214</v>
      </c>
      <c r="AP16" s="1638" t="s">
        <v>1331</v>
      </c>
      <c r="AQ16" s="1638" t="s">
        <v>1331</v>
      </c>
      <c r="AR16" s="1638" t="s">
        <v>1331</v>
      </c>
    </row>
    <row r="19" spans="1:44" s="1638" customFormat="1">
      <c r="A19" s="1638" t="s">
        <v>3096</v>
      </c>
      <c r="B19" s="1638" t="s">
        <v>3097</v>
      </c>
      <c r="C19" s="1638" t="s">
        <v>3098</v>
      </c>
      <c r="D19" s="1638" t="s">
        <v>3099</v>
      </c>
      <c r="E19" s="1638" t="s">
        <v>3100</v>
      </c>
      <c r="F19" s="1638" t="s">
        <v>3101</v>
      </c>
      <c r="G19" s="1638" t="s">
        <v>3102</v>
      </c>
      <c r="H19" s="1638" t="s">
        <v>3103</v>
      </c>
      <c r="I19" s="1638" t="s">
        <v>3104</v>
      </c>
      <c r="J19" s="1638" t="s">
        <v>3105</v>
      </c>
      <c r="K19" s="1638" t="s">
        <v>3106</v>
      </c>
      <c r="L19" s="1638" t="s">
        <v>3107</v>
      </c>
      <c r="M19" s="1638" t="s">
        <v>3108</v>
      </c>
      <c r="N19" s="1638" t="s">
        <v>3109</v>
      </c>
      <c r="O19" s="1638" t="s">
        <v>3110</v>
      </c>
      <c r="P19" s="1638" t="s">
        <v>3111</v>
      </c>
      <c r="Q19" s="1638" t="s">
        <v>3112</v>
      </c>
      <c r="R19" s="1638" t="s">
        <v>3113</v>
      </c>
      <c r="S19" s="1638" t="s">
        <v>3114</v>
      </c>
      <c r="T19" s="1638" t="s">
        <v>3115</v>
      </c>
      <c r="U19" s="1638" t="s">
        <v>3116</v>
      </c>
      <c r="V19" s="1638" t="s">
        <v>3117</v>
      </c>
      <c r="W19" s="1638" t="s">
        <v>3118</v>
      </c>
      <c r="X19" s="1638" t="s">
        <v>3259</v>
      </c>
      <c r="Y19" s="1638" t="s">
        <v>3260</v>
      </c>
      <c r="Z19" s="1638" t="s">
        <v>3261</v>
      </c>
      <c r="AA19" s="1638" t="s">
        <v>3119</v>
      </c>
      <c r="AB19" s="1638" t="s">
        <v>3262</v>
      </c>
      <c r="AC19" s="1638" t="s">
        <v>3263</v>
      </c>
      <c r="AD19" s="1638" t="s">
        <v>3120</v>
      </c>
      <c r="AE19" s="1638" t="s">
        <v>3264</v>
      </c>
      <c r="AF19" s="1638" t="s">
        <v>3265</v>
      </c>
      <c r="AG19" s="1638" t="s">
        <v>3121</v>
      </c>
      <c r="AH19" s="1638" t="s">
        <v>3266</v>
      </c>
      <c r="AI19" s="1638" t="s">
        <v>3122</v>
      </c>
      <c r="AJ19" s="1638" t="s">
        <v>3267</v>
      </c>
      <c r="AK19" s="1638" t="s">
        <v>3123</v>
      </c>
      <c r="AL19" s="1638" t="s">
        <v>3268</v>
      </c>
      <c r="AM19" s="1638" t="s">
        <v>3124</v>
      </c>
      <c r="AN19" s="1638" t="s">
        <v>3125</v>
      </c>
      <c r="AO19" s="1638" t="s">
        <v>3269</v>
      </c>
      <c r="AP19" s="1638" t="s">
        <v>3270</v>
      </c>
      <c r="AQ19" s="1638" t="s">
        <v>3271</v>
      </c>
      <c r="AR19" s="1638" t="s">
        <v>3272</v>
      </c>
    </row>
    <row r="20" spans="1:44" s="1638" customFormat="1">
      <c r="A20" s="1638" t="s">
        <v>3283</v>
      </c>
      <c r="B20" s="1638" t="s">
        <v>3050</v>
      </c>
      <c r="C20" s="1638" t="s">
        <v>3129</v>
      </c>
      <c r="D20" s="1638" t="s">
        <v>3127</v>
      </c>
      <c r="E20" s="1638" t="s">
        <v>1331</v>
      </c>
      <c r="F20" s="1638" t="s">
        <v>3284</v>
      </c>
      <c r="G20" s="1638" t="s">
        <v>3128</v>
      </c>
      <c r="H20" s="1638" t="s">
        <v>3285</v>
      </c>
      <c r="I20" s="1638" t="s">
        <v>3286</v>
      </c>
      <c r="J20" s="1638">
        <v>63927.199999999997</v>
      </c>
      <c r="K20" s="1638">
        <v>159818</v>
      </c>
      <c r="L20" s="1638">
        <v>2.5</v>
      </c>
      <c r="M20" s="1638" t="s">
        <v>1331</v>
      </c>
      <c r="N20" s="1638" t="s">
        <v>1331</v>
      </c>
      <c r="O20" s="1638" t="s">
        <v>1331</v>
      </c>
      <c r="P20" s="1638" t="s">
        <v>3287</v>
      </c>
      <c r="Q20" s="1638">
        <v>80000</v>
      </c>
      <c r="R20" s="1638">
        <v>80000</v>
      </c>
      <c r="S20" s="1638" t="s">
        <v>3288</v>
      </c>
      <c r="T20" s="1638" t="s">
        <v>1331</v>
      </c>
      <c r="U20" s="1638" t="s">
        <v>1331</v>
      </c>
      <c r="V20" s="1638" t="s">
        <v>1331</v>
      </c>
      <c r="W20" s="1638" t="s">
        <v>3198</v>
      </c>
      <c r="X20" s="1638" t="s">
        <v>3289</v>
      </c>
      <c r="Y20" s="1638" t="s">
        <v>3290</v>
      </c>
      <c r="Z20" s="1638" t="s">
        <v>3291</v>
      </c>
      <c r="AA20" s="1638" t="s">
        <v>3291</v>
      </c>
      <c r="AB20" s="1638" t="s">
        <v>3285</v>
      </c>
      <c r="AC20" s="1638" t="s">
        <v>3202</v>
      </c>
      <c r="AD20" s="1638" t="s">
        <v>3292</v>
      </c>
      <c r="AE20" s="1638">
        <v>30000</v>
      </c>
      <c r="AF20" s="1638">
        <v>96000</v>
      </c>
      <c r="AG20" s="1638">
        <v>96000</v>
      </c>
      <c r="AH20" s="1638">
        <v>1001.14</v>
      </c>
      <c r="AI20" s="1638">
        <v>1001.14</v>
      </c>
      <c r="AJ20" s="1638">
        <v>6006.83</v>
      </c>
      <c r="AK20" s="1638">
        <v>6006.82</v>
      </c>
      <c r="AL20" s="1638">
        <v>12027</v>
      </c>
      <c r="AM20" s="1638">
        <v>12027</v>
      </c>
      <c r="AN20" s="1638">
        <v>0</v>
      </c>
      <c r="AO20" s="1638" t="s">
        <v>3214</v>
      </c>
      <c r="AP20" s="1638" t="s">
        <v>1331</v>
      </c>
      <c r="AQ20" s="1638" t="s">
        <v>1331</v>
      </c>
      <c r="AR20" s="1638" t="s">
        <v>1331</v>
      </c>
    </row>
    <row r="21" spans="1:44" s="1638" customFormat="1">
      <c r="A21" s="1638" t="s">
        <v>3293</v>
      </c>
      <c r="B21" s="1638" t="s">
        <v>3050</v>
      </c>
      <c r="C21" s="1638" t="s">
        <v>3126</v>
      </c>
      <c r="D21" s="1638" t="s">
        <v>3127</v>
      </c>
      <c r="E21" s="1638" t="s">
        <v>1331</v>
      </c>
      <c r="F21" s="1638" t="s">
        <v>3284</v>
      </c>
      <c r="G21" s="1638" t="s">
        <v>3128</v>
      </c>
      <c r="H21" s="1638" t="s">
        <v>3294</v>
      </c>
      <c r="I21" s="1638" t="s">
        <v>3217</v>
      </c>
      <c r="J21" s="1638">
        <v>139626.79999999999</v>
      </c>
      <c r="K21" s="1638">
        <v>382554</v>
      </c>
      <c r="L21" s="1638">
        <v>2.74</v>
      </c>
      <c r="M21" s="1638" t="s">
        <v>1331</v>
      </c>
      <c r="N21" s="1638" t="s">
        <v>1331</v>
      </c>
      <c r="O21" s="1638" t="s">
        <v>1331</v>
      </c>
      <c r="P21" s="1638" t="s">
        <v>3295</v>
      </c>
      <c r="Q21" s="1638">
        <v>240000</v>
      </c>
      <c r="R21" s="1638">
        <v>240000</v>
      </c>
      <c r="S21" s="1638" t="s">
        <v>3296</v>
      </c>
      <c r="T21" s="1638" t="s">
        <v>1331</v>
      </c>
      <c r="U21" s="1638" t="s">
        <v>1331</v>
      </c>
      <c r="V21" s="1638" t="s">
        <v>1331</v>
      </c>
      <c r="W21" s="1638" t="s">
        <v>3198</v>
      </c>
      <c r="X21" s="1638" t="s">
        <v>3297</v>
      </c>
      <c r="Y21" s="1638" t="s">
        <v>3298</v>
      </c>
      <c r="Z21" s="1638" t="s">
        <v>3299</v>
      </c>
      <c r="AA21" s="1638" t="s">
        <v>3299</v>
      </c>
      <c r="AB21" s="1638" t="s">
        <v>3294</v>
      </c>
      <c r="AC21" s="1638" t="s">
        <v>3202</v>
      </c>
      <c r="AD21" s="1638" t="s">
        <v>3300</v>
      </c>
      <c r="AE21" s="1638">
        <v>51000</v>
      </c>
      <c r="AF21" s="1638">
        <v>170000</v>
      </c>
      <c r="AG21" s="1638">
        <v>171700</v>
      </c>
      <c r="AH21" s="1638">
        <v>811.69</v>
      </c>
      <c r="AI21" s="1638">
        <v>819.8</v>
      </c>
      <c r="AJ21" s="1638">
        <v>4443.8100000000004</v>
      </c>
      <c r="AK21" s="1638">
        <v>4488.26</v>
      </c>
      <c r="AL21" s="1638">
        <v>11925</v>
      </c>
      <c r="AM21" s="1638">
        <v>12045</v>
      </c>
      <c r="AN21" s="1638">
        <v>1</v>
      </c>
      <c r="AO21" s="1638" t="s">
        <v>3214</v>
      </c>
      <c r="AP21" s="1638" t="s">
        <v>1331</v>
      </c>
      <c r="AQ21" s="1638" t="s">
        <v>1331</v>
      </c>
      <c r="AR21" s="1638" t="s">
        <v>1331</v>
      </c>
    </row>
    <row r="22" spans="1:44" s="1638" customFormat="1">
      <c r="A22" s="2969" t="s">
        <v>3301</v>
      </c>
      <c r="B22" s="1638" t="s">
        <v>3050</v>
      </c>
      <c r="C22" s="1638" t="s">
        <v>3126</v>
      </c>
      <c r="D22" s="1638" t="s">
        <v>3127</v>
      </c>
      <c r="E22" s="1638" t="s">
        <v>1331</v>
      </c>
      <c r="F22" s="1638" t="s">
        <v>3302</v>
      </c>
      <c r="G22" s="1638" t="s">
        <v>3128</v>
      </c>
      <c r="H22" s="1638" t="s">
        <v>3303</v>
      </c>
      <c r="I22" s="1638" t="s">
        <v>3304</v>
      </c>
      <c r="J22" s="1638">
        <v>195824</v>
      </c>
      <c r="K22" s="1638">
        <v>466353</v>
      </c>
      <c r="L22" s="1638">
        <v>2.38</v>
      </c>
      <c r="M22" s="1638" t="s">
        <v>1331</v>
      </c>
      <c r="N22" s="1638" t="s">
        <v>1331</v>
      </c>
      <c r="O22" s="1638" t="s">
        <v>1331</v>
      </c>
      <c r="P22" s="1638" t="s">
        <v>3287</v>
      </c>
      <c r="Q22" s="1638">
        <v>130000</v>
      </c>
      <c r="R22" s="1638">
        <v>130000</v>
      </c>
      <c r="S22" s="1638" t="s">
        <v>3305</v>
      </c>
      <c r="T22" s="1638" t="s">
        <v>1331</v>
      </c>
      <c r="U22" s="1638" t="s">
        <v>1331</v>
      </c>
      <c r="V22" s="1638" t="s">
        <v>1331</v>
      </c>
      <c r="W22" s="1638" t="s">
        <v>3198</v>
      </c>
      <c r="X22" s="1638" t="s">
        <v>3306</v>
      </c>
      <c r="Y22" s="1638" t="s">
        <v>3307</v>
      </c>
      <c r="Z22" s="1638" t="s">
        <v>3308</v>
      </c>
      <c r="AA22" s="1638" t="s">
        <v>3308</v>
      </c>
      <c r="AB22" s="1638" t="s">
        <v>3303</v>
      </c>
      <c r="AC22" s="1638" t="s">
        <v>3202</v>
      </c>
      <c r="AD22" s="1638" t="s">
        <v>3309</v>
      </c>
      <c r="AE22" s="1638">
        <v>90000</v>
      </c>
      <c r="AF22" s="1638">
        <v>290000</v>
      </c>
      <c r="AG22" s="1638">
        <v>356000</v>
      </c>
      <c r="AH22" s="1638">
        <v>987.28</v>
      </c>
      <c r="AI22" s="1638">
        <v>1211.97</v>
      </c>
      <c r="AJ22" s="1638">
        <v>6218.46</v>
      </c>
      <c r="AK22" s="1638">
        <v>7633.69</v>
      </c>
      <c r="AL22" s="1638">
        <v>8622</v>
      </c>
      <c r="AM22" s="1638">
        <v>10584</v>
      </c>
      <c r="AN22" s="1638">
        <v>22.76</v>
      </c>
      <c r="AO22" s="1638" t="s">
        <v>3214</v>
      </c>
      <c r="AP22" s="1638" t="s">
        <v>1331</v>
      </c>
      <c r="AQ22" s="1638" t="s">
        <v>1331</v>
      </c>
      <c r="AR22" s="1638" t="s">
        <v>1331</v>
      </c>
    </row>
    <row r="23" spans="1:44" s="1638" customFormat="1">
      <c r="A23" s="1638" t="s">
        <v>3310</v>
      </c>
      <c r="B23" s="1638" t="s">
        <v>3050</v>
      </c>
      <c r="C23" s="1638" t="s">
        <v>3126</v>
      </c>
      <c r="D23" s="1638" t="s">
        <v>3127</v>
      </c>
      <c r="E23" s="1638" t="s">
        <v>1331</v>
      </c>
      <c r="F23" s="1638" t="s">
        <v>3311</v>
      </c>
      <c r="G23" s="1638" t="s">
        <v>3128</v>
      </c>
      <c r="H23" s="1638" t="s">
        <v>3312</v>
      </c>
      <c r="I23" s="1638" t="s">
        <v>3313</v>
      </c>
      <c r="J23" s="1638">
        <v>129786</v>
      </c>
      <c r="K23" s="1638">
        <v>231222</v>
      </c>
      <c r="L23" s="1638">
        <v>1.78</v>
      </c>
      <c r="M23" s="1638" t="s">
        <v>1331</v>
      </c>
      <c r="N23" s="1638" t="s">
        <v>1331</v>
      </c>
      <c r="O23" s="1638" t="s">
        <v>1331</v>
      </c>
      <c r="P23" s="1638" t="s">
        <v>3314</v>
      </c>
      <c r="Q23" s="1638">
        <v>203065</v>
      </c>
      <c r="R23" s="1638">
        <v>203065</v>
      </c>
      <c r="S23" s="1638" t="s">
        <v>1331</v>
      </c>
      <c r="T23" s="1638" t="s">
        <v>1331</v>
      </c>
      <c r="U23" s="1638" t="s">
        <v>1331</v>
      </c>
      <c r="V23" s="1638" t="s">
        <v>1331</v>
      </c>
      <c r="W23" s="1638" t="s">
        <v>3198</v>
      </c>
      <c r="X23" s="1638" t="s">
        <v>3315</v>
      </c>
      <c r="Y23" s="1638" t="s">
        <v>3316</v>
      </c>
      <c r="Z23" s="1638" t="s">
        <v>3317</v>
      </c>
      <c r="AA23" s="1638" t="s">
        <v>3317</v>
      </c>
      <c r="AB23" s="1638" t="s">
        <v>3312</v>
      </c>
      <c r="AC23" s="1638" t="s">
        <v>3202</v>
      </c>
      <c r="AD23" s="1638" t="s">
        <v>3318</v>
      </c>
      <c r="AE23" s="1638">
        <v>16500</v>
      </c>
      <c r="AF23" s="1638">
        <v>54300</v>
      </c>
      <c r="AG23" s="1638">
        <v>81000</v>
      </c>
      <c r="AH23" s="1638">
        <v>278.92</v>
      </c>
      <c r="AI23" s="1638">
        <v>416.07</v>
      </c>
      <c r="AJ23" s="1638">
        <v>2348.39</v>
      </c>
      <c r="AK23" s="1638">
        <v>3503.13</v>
      </c>
      <c r="AL23" s="1638">
        <v>19285</v>
      </c>
      <c r="AM23" s="1638">
        <v>28767</v>
      </c>
      <c r="AN23" s="1638">
        <v>49.17</v>
      </c>
      <c r="AO23" s="1638" t="s">
        <v>3214</v>
      </c>
      <c r="AP23" s="1638" t="s">
        <v>1331</v>
      </c>
      <c r="AQ23" s="1638" t="s">
        <v>1331</v>
      </c>
      <c r="AR23" s="1638" t="s">
        <v>1331</v>
      </c>
    </row>
    <row r="24" spans="1:44" s="1638" customFormat="1">
      <c r="A24" s="1638" t="s">
        <v>3319</v>
      </c>
      <c r="B24" s="1638" t="s">
        <v>3050</v>
      </c>
      <c r="C24" s="1638" t="s">
        <v>3126</v>
      </c>
      <c r="D24" s="1638" t="s">
        <v>3127</v>
      </c>
      <c r="E24" s="1638" t="s">
        <v>1331</v>
      </c>
      <c r="F24" s="1638" t="s">
        <v>3320</v>
      </c>
      <c r="G24" s="1638" t="s">
        <v>3128</v>
      </c>
      <c r="H24" s="1638" t="s">
        <v>3321</v>
      </c>
      <c r="I24" s="1638" t="s">
        <v>3217</v>
      </c>
      <c r="J24" s="1638">
        <v>50730</v>
      </c>
      <c r="K24" s="1638">
        <v>132044</v>
      </c>
      <c r="L24" s="1638">
        <v>2.6</v>
      </c>
      <c r="M24" s="1638" t="s">
        <v>1331</v>
      </c>
      <c r="N24" s="1638" t="s">
        <v>1331</v>
      </c>
      <c r="O24" s="1638" t="s">
        <v>1331</v>
      </c>
      <c r="P24" s="1638" t="s">
        <v>3209</v>
      </c>
      <c r="Q24" s="1638">
        <v>35000</v>
      </c>
      <c r="R24" s="1638">
        <v>73000</v>
      </c>
      <c r="S24" s="1638" t="s">
        <v>1331</v>
      </c>
      <c r="T24" s="1638" t="s">
        <v>1331</v>
      </c>
      <c r="U24" s="1638" t="s">
        <v>1331</v>
      </c>
      <c r="V24" s="1638" t="s">
        <v>1331</v>
      </c>
      <c r="W24" s="1638" t="s">
        <v>3198</v>
      </c>
      <c r="X24" s="1638" t="s">
        <v>3322</v>
      </c>
      <c r="Y24" s="1638" t="s">
        <v>3323</v>
      </c>
      <c r="Z24" s="1638" t="s">
        <v>3324</v>
      </c>
      <c r="AA24" s="1638" t="s">
        <v>3324</v>
      </c>
      <c r="AB24" s="1638" t="s">
        <v>3321</v>
      </c>
      <c r="AC24" s="1638" t="s">
        <v>3202</v>
      </c>
      <c r="AD24" s="1638" t="s">
        <v>3325</v>
      </c>
      <c r="AE24" s="1638">
        <v>23000</v>
      </c>
      <c r="AF24" s="1638">
        <v>76000</v>
      </c>
      <c r="AG24" s="1638">
        <v>112500</v>
      </c>
      <c r="AH24" s="1638">
        <v>998.75</v>
      </c>
      <c r="AI24" s="1638">
        <v>1478.42</v>
      </c>
      <c r="AJ24" s="1638">
        <v>5755.65</v>
      </c>
      <c r="AK24" s="1638">
        <v>8519.8799999999992</v>
      </c>
      <c r="AL24" s="1638">
        <v>7831</v>
      </c>
      <c r="AM24" s="1638">
        <v>19054</v>
      </c>
      <c r="AN24" s="1638">
        <v>48.03</v>
      </c>
      <c r="AO24" s="1638" t="s">
        <v>3214</v>
      </c>
      <c r="AP24" s="1638" t="s">
        <v>1331</v>
      </c>
      <c r="AQ24" s="1638" t="s">
        <v>1331</v>
      </c>
      <c r="AR24" s="1638" t="s">
        <v>1331</v>
      </c>
    </row>
    <row r="25" spans="1:44" s="1638" customFormat="1">
      <c r="A25" s="1638" t="s">
        <v>3326</v>
      </c>
      <c r="B25" s="1638" t="s">
        <v>3050</v>
      </c>
      <c r="C25" s="1638" t="s">
        <v>3126</v>
      </c>
      <c r="D25" s="1638" t="s">
        <v>3127</v>
      </c>
      <c r="E25" s="1638" t="s">
        <v>1331</v>
      </c>
      <c r="F25" s="1638" t="s">
        <v>3327</v>
      </c>
      <c r="G25" s="1638" t="s">
        <v>3224</v>
      </c>
      <c r="H25" s="1638" t="s">
        <v>3328</v>
      </c>
      <c r="I25" s="1638" t="s">
        <v>3329</v>
      </c>
      <c r="J25" s="1638">
        <v>61717</v>
      </c>
      <c r="K25" s="1638">
        <v>123434</v>
      </c>
      <c r="L25" s="1638">
        <v>2</v>
      </c>
      <c r="M25" s="1638" t="s">
        <v>1331</v>
      </c>
      <c r="N25" s="1638" t="s">
        <v>1331</v>
      </c>
      <c r="O25" s="1638" t="s">
        <v>1331</v>
      </c>
      <c r="P25" s="1638" t="s">
        <v>1331</v>
      </c>
      <c r="Q25" s="1638" t="s">
        <v>1331</v>
      </c>
      <c r="R25" s="1638" t="s">
        <v>1331</v>
      </c>
      <c r="S25" s="1638" t="s">
        <v>1331</v>
      </c>
      <c r="T25" s="1638" t="s">
        <v>1331</v>
      </c>
      <c r="U25" s="1638" t="s">
        <v>1331</v>
      </c>
      <c r="V25" s="1638" t="s">
        <v>1331</v>
      </c>
      <c r="W25" s="1638" t="s">
        <v>3198</v>
      </c>
      <c r="X25" s="1638" t="s">
        <v>3330</v>
      </c>
      <c r="Y25" s="1638" t="s">
        <v>3331</v>
      </c>
      <c r="Z25" s="1638" t="s">
        <v>3332</v>
      </c>
      <c r="AA25" s="1638" t="s">
        <v>3332</v>
      </c>
      <c r="AB25" s="1638" t="s">
        <v>3328</v>
      </c>
      <c r="AC25" s="1638" t="s">
        <v>3202</v>
      </c>
      <c r="AD25" s="1638" t="s">
        <v>3218</v>
      </c>
      <c r="AE25" s="1638">
        <v>22000</v>
      </c>
      <c r="AF25" s="1638" t="s">
        <v>1331</v>
      </c>
      <c r="AG25" s="1638">
        <v>120000</v>
      </c>
      <c r="AH25" s="1638" t="s">
        <v>1331</v>
      </c>
      <c r="AI25" s="1638">
        <v>1296.24</v>
      </c>
      <c r="AJ25" s="1638" t="s">
        <v>1331</v>
      </c>
      <c r="AK25" s="1638">
        <v>9721.7900000000009</v>
      </c>
      <c r="AL25" s="1638" t="s">
        <v>1331</v>
      </c>
      <c r="AM25" s="1638" t="s">
        <v>1331</v>
      </c>
      <c r="AN25" s="1638" t="s">
        <v>1331</v>
      </c>
      <c r="AO25" s="1638" t="s">
        <v>3229</v>
      </c>
      <c r="AP25" s="1638" t="s">
        <v>1331</v>
      </c>
      <c r="AQ25" s="1638" t="s">
        <v>1331</v>
      </c>
      <c r="AR25" s="1638" t="s">
        <v>1331</v>
      </c>
    </row>
    <row r="26" spans="1:44" s="1638" customFormat="1">
      <c r="A26" s="1638" t="s">
        <v>3333</v>
      </c>
      <c r="B26" s="1638" t="s">
        <v>3050</v>
      </c>
      <c r="C26" s="1638" t="s">
        <v>3126</v>
      </c>
      <c r="D26" s="1638" t="s">
        <v>3127</v>
      </c>
      <c r="E26" s="1638" t="s">
        <v>1331</v>
      </c>
      <c r="F26" s="1638" t="s">
        <v>3327</v>
      </c>
      <c r="G26" s="1638" t="s">
        <v>3224</v>
      </c>
      <c r="H26" s="1638" t="s">
        <v>3334</v>
      </c>
      <c r="I26" s="1638" t="s">
        <v>3329</v>
      </c>
      <c r="J26" s="1638">
        <v>110888</v>
      </c>
      <c r="K26" s="1638">
        <v>163535</v>
      </c>
      <c r="L26" s="1638">
        <v>1.47</v>
      </c>
      <c r="M26" s="1638" t="s">
        <v>1331</v>
      </c>
      <c r="N26" s="1638" t="s">
        <v>1331</v>
      </c>
      <c r="O26" s="1638" t="s">
        <v>1331</v>
      </c>
      <c r="P26" s="1638" t="s">
        <v>1331</v>
      </c>
      <c r="Q26" s="1638" t="s">
        <v>1331</v>
      </c>
      <c r="R26" s="1638" t="s">
        <v>1331</v>
      </c>
      <c r="S26" s="1638" t="s">
        <v>1331</v>
      </c>
      <c r="T26" s="1638" t="s">
        <v>1331</v>
      </c>
      <c r="U26" s="1638" t="s">
        <v>1331</v>
      </c>
      <c r="V26" s="1638" t="s">
        <v>1331</v>
      </c>
      <c r="W26" s="1638" t="s">
        <v>3198</v>
      </c>
      <c r="X26" s="1638" t="s">
        <v>3335</v>
      </c>
      <c r="Y26" s="1638" t="s">
        <v>3336</v>
      </c>
      <c r="Z26" s="1638" t="s">
        <v>3336</v>
      </c>
      <c r="AA26" s="1638" t="s">
        <v>3336</v>
      </c>
      <c r="AB26" s="1638" t="s">
        <v>3334</v>
      </c>
      <c r="AC26" s="1638" t="s">
        <v>3202</v>
      </c>
      <c r="AD26" s="1638" t="s">
        <v>3325</v>
      </c>
      <c r="AE26" s="1638">
        <v>30000</v>
      </c>
      <c r="AF26" s="1638" t="s">
        <v>1331</v>
      </c>
      <c r="AG26" s="1638">
        <v>193000</v>
      </c>
      <c r="AH26" s="1638" t="s">
        <v>1331</v>
      </c>
      <c r="AI26" s="1638">
        <v>1160.33</v>
      </c>
      <c r="AJ26" s="1638" t="s">
        <v>1331</v>
      </c>
      <c r="AK26" s="1638">
        <v>11801.75</v>
      </c>
      <c r="AL26" s="1638" t="s">
        <v>1331</v>
      </c>
      <c r="AM26" s="1638" t="s">
        <v>1331</v>
      </c>
      <c r="AN26" s="1638" t="s">
        <v>1331</v>
      </c>
      <c r="AO26" s="1638" t="s">
        <v>3229</v>
      </c>
      <c r="AP26" s="1638" t="s">
        <v>1331</v>
      </c>
      <c r="AQ26" s="1638" t="s">
        <v>1331</v>
      </c>
      <c r="AR26" s="1638" t="s">
        <v>1331</v>
      </c>
    </row>
    <row r="27" spans="1:44" s="1638" customFormat="1" ht="14.25">
      <c r="A27" s="2970" t="s">
        <v>3337</v>
      </c>
      <c r="B27" s="1638" t="s">
        <v>3050</v>
      </c>
      <c r="C27" s="1638" t="s">
        <v>3126</v>
      </c>
      <c r="D27" s="1638" t="s">
        <v>3127</v>
      </c>
      <c r="E27" s="1638" t="s">
        <v>1331</v>
      </c>
      <c r="F27" s="1638" t="s">
        <v>3194</v>
      </c>
      <c r="G27" s="1638" t="s">
        <v>3128</v>
      </c>
      <c r="H27" s="1638" t="s">
        <v>3195</v>
      </c>
      <c r="I27" s="1638" t="s">
        <v>3196</v>
      </c>
      <c r="J27" s="1638">
        <v>59119</v>
      </c>
      <c r="K27" s="1638">
        <v>122798</v>
      </c>
      <c r="L27" s="1638">
        <v>2.0099999999999998</v>
      </c>
      <c r="M27" s="1638" t="s">
        <v>1331</v>
      </c>
      <c r="N27" s="1638" t="s">
        <v>1331</v>
      </c>
      <c r="O27" s="1638" t="s">
        <v>1331</v>
      </c>
      <c r="P27" s="1638" t="s">
        <v>3197</v>
      </c>
      <c r="Q27" s="1638">
        <v>42000</v>
      </c>
      <c r="R27" s="1638">
        <v>42000</v>
      </c>
      <c r="S27" s="1638" t="s">
        <v>1331</v>
      </c>
      <c r="T27" s="1638" t="s">
        <v>1331</v>
      </c>
      <c r="U27" s="1638" t="s">
        <v>1331</v>
      </c>
      <c r="V27" s="1638" t="s">
        <v>1331</v>
      </c>
      <c r="W27" s="1638" t="s">
        <v>3198</v>
      </c>
      <c r="X27" s="1638" t="s">
        <v>3199</v>
      </c>
      <c r="Y27" s="1638" t="s">
        <v>3200</v>
      </c>
      <c r="Z27" s="1638" t="s">
        <v>3201</v>
      </c>
      <c r="AA27" s="1638" t="s">
        <v>3201</v>
      </c>
      <c r="AB27" s="1638" t="s">
        <v>3195</v>
      </c>
      <c r="AC27" s="1638" t="s">
        <v>3202</v>
      </c>
      <c r="AD27" s="1638" t="s">
        <v>3203</v>
      </c>
      <c r="AE27" s="1638">
        <v>4000</v>
      </c>
      <c r="AF27" s="1638">
        <v>17000</v>
      </c>
      <c r="AG27" s="1638">
        <v>100500</v>
      </c>
      <c r="AH27" s="1638">
        <v>191.7</v>
      </c>
      <c r="AI27" s="1638">
        <v>1133.31</v>
      </c>
      <c r="AJ27" s="1638">
        <v>1384.38</v>
      </c>
      <c r="AK27" s="1638">
        <v>8184.17</v>
      </c>
      <c r="AL27" s="1638">
        <v>2104</v>
      </c>
      <c r="AM27" s="1638">
        <v>12438</v>
      </c>
      <c r="AN27" s="1638">
        <v>491.18</v>
      </c>
      <c r="AO27" s="1638" t="s">
        <v>3204</v>
      </c>
      <c r="AP27" s="1638" t="s">
        <v>1331</v>
      </c>
      <c r="AQ27" s="1638" t="s">
        <v>1331</v>
      </c>
      <c r="AR27" s="1638" t="s">
        <v>1331</v>
      </c>
    </row>
    <row r="28" spans="1:44" s="1638" customFormat="1">
      <c r="A28" s="1638" t="s">
        <v>3205</v>
      </c>
      <c r="B28" s="1638" t="s">
        <v>3050</v>
      </c>
      <c r="C28" s="1638" t="s">
        <v>3126</v>
      </c>
      <c r="D28" s="1638" t="s">
        <v>3127</v>
      </c>
      <c r="E28" s="1638" t="s">
        <v>1331</v>
      </c>
      <c r="F28" s="1638" t="s">
        <v>3206</v>
      </c>
      <c r="G28" s="1638" t="s">
        <v>3128</v>
      </c>
      <c r="H28" s="1638" t="s">
        <v>3207</v>
      </c>
      <c r="I28" s="1638" t="s">
        <v>3208</v>
      </c>
      <c r="J28" s="1638">
        <v>80121</v>
      </c>
      <c r="K28" s="1638">
        <v>174913</v>
      </c>
      <c r="L28" s="1638">
        <v>2.1800000000000002</v>
      </c>
      <c r="M28" s="1638" t="s">
        <v>1331</v>
      </c>
      <c r="N28" s="1638" t="s">
        <v>1331</v>
      </c>
      <c r="O28" s="1638" t="s">
        <v>1331</v>
      </c>
      <c r="P28" s="1638" t="s">
        <v>3209</v>
      </c>
      <c r="Q28" s="1638">
        <v>67622</v>
      </c>
      <c r="R28" s="1638">
        <v>104622</v>
      </c>
      <c r="S28" s="1638" t="s">
        <v>1331</v>
      </c>
      <c r="T28" s="1638" t="s">
        <v>1331</v>
      </c>
      <c r="U28" s="1638" t="s">
        <v>1331</v>
      </c>
      <c r="V28" s="1638" t="s">
        <v>1331</v>
      </c>
      <c r="W28" s="1638" t="s">
        <v>3198</v>
      </c>
      <c r="X28" s="1638" t="s">
        <v>3210</v>
      </c>
      <c r="Y28" s="1638" t="s">
        <v>3211</v>
      </c>
      <c r="Z28" s="1638" t="s">
        <v>3212</v>
      </c>
      <c r="AA28" s="1638" t="s">
        <v>3212</v>
      </c>
      <c r="AB28" s="1638" t="s">
        <v>3207</v>
      </c>
      <c r="AC28" s="1638" t="s">
        <v>3202</v>
      </c>
      <c r="AD28" s="1638" t="s">
        <v>3213</v>
      </c>
      <c r="AE28" s="1638">
        <v>18000</v>
      </c>
      <c r="AF28" s="1638">
        <v>61380</v>
      </c>
      <c r="AG28" s="1638">
        <v>90000</v>
      </c>
      <c r="AH28" s="1638">
        <v>510.73</v>
      </c>
      <c r="AI28" s="1638">
        <v>748.87</v>
      </c>
      <c r="AJ28" s="1638">
        <v>3509.17</v>
      </c>
      <c r="AK28" s="1638">
        <v>5145.42</v>
      </c>
      <c r="AL28" s="1638">
        <v>5721</v>
      </c>
      <c r="AM28" s="1638">
        <v>12804</v>
      </c>
      <c r="AN28" s="1638">
        <v>46.63</v>
      </c>
      <c r="AO28" s="1638" t="s">
        <v>3214</v>
      </c>
      <c r="AP28" s="1638" t="s">
        <v>1331</v>
      </c>
      <c r="AQ28" s="1638" t="s">
        <v>1331</v>
      </c>
      <c r="AR28" s="1638" t="s">
        <v>1331</v>
      </c>
    </row>
    <row r="29" spans="1:44" s="1638" customFormat="1">
      <c r="A29" s="1638" t="s">
        <v>3215</v>
      </c>
      <c r="B29" s="1638" t="s">
        <v>3050</v>
      </c>
      <c r="C29" s="1638" t="s">
        <v>3126</v>
      </c>
      <c r="D29" s="1638" t="s">
        <v>3127</v>
      </c>
      <c r="E29" s="1638" t="s">
        <v>1331</v>
      </c>
      <c r="F29" s="1638" t="s">
        <v>3206</v>
      </c>
      <c r="G29" s="1638" t="s">
        <v>3128</v>
      </c>
      <c r="H29" s="1638" t="s">
        <v>3216</v>
      </c>
      <c r="I29" s="1638" t="s">
        <v>3217</v>
      </c>
      <c r="J29" s="1638">
        <v>49807</v>
      </c>
      <c r="K29" s="1638">
        <v>119418</v>
      </c>
      <c r="L29" s="1638">
        <v>2.4</v>
      </c>
      <c r="M29" s="1638" t="s">
        <v>1331</v>
      </c>
      <c r="N29" s="1638" t="s">
        <v>1331</v>
      </c>
      <c r="O29" s="1638" t="s">
        <v>1331</v>
      </c>
      <c r="P29" s="1638" t="s">
        <v>3209</v>
      </c>
      <c r="Q29" s="1638">
        <v>52378</v>
      </c>
      <c r="R29" s="1638">
        <v>79378</v>
      </c>
      <c r="S29" s="1638" t="s">
        <v>1331</v>
      </c>
      <c r="T29" s="1638" t="s">
        <v>1331</v>
      </c>
      <c r="U29" s="1638" t="s">
        <v>1331</v>
      </c>
      <c r="V29" s="1638" t="s">
        <v>1331</v>
      </c>
      <c r="W29" s="1638" t="s">
        <v>3198</v>
      </c>
      <c r="X29" s="1638" t="s">
        <v>3210</v>
      </c>
      <c r="Y29" s="1638" t="s">
        <v>3211</v>
      </c>
      <c r="Z29" s="1638" t="s">
        <v>3212</v>
      </c>
      <c r="AA29" s="1638" t="s">
        <v>3212</v>
      </c>
      <c r="AB29" s="1638" t="s">
        <v>3216</v>
      </c>
      <c r="AC29" s="1638" t="s">
        <v>3202</v>
      </c>
      <c r="AD29" s="1638" t="s">
        <v>3218</v>
      </c>
      <c r="AE29" s="1638">
        <v>13000</v>
      </c>
      <c r="AF29" s="1638">
        <v>43850</v>
      </c>
      <c r="AG29" s="1638">
        <v>64000</v>
      </c>
      <c r="AH29" s="1638">
        <v>586.92999999999995</v>
      </c>
      <c r="AI29" s="1638">
        <v>856.64</v>
      </c>
      <c r="AJ29" s="1638">
        <v>3671.97</v>
      </c>
      <c r="AK29" s="1638">
        <v>5359.32</v>
      </c>
      <c r="AL29" s="1638">
        <v>6541</v>
      </c>
      <c r="AM29" s="1638">
        <v>15984</v>
      </c>
      <c r="AN29" s="1638">
        <v>45.95</v>
      </c>
      <c r="AO29" s="1638" t="s">
        <v>3214</v>
      </c>
      <c r="AP29" s="1638" t="s">
        <v>1331</v>
      </c>
      <c r="AQ29" s="1638" t="s">
        <v>1331</v>
      </c>
      <c r="AR29" s="1638" t="s">
        <v>1331</v>
      </c>
    </row>
    <row r="30" spans="1:44" s="1638" customFormat="1">
      <c r="A30" s="1638" t="s">
        <v>3219</v>
      </c>
      <c r="B30" s="1638" t="s">
        <v>3050</v>
      </c>
      <c r="C30" s="1638" t="s">
        <v>3126</v>
      </c>
      <c r="D30" s="1638" t="s">
        <v>3127</v>
      </c>
      <c r="E30" s="1638" t="s">
        <v>1331</v>
      </c>
      <c r="F30" s="1638" t="s">
        <v>3206</v>
      </c>
      <c r="G30" s="1638" t="s">
        <v>3128</v>
      </c>
      <c r="H30" s="1638" t="s">
        <v>3220</v>
      </c>
      <c r="I30" s="1638" t="s">
        <v>3221</v>
      </c>
      <c r="J30" s="1638">
        <v>38960</v>
      </c>
      <c r="K30" s="1638">
        <v>91320</v>
      </c>
      <c r="L30" s="1638">
        <v>3.24</v>
      </c>
      <c r="M30" s="1638" t="s">
        <v>1331</v>
      </c>
      <c r="N30" s="1638" t="s">
        <v>1331</v>
      </c>
      <c r="O30" s="1638" t="s">
        <v>1331</v>
      </c>
      <c r="P30" s="1638" t="s">
        <v>3209</v>
      </c>
      <c r="Q30" s="1638" t="s">
        <v>1331</v>
      </c>
      <c r="R30" s="1638">
        <v>32000</v>
      </c>
      <c r="S30" s="1638" t="s">
        <v>1331</v>
      </c>
      <c r="T30" s="1638" t="s">
        <v>1331</v>
      </c>
      <c r="U30" s="1638" t="s">
        <v>1331</v>
      </c>
      <c r="V30" s="1638" t="s">
        <v>1331</v>
      </c>
      <c r="W30" s="1638" t="s">
        <v>3198</v>
      </c>
      <c r="X30" s="1638" t="s">
        <v>3210</v>
      </c>
      <c r="Y30" s="1638" t="s">
        <v>3211</v>
      </c>
      <c r="Z30" s="1638" t="s">
        <v>3212</v>
      </c>
      <c r="AA30" s="1638" t="s">
        <v>3212</v>
      </c>
      <c r="AB30" s="1638" t="s">
        <v>3220</v>
      </c>
      <c r="AC30" s="1638" t="s">
        <v>3202</v>
      </c>
      <c r="AD30" s="1638" t="s">
        <v>3218</v>
      </c>
      <c r="AE30" s="1638">
        <v>16000</v>
      </c>
      <c r="AF30" s="1638">
        <v>53400</v>
      </c>
      <c r="AG30" s="1638">
        <v>78000</v>
      </c>
      <c r="AH30" s="1638">
        <v>913.76</v>
      </c>
      <c r="AI30" s="1638">
        <v>1334.7</v>
      </c>
      <c r="AJ30" s="1638">
        <v>5847.56</v>
      </c>
      <c r="AK30" s="1638">
        <v>8541.3799999999992</v>
      </c>
      <c r="AL30" s="1638" t="s">
        <v>1331</v>
      </c>
      <c r="AM30" s="1638">
        <v>13149</v>
      </c>
      <c r="AN30" s="1638">
        <v>46.07</v>
      </c>
      <c r="AO30" s="1638" t="s">
        <v>3214</v>
      </c>
      <c r="AP30" s="1638" t="s">
        <v>1331</v>
      </c>
      <c r="AQ30" s="1638" t="s">
        <v>1331</v>
      </c>
      <c r="AR30" s="1638" t="s">
        <v>1331</v>
      </c>
    </row>
    <row r="31" spans="1:44" s="1638" customFormat="1">
      <c r="A31" s="1638" t="s">
        <v>3222</v>
      </c>
      <c r="B31" s="1638" t="s">
        <v>3050</v>
      </c>
      <c r="C31" s="1638" t="s">
        <v>3126</v>
      </c>
      <c r="D31" s="1638" t="s">
        <v>3127</v>
      </c>
      <c r="E31" s="1638" t="s">
        <v>1331</v>
      </c>
      <c r="F31" s="1638" t="s">
        <v>3223</v>
      </c>
      <c r="G31" s="1638" t="s">
        <v>3224</v>
      </c>
      <c r="H31" s="1638" t="s">
        <v>3225</v>
      </c>
      <c r="I31" s="1638" t="s">
        <v>3226</v>
      </c>
      <c r="J31" s="1638">
        <v>56591</v>
      </c>
      <c r="K31" s="1638">
        <v>246593</v>
      </c>
      <c r="L31" s="1638">
        <v>4.3600000000000003</v>
      </c>
      <c r="M31" s="1638" t="s">
        <v>1331</v>
      </c>
      <c r="N31" s="1638" t="s">
        <v>1331</v>
      </c>
      <c r="O31" s="1638" t="s">
        <v>1331</v>
      </c>
      <c r="P31" s="1638" t="s">
        <v>1331</v>
      </c>
      <c r="Q31" s="1638" t="s">
        <v>1331</v>
      </c>
      <c r="R31" s="1638" t="s">
        <v>1331</v>
      </c>
      <c r="S31" s="1638" t="s">
        <v>1331</v>
      </c>
      <c r="T31" s="1638" t="s">
        <v>1331</v>
      </c>
      <c r="U31" s="1638" t="s">
        <v>1331</v>
      </c>
      <c r="V31" s="1638" t="s">
        <v>1331</v>
      </c>
      <c r="W31" s="1638" t="s">
        <v>3198</v>
      </c>
      <c r="X31" s="1638" t="s">
        <v>1331</v>
      </c>
      <c r="Y31" s="1638" t="s">
        <v>3227</v>
      </c>
      <c r="Z31" s="1638" t="s">
        <v>3227</v>
      </c>
      <c r="AA31" s="1638" t="s">
        <v>3227</v>
      </c>
      <c r="AB31" s="1638" t="s">
        <v>1331</v>
      </c>
      <c r="AC31" s="1638" t="s">
        <v>3202</v>
      </c>
      <c r="AD31" s="1638" t="s">
        <v>3228</v>
      </c>
      <c r="AE31" s="1638">
        <v>60000</v>
      </c>
      <c r="AF31" s="1638" t="s">
        <v>1331</v>
      </c>
      <c r="AG31" s="1638">
        <v>192000</v>
      </c>
      <c r="AH31" s="1638" t="s">
        <v>1331</v>
      </c>
      <c r="AI31" s="1638">
        <v>2261.84</v>
      </c>
      <c r="AJ31" s="1638" t="s">
        <v>1331</v>
      </c>
      <c r="AK31" s="1638">
        <v>7786.1</v>
      </c>
      <c r="AL31" s="1638" t="s">
        <v>1331</v>
      </c>
      <c r="AM31" s="1638" t="s">
        <v>1331</v>
      </c>
      <c r="AN31" s="1638" t="s">
        <v>1331</v>
      </c>
      <c r="AO31" s="1638" t="s">
        <v>3229</v>
      </c>
      <c r="AP31" s="1638" t="s">
        <v>1331</v>
      </c>
      <c r="AQ31" s="1638" t="s">
        <v>1331</v>
      </c>
      <c r="AR31" s="1638" t="s">
        <v>1331</v>
      </c>
    </row>
    <row r="32" spans="1:44" s="1638" customFormat="1">
      <c r="A32" s="1638" t="s">
        <v>3230</v>
      </c>
      <c r="B32" s="1638" t="s">
        <v>3050</v>
      </c>
      <c r="C32" s="1638" t="s">
        <v>3126</v>
      </c>
      <c r="D32" s="1638" t="s">
        <v>3127</v>
      </c>
      <c r="E32" s="1638" t="s">
        <v>1331</v>
      </c>
      <c r="F32" s="1638" t="s">
        <v>3223</v>
      </c>
      <c r="G32" s="1638" t="s">
        <v>3224</v>
      </c>
      <c r="H32" s="1638" t="s">
        <v>3231</v>
      </c>
      <c r="I32" s="1638" t="s">
        <v>3232</v>
      </c>
      <c r="J32" s="1638">
        <v>47335</v>
      </c>
      <c r="K32" s="1638">
        <v>155318</v>
      </c>
      <c r="L32" s="1638">
        <v>3.28</v>
      </c>
      <c r="M32" s="1638" t="s">
        <v>1331</v>
      </c>
      <c r="N32" s="1638" t="s">
        <v>1331</v>
      </c>
      <c r="O32" s="1638" t="s">
        <v>1331</v>
      </c>
      <c r="P32" s="1638" t="s">
        <v>1331</v>
      </c>
      <c r="Q32" s="1638" t="s">
        <v>1331</v>
      </c>
      <c r="R32" s="1638" t="s">
        <v>1331</v>
      </c>
      <c r="S32" s="1638" t="s">
        <v>1331</v>
      </c>
      <c r="T32" s="1638" t="s">
        <v>1331</v>
      </c>
      <c r="U32" s="1638" t="s">
        <v>1331</v>
      </c>
      <c r="V32" s="1638" t="s">
        <v>1331</v>
      </c>
      <c r="W32" s="1638" t="s">
        <v>3198</v>
      </c>
      <c r="X32" s="1638" t="s">
        <v>1331</v>
      </c>
      <c r="Y32" s="1638" t="s">
        <v>3233</v>
      </c>
      <c r="Z32" s="1638" t="s">
        <v>3234</v>
      </c>
      <c r="AA32" s="1638" t="s">
        <v>3234</v>
      </c>
      <c r="AB32" s="1638" t="s">
        <v>1331</v>
      </c>
      <c r="AC32" s="1638" t="s">
        <v>3202</v>
      </c>
      <c r="AD32" s="1638" t="s">
        <v>3228</v>
      </c>
      <c r="AE32" s="1638">
        <v>40000</v>
      </c>
      <c r="AF32" s="1638" t="s">
        <v>1331</v>
      </c>
      <c r="AG32" s="1638">
        <v>140000</v>
      </c>
      <c r="AH32" s="1638" t="s">
        <v>1331</v>
      </c>
      <c r="AI32" s="1638">
        <v>1971.76</v>
      </c>
      <c r="AJ32" s="1638" t="s">
        <v>1331</v>
      </c>
      <c r="AK32" s="1638">
        <v>9013.77</v>
      </c>
      <c r="AL32" s="1638" t="s">
        <v>1331</v>
      </c>
      <c r="AM32" s="1638" t="s">
        <v>1331</v>
      </c>
      <c r="AN32" s="1638" t="s">
        <v>1331</v>
      </c>
      <c r="AO32" s="1638" t="s">
        <v>3229</v>
      </c>
      <c r="AP32" s="1638" t="s">
        <v>1331</v>
      </c>
      <c r="AQ32" s="1638" t="s">
        <v>1331</v>
      </c>
      <c r="AR32" s="1638" t="s">
        <v>1331</v>
      </c>
    </row>
    <row r="33" spans="1:44" s="1638" customFormat="1" ht="14.25">
      <c r="A33" s="2970" t="s">
        <v>3338</v>
      </c>
      <c r="B33" s="1638" t="s">
        <v>3050</v>
      </c>
      <c r="C33" s="1638" t="s">
        <v>3129</v>
      </c>
      <c r="D33" s="1638" t="s">
        <v>3127</v>
      </c>
      <c r="E33" s="1638" t="s">
        <v>1331</v>
      </c>
      <c r="F33" s="1638" t="s">
        <v>3236</v>
      </c>
      <c r="G33" s="1638" t="s">
        <v>3128</v>
      </c>
      <c r="H33" s="1638" t="s">
        <v>3237</v>
      </c>
      <c r="I33" s="1638" t="s">
        <v>3238</v>
      </c>
      <c r="J33" s="1638">
        <v>75591</v>
      </c>
      <c r="K33" s="1638">
        <v>173859</v>
      </c>
      <c r="L33" s="1638">
        <v>2.2999999999999998</v>
      </c>
      <c r="M33" s="1638" t="s">
        <v>1331</v>
      </c>
      <c r="N33" s="1638" t="s">
        <v>1331</v>
      </c>
      <c r="O33" s="1638" t="s">
        <v>1331</v>
      </c>
      <c r="P33" s="1638" t="s">
        <v>1331</v>
      </c>
      <c r="Q33" s="1638" t="s">
        <v>1331</v>
      </c>
      <c r="R33" s="1638" t="s">
        <v>1331</v>
      </c>
      <c r="S33" s="1638" t="s">
        <v>1331</v>
      </c>
      <c r="T33" s="1638" t="s">
        <v>1331</v>
      </c>
      <c r="U33" s="1638" t="s">
        <v>1331</v>
      </c>
      <c r="V33" s="1638" t="s">
        <v>1331</v>
      </c>
      <c r="W33" s="1638" t="s">
        <v>3198</v>
      </c>
      <c r="X33" s="1638" t="s">
        <v>1331</v>
      </c>
      <c r="Y33" s="1638" t="s">
        <v>3239</v>
      </c>
      <c r="Z33" s="1638" t="s">
        <v>3240</v>
      </c>
      <c r="AA33" s="1638" t="s">
        <v>3240</v>
      </c>
      <c r="AB33" s="1638" t="s">
        <v>1331</v>
      </c>
      <c r="AC33" s="1638" t="s">
        <v>3202</v>
      </c>
      <c r="AD33" s="1638" t="s">
        <v>3241</v>
      </c>
      <c r="AE33" s="1638">
        <v>21000</v>
      </c>
      <c r="AF33" s="1638">
        <v>68430</v>
      </c>
      <c r="AG33" s="1638">
        <v>98000</v>
      </c>
      <c r="AH33" s="1638">
        <v>603.51</v>
      </c>
      <c r="AI33" s="1638">
        <v>864.3</v>
      </c>
      <c r="AJ33" s="1638">
        <v>3935.94</v>
      </c>
      <c r="AK33" s="1638">
        <v>5636.75</v>
      </c>
      <c r="AL33" s="1638" t="s">
        <v>1331</v>
      </c>
      <c r="AM33" s="1638" t="s">
        <v>1331</v>
      </c>
      <c r="AN33" s="1638">
        <v>43.21</v>
      </c>
      <c r="AO33" s="1638" t="s">
        <v>3242</v>
      </c>
      <c r="AP33" s="1638" t="s">
        <v>1331</v>
      </c>
      <c r="AQ33" s="1638" t="s">
        <v>1331</v>
      </c>
      <c r="AR33" s="1638" t="s">
        <v>1331</v>
      </c>
    </row>
    <row r="34" spans="1:44" s="1638" customFormat="1">
      <c r="A34" s="2969" t="s">
        <v>3243</v>
      </c>
      <c r="B34" s="1638" t="s">
        <v>3050</v>
      </c>
      <c r="C34" s="1638" t="s">
        <v>3126</v>
      </c>
      <c r="D34" s="1638" t="s">
        <v>3127</v>
      </c>
      <c r="E34" s="1638" t="s">
        <v>1331</v>
      </c>
      <c r="F34" s="1638" t="s">
        <v>3236</v>
      </c>
      <c r="G34" s="1638" t="s">
        <v>3128</v>
      </c>
      <c r="H34" s="1638" t="s">
        <v>3244</v>
      </c>
      <c r="I34" s="1638" t="s">
        <v>3245</v>
      </c>
      <c r="J34" s="1638">
        <v>65281</v>
      </c>
      <c r="K34" s="1638">
        <v>151826</v>
      </c>
      <c r="L34" s="1638">
        <v>2.33</v>
      </c>
      <c r="M34" s="1638" t="s">
        <v>1331</v>
      </c>
      <c r="N34" s="1638" t="s">
        <v>1331</v>
      </c>
      <c r="O34" s="1638" t="s">
        <v>1331</v>
      </c>
      <c r="P34" s="1638" t="s">
        <v>1331</v>
      </c>
      <c r="Q34" s="1638" t="s">
        <v>1331</v>
      </c>
      <c r="R34" s="1638" t="s">
        <v>1331</v>
      </c>
      <c r="S34" s="1638" t="s">
        <v>1331</v>
      </c>
      <c r="T34" s="1638" t="s">
        <v>1331</v>
      </c>
      <c r="U34" s="1638" t="s">
        <v>1331</v>
      </c>
      <c r="V34" s="1638" t="s">
        <v>1331</v>
      </c>
      <c r="W34" s="1638" t="s">
        <v>3198</v>
      </c>
      <c r="X34" s="1638" t="s">
        <v>1331</v>
      </c>
      <c r="Y34" s="1638" t="s">
        <v>3239</v>
      </c>
      <c r="Z34" s="1638" t="s">
        <v>3240</v>
      </c>
      <c r="AA34" s="1638" t="s">
        <v>3240</v>
      </c>
      <c r="AB34" s="1638" t="s">
        <v>1331</v>
      </c>
      <c r="AC34" s="1638" t="s">
        <v>3202</v>
      </c>
      <c r="AD34" s="1638" t="s">
        <v>3241</v>
      </c>
      <c r="AE34" s="1638">
        <v>18000</v>
      </c>
      <c r="AF34" s="1638">
        <v>56710</v>
      </c>
      <c r="AG34" s="1638">
        <v>80000</v>
      </c>
      <c r="AH34" s="1638">
        <v>579.14</v>
      </c>
      <c r="AI34" s="1638">
        <v>816.98</v>
      </c>
      <c r="AJ34" s="1638">
        <v>3735.19</v>
      </c>
      <c r="AK34" s="1638">
        <v>5269.18</v>
      </c>
      <c r="AL34" s="1638" t="s">
        <v>1331</v>
      </c>
      <c r="AM34" s="1638" t="s">
        <v>1331</v>
      </c>
      <c r="AN34" s="1638">
        <v>41.07</v>
      </c>
      <c r="AO34" s="1638" t="s">
        <v>3242</v>
      </c>
      <c r="AP34" s="1638" t="s">
        <v>1331</v>
      </c>
      <c r="AQ34" s="1638" t="s">
        <v>1331</v>
      </c>
      <c r="AR34" s="1638" t="s">
        <v>1331</v>
      </c>
    </row>
    <row r="35" spans="1:44" s="1638" customFormat="1">
      <c r="A35" s="1638" t="s">
        <v>3246</v>
      </c>
      <c r="B35" s="1638" t="s">
        <v>3050</v>
      </c>
      <c r="C35" s="1638" t="s">
        <v>3126</v>
      </c>
      <c r="D35" s="1638" t="s">
        <v>3127</v>
      </c>
      <c r="E35" s="1638" t="s">
        <v>1331</v>
      </c>
      <c r="F35" s="1638" t="s">
        <v>3247</v>
      </c>
      <c r="G35" s="1638" t="s">
        <v>3128</v>
      </c>
      <c r="H35" s="1638" t="s">
        <v>3248</v>
      </c>
      <c r="I35" s="1638" t="s">
        <v>3249</v>
      </c>
      <c r="J35" s="1638">
        <v>95398</v>
      </c>
      <c r="K35" s="1638">
        <v>183696</v>
      </c>
      <c r="L35" s="1638">
        <v>1.93</v>
      </c>
      <c r="M35" s="1638" t="s">
        <v>1331</v>
      </c>
      <c r="N35" s="1638" t="s">
        <v>1331</v>
      </c>
      <c r="O35" s="1638" t="s">
        <v>1331</v>
      </c>
      <c r="P35" s="1638" t="s">
        <v>1331</v>
      </c>
      <c r="Q35" s="1638" t="s">
        <v>1331</v>
      </c>
      <c r="R35" s="1638" t="s">
        <v>1331</v>
      </c>
      <c r="S35" s="1638" t="s">
        <v>1331</v>
      </c>
      <c r="T35" s="1638" t="s">
        <v>1331</v>
      </c>
      <c r="U35" s="1638" t="s">
        <v>1331</v>
      </c>
      <c r="V35" s="1638" t="s">
        <v>1331</v>
      </c>
      <c r="W35" s="1638" t="s">
        <v>3198</v>
      </c>
      <c r="X35" s="1638" t="s">
        <v>1331</v>
      </c>
      <c r="Y35" s="1638" t="s">
        <v>3250</v>
      </c>
      <c r="Z35" s="1638" t="s">
        <v>3251</v>
      </c>
      <c r="AA35" s="1638" t="s">
        <v>3251</v>
      </c>
      <c r="AB35" s="1638" t="s">
        <v>1331</v>
      </c>
      <c r="AC35" s="1638" t="s">
        <v>3202</v>
      </c>
      <c r="AD35" s="1638" t="s">
        <v>3252</v>
      </c>
      <c r="AE35" s="1638">
        <v>16000</v>
      </c>
      <c r="AF35" s="1638">
        <v>64500</v>
      </c>
      <c r="AG35" s="1638">
        <v>94000</v>
      </c>
      <c r="AH35" s="1638">
        <v>450.74</v>
      </c>
      <c r="AI35" s="1638">
        <v>656.9</v>
      </c>
      <c r="AJ35" s="1638">
        <v>3511.23</v>
      </c>
      <c r="AK35" s="1638">
        <v>5117.1400000000003</v>
      </c>
      <c r="AL35" s="1638" t="s">
        <v>1331</v>
      </c>
      <c r="AM35" s="1638" t="s">
        <v>1331</v>
      </c>
      <c r="AN35" s="1638">
        <v>45.74</v>
      </c>
      <c r="AO35" s="1638" t="s">
        <v>3204</v>
      </c>
      <c r="AP35" s="1638" t="s">
        <v>1331</v>
      </c>
      <c r="AQ35" s="1638" t="s">
        <v>1331</v>
      </c>
      <c r="AR35" s="1638" t="s">
        <v>1331</v>
      </c>
    </row>
    <row r="36" spans="1:44" s="1638" customFormat="1">
      <c r="A36" s="1638" t="s">
        <v>3253</v>
      </c>
      <c r="B36" s="1638" t="s">
        <v>3050</v>
      </c>
      <c r="C36" s="1638" t="s">
        <v>3126</v>
      </c>
      <c r="D36" s="1638" t="s">
        <v>3127</v>
      </c>
      <c r="E36" s="1638" t="s">
        <v>1331</v>
      </c>
      <c r="F36" s="1638" t="s">
        <v>3247</v>
      </c>
      <c r="G36" s="1638" t="s">
        <v>3128</v>
      </c>
      <c r="H36" s="1638" t="s">
        <v>3254</v>
      </c>
      <c r="I36" s="1638" t="s">
        <v>3255</v>
      </c>
      <c r="J36" s="1638">
        <v>87821</v>
      </c>
      <c r="K36" s="1638">
        <v>177647</v>
      </c>
      <c r="L36" s="1638">
        <v>2.02</v>
      </c>
      <c r="M36" s="1638" t="s">
        <v>1331</v>
      </c>
      <c r="N36" s="1638" t="s">
        <v>1331</v>
      </c>
      <c r="O36" s="1638" t="s">
        <v>1331</v>
      </c>
      <c r="P36" s="1638" t="s">
        <v>1331</v>
      </c>
      <c r="Q36" s="1638" t="s">
        <v>1331</v>
      </c>
      <c r="R36" s="1638" t="s">
        <v>1331</v>
      </c>
      <c r="S36" s="1638" t="s">
        <v>1331</v>
      </c>
      <c r="T36" s="1638" t="s">
        <v>1331</v>
      </c>
      <c r="U36" s="1638" t="s">
        <v>1331</v>
      </c>
      <c r="V36" s="1638" t="s">
        <v>1331</v>
      </c>
      <c r="W36" s="1638" t="s">
        <v>3198</v>
      </c>
      <c r="X36" s="1638" t="s">
        <v>1331</v>
      </c>
      <c r="Y36" s="1638" t="s">
        <v>3256</v>
      </c>
      <c r="Z36" s="1638" t="s">
        <v>3257</v>
      </c>
      <c r="AA36" s="1638" t="s">
        <v>3257</v>
      </c>
      <c r="AB36" s="1638" t="s">
        <v>1331</v>
      </c>
      <c r="AC36" s="1638" t="s">
        <v>3202</v>
      </c>
      <c r="AD36" s="1638" t="s">
        <v>3258</v>
      </c>
      <c r="AE36" s="1638">
        <v>14000</v>
      </c>
      <c r="AF36" s="1638">
        <v>55400</v>
      </c>
      <c r="AG36" s="1638">
        <v>56300</v>
      </c>
      <c r="AH36" s="1638">
        <v>420.55</v>
      </c>
      <c r="AI36" s="1638">
        <v>427.38</v>
      </c>
      <c r="AJ36" s="1638">
        <v>3118.54</v>
      </c>
      <c r="AK36" s="1638">
        <v>3169.21</v>
      </c>
      <c r="AL36" s="1638" t="s">
        <v>1331</v>
      </c>
      <c r="AM36" s="1638" t="s">
        <v>1331</v>
      </c>
      <c r="AN36" s="1638">
        <v>1.62</v>
      </c>
      <c r="AO36" s="1638" t="s">
        <v>3214</v>
      </c>
      <c r="AP36" s="1638" t="s">
        <v>1331</v>
      </c>
      <c r="AQ36" s="1638" t="s">
        <v>1331</v>
      </c>
      <c r="AR36" s="1638" t="s">
        <v>1331</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L1" sqref="L1"/>
    </sheetView>
  </sheetViews>
  <sheetFormatPr defaultRowHeight="13.5"/>
  <sheetData/>
  <phoneticPr fontId="254" type="noConversion"/>
  <pageMargins left="0.7" right="0.7" top="0.75" bottom="0.75" header="0.3" footer="0.3"/>
  <pageSetup paperSize="9" scale="7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6:U9"/>
  <sheetViews>
    <sheetView topLeftCell="A19" workbookViewId="0">
      <selection activeCell="P27" sqref="P27"/>
    </sheetView>
  </sheetViews>
  <sheetFormatPr defaultRowHeight="13.5"/>
  <sheetData>
    <row r="6" spans="15:21">
      <c r="R6" s="2967" t="s">
        <v>3278</v>
      </c>
      <c r="S6" s="2967" t="s">
        <v>3279</v>
      </c>
      <c r="T6" s="2967" t="s">
        <v>3280</v>
      </c>
      <c r="U6" s="2967" t="s">
        <v>3281</v>
      </c>
    </row>
    <row r="7" spans="15:21">
      <c r="O7" s="2967" t="s">
        <v>3274</v>
      </c>
      <c r="P7">
        <v>122798</v>
      </c>
      <c r="Q7" s="2967" t="s">
        <v>3277</v>
      </c>
      <c r="R7" s="2967">
        <f>SUM(R8:R9)</f>
        <v>122346</v>
      </c>
      <c r="S7">
        <v>100500</v>
      </c>
      <c r="T7">
        <v>59119</v>
      </c>
    </row>
    <row r="8" spans="15:21">
      <c r="O8" s="2968" t="s">
        <v>3275</v>
      </c>
      <c r="P8" s="2968">
        <f>P7-P9</f>
        <v>80798</v>
      </c>
      <c r="Q8" s="2968">
        <v>7345</v>
      </c>
      <c r="R8" s="2968">
        <f>ROUND(P8*Q8/10000,0)</f>
        <v>59346</v>
      </c>
      <c r="S8" s="2968">
        <f>ROUND(R8/R7*S7,0)</f>
        <v>48749</v>
      </c>
      <c r="T8" s="2968">
        <f>ROUND(P8/P7*T7,0)</f>
        <v>38899</v>
      </c>
      <c r="U8">
        <f>ROUND(S8*10000/P8,0)</f>
        <v>6033</v>
      </c>
    </row>
    <row r="9" spans="15:21">
      <c r="O9" s="2967" t="s">
        <v>3276</v>
      </c>
      <c r="P9">
        <v>42000</v>
      </c>
      <c r="Q9">
        <v>15000</v>
      </c>
      <c r="R9">
        <f>ROUND(P9*Q9/10000,0)</f>
        <v>63000</v>
      </c>
      <c r="S9">
        <f>S7-S8</f>
        <v>51751</v>
      </c>
      <c r="T9">
        <f>T7-T8</f>
        <v>20220</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3" t="str">
        <f>IF(项目基本情况!B9="房地产市场价值","估价结果一览表","结果表-2")</f>
        <v>估价结果一览表</v>
      </c>
      <c r="B1" s="2993"/>
      <c r="C1" s="2993"/>
      <c r="D1" s="2993"/>
      <c r="E1" s="2993"/>
      <c r="F1" s="2993"/>
      <c r="G1" s="2993"/>
      <c r="H1" s="2993"/>
      <c r="I1" s="2993"/>
    </row>
    <row r="2" spans="1:9" ht="30" customHeight="1" thickTop="1">
      <c r="A2" s="2994" t="s">
        <v>1641</v>
      </c>
      <c r="B2" s="2994" t="s">
        <v>1642</v>
      </c>
      <c r="C2" s="2994" t="s">
        <v>1643</v>
      </c>
      <c r="D2" s="2994" t="str">
        <f>结果表!D116</f>
        <v>出让国有建设用地使用权价值</v>
      </c>
      <c r="E2" s="2994"/>
      <c r="F2" s="2994" t="str">
        <f>结果表!F116</f>
        <v>在建建筑物价值</v>
      </c>
      <c r="G2" s="2994"/>
      <c r="H2" s="2994" t="str">
        <f>IF(项目基本情况!B9="房地产市场价值","房地产市场价值","房地产价值")</f>
        <v>房地产市场价值</v>
      </c>
      <c r="I2" s="2994"/>
    </row>
    <row r="3" spans="1:9" ht="15">
      <c r="A3" s="2988"/>
      <c r="B3" s="2988"/>
      <c r="C3" s="2988"/>
      <c r="D3" s="1047" t="s">
        <v>1638</v>
      </c>
      <c r="E3" s="1047" t="s">
        <v>1644</v>
      </c>
      <c r="F3" s="1047" t="s">
        <v>1638</v>
      </c>
      <c r="G3" s="1047" t="s">
        <v>1639</v>
      </c>
      <c r="H3" s="1047" t="s">
        <v>1638</v>
      </c>
      <c r="I3" s="1047" t="s">
        <v>1639</v>
      </c>
    </row>
    <row r="4" spans="1:9" ht="45">
      <c r="A4" s="1976" t="str">
        <f>项目基本情况!S2</f>
        <v>北京市通州区潞河镇（武夷花园东区）限价住宅及地下车库用房房地产市场价值房地产</v>
      </c>
      <c r="B4" s="1047">
        <f>项目基本情况!C17</f>
        <v>107692.8</v>
      </c>
      <c r="C4" s="1047">
        <f>项目基本情况!C18</f>
        <v>24664.240000000002</v>
      </c>
      <c r="D4" s="1047" t="e">
        <f ca="1">结果表!D118</f>
        <v>#REF!</v>
      </c>
      <c r="E4" s="1047" t="e">
        <f ca="1">结果表!E118</f>
        <v>#REF!</v>
      </c>
      <c r="F4" s="1047" t="e">
        <f ca="1">结果表!F118</f>
        <v>#REF!</v>
      </c>
      <c r="G4" s="1047" t="e">
        <f ca="1">结果表!G118</f>
        <v>#REF!</v>
      </c>
      <c r="H4" s="1047">
        <f ca="1">结果表!H118</f>
        <v>52980</v>
      </c>
      <c r="I4" s="1047">
        <f ca="1">结果表!I118</f>
        <v>7914</v>
      </c>
    </row>
    <row r="5" spans="1:9" ht="30" customHeight="1">
      <c r="A5" s="2988" t="s">
        <v>1640</v>
      </c>
      <c r="B5" s="2988"/>
      <c r="C5" s="2988"/>
      <c r="D5" s="2989" t="e">
        <f ca="1">结果表!D119</f>
        <v>#REF!</v>
      </c>
      <c r="E5" s="2989"/>
      <c r="F5" s="2989" t="e">
        <f ca="1">结果表!F119</f>
        <v>#REF!</v>
      </c>
      <c r="G5" s="2989"/>
      <c r="H5" s="2989" t="str">
        <f ca="1">结果表!H119</f>
        <v>伍亿贰仟玖佰捌拾万元整</v>
      </c>
      <c r="I5" s="2989"/>
    </row>
    <row r="6" spans="1:9" ht="15.75">
      <c r="A6" s="2987" t="str">
        <f>结果表!A120</f>
        <v/>
      </c>
      <c r="B6" s="2987"/>
      <c r="C6" s="2987"/>
      <c r="D6" s="2987">
        <f>结果表!D120</f>
        <v>0</v>
      </c>
      <c r="E6" s="2987"/>
      <c r="F6" s="2987"/>
      <c r="G6" s="2987"/>
      <c r="H6" s="2987"/>
      <c r="I6" s="2987"/>
    </row>
    <row r="7" spans="1:9" ht="15">
      <c r="A7" s="2988" t="s">
        <v>1640</v>
      </c>
      <c r="B7" s="2988"/>
      <c r="C7" s="2988"/>
      <c r="D7" s="2990" t="str">
        <f>结果表!D121</f>
        <v>零元整</v>
      </c>
      <c r="E7" s="2991"/>
      <c r="F7" s="2991"/>
      <c r="G7" s="2991"/>
      <c r="H7" s="2991"/>
      <c r="I7" s="2992"/>
    </row>
    <row r="8" spans="1:9" ht="15.75">
      <c r="A8" s="2987" t="str">
        <f>结果表!A122</f>
        <v/>
      </c>
      <c r="B8" s="2987"/>
      <c r="C8" s="2987"/>
      <c r="D8" s="2987">
        <f ca="1">结果表!D122</f>
        <v>52980</v>
      </c>
      <c r="E8" s="2987"/>
      <c r="F8" s="2987"/>
      <c r="G8" s="2987"/>
      <c r="H8" s="2987"/>
      <c r="I8" s="2987"/>
    </row>
    <row r="9" spans="1:9" ht="15">
      <c r="A9" s="2988" t="s">
        <v>1640</v>
      </c>
      <c r="B9" s="2988"/>
      <c r="C9" s="2988"/>
      <c r="D9" s="2989" t="str">
        <f ca="1">结果表!D123</f>
        <v>伍亿贰仟玖佰捌拾万元整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1640</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1640</v>
      </c>
      <c r="B13" s="2984"/>
      <c r="C13" s="2984"/>
      <c r="D13" s="2985" t="e">
        <f>结果表!D127</f>
        <v>#VALUE!</v>
      </c>
      <c r="E13" s="2985"/>
      <c r="F13" s="2985"/>
      <c r="G13" s="2985"/>
      <c r="H13" s="2985"/>
      <c r="I13" s="2985"/>
    </row>
    <row r="14" spans="1:9" ht="15" thickTop="1">
      <c r="A14" s="2986" t="s">
        <v>1645</v>
      </c>
      <c r="B14" s="2986"/>
      <c r="C14" s="2986"/>
      <c r="D14" s="2986"/>
      <c r="E14" s="2986"/>
      <c r="F14" s="2986"/>
      <c r="G14" s="2986"/>
      <c r="H14" s="2986"/>
      <c r="I14" s="2986"/>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7:T10"/>
  <sheetViews>
    <sheetView workbookViewId="0">
      <selection activeCell="R27" sqref="R27"/>
    </sheetView>
  </sheetViews>
  <sheetFormatPr defaultRowHeight="13.5"/>
  <sheetData>
    <row r="7" spans="14:20">
      <c r="Q7" s="2967" t="s">
        <v>3278</v>
      </c>
      <c r="R7" s="2967" t="s">
        <v>3279</v>
      </c>
      <c r="S7" s="2967" t="s">
        <v>3280</v>
      </c>
      <c r="T7" s="2967" t="s">
        <v>3281</v>
      </c>
    </row>
    <row r="8" spans="14:20">
      <c r="N8" s="2967" t="s">
        <v>3274</v>
      </c>
      <c r="O8">
        <v>173859</v>
      </c>
      <c r="P8" s="2967" t="s">
        <v>3277</v>
      </c>
      <c r="Q8" s="2967">
        <f>SUM(Q9:Q10)</f>
        <v>268968</v>
      </c>
      <c r="R8">
        <v>98000</v>
      </c>
      <c r="S8">
        <v>75591</v>
      </c>
    </row>
    <row r="9" spans="14:20">
      <c r="N9" s="2968" t="s">
        <v>3275</v>
      </c>
      <c r="O9" s="2968">
        <v>63000</v>
      </c>
      <c r="P9" s="2968">
        <v>7500</v>
      </c>
      <c r="Q9" s="2968">
        <f>ROUND(O9*P9/10000,0)</f>
        <v>47250</v>
      </c>
      <c r="R9" s="2968">
        <f>ROUND(Q9/Q8*R8,0)</f>
        <v>17216</v>
      </c>
      <c r="S9" s="2968">
        <f>ROUND(O9/O8*S8,0)</f>
        <v>27391</v>
      </c>
      <c r="T9">
        <f>ROUND(R9*10000/O9,0)</f>
        <v>2733</v>
      </c>
    </row>
    <row r="10" spans="14:20">
      <c r="N10" s="2967" t="s">
        <v>3276</v>
      </c>
      <c r="O10">
        <f>O8-O9</f>
        <v>110859</v>
      </c>
      <c r="P10">
        <v>20000</v>
      </c>
      <c r="Q10">
        <f>ROUND(O10*P10/10000,0)</f>
        <v>221718</v>
      </c>
      <c r="R10">
        <f>R8-R9</f>
        <v>80784</v>
      </c>
      <c r="S10">
        <f>S8-S9</f>
        <v>48200</v>
      </c>
    </row>
  </sheetData>
  <phoneticPr fontId="143"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8:U11"/>
  <sheetViews>
    <sheetView workbookViewId="0">
      <selection activeCell="O9" sqref="O9"/>
    </sheetView>
  </sheetViews>
  <sheetFormatPr defaultRowHeight="13.5"/>
  <sheetData>
    <row r="8" spans="15:21">
      <c r="O8" s="2967" t="s">
        <v>3346</v>
      </c>
      <c r="R8" s="2967" t="s">
        <v>3278</v>
      </c>
      <c r="S8" s="2967" t="s">
        <v>3279</v>
      </c>
      <c r="T8" s="2967" t="s">
        <v>3280</v>
      </c>
      <c r="U8" s="2967" t="s">
        <v>3281</v>
      </c>
    </row>
    <row r="9" spans="15:21">
      <c r="O9" s="2967" t="s">
        <v>3274</v>
      </c>
      <c r="P9">
        <v>175155</v>
      </c>
      <c r="Q9" s="2967" t="s">
        <v>3277</v>
      </c>
      <c r="R9" s="2967">
        <f>SUM(R10:R11)</f>
        <v>235623</v>
      </c>
      <c r="S9">
        <v>128000</v>
      </c>
      <c r="T9">
        <v>76674</v>
      </c>
    </row>
    <row r="10" spans="15:21">
      <c r="O10" s="2968" t="s">
        <v>3275</v>
      </c>
      <c r="P10" s="2968">
        <v>63500</v>
      </c>
      <c r="Q10" s="2968">
        <v>8000</v>
      </c>
      <c r="R10" s="2968">
        <f>ROUND(P10*Q10/10000,0)</f>
        <v>50800</v>
      </c>
      <c r="S10" s="2968">
        <f>ROUND(R10/R9*S9,0)</f>
        <v>27597</v>
      </c>
      <c r="T10" s="2968">
        <f>ROUND(P10/P9*T9,0)</f>
        <v>27797</v>
      </c>
      <c r="U10">
        <f>ROUND(S10*10000/P10,0)</f>
        <v>4346</v>
      </c>
    </row>
    <row r="11" spans="15:21">
      <c r="O11" s="2967" t="s">
        <v>3276</v>
      </c>
      <c r="P11">
        <f>P9-P10</f>
        <v>111655</v>
      </c>
      <c r="Q11">
        <v>16553</v>
      </c>
      <c r="R11">
        <f>ROUND(P11*Q11/10000,0)</f>
        <v>184823</v>
      </c>
      <c r="S11">
        <f>S9-S10</f>
        <v>100403</v>
      </c>
      <c r="T11">
        <f>T9-T10</f>
        <v>48877</v>
      </c>
    </row>
  </sheetData>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7:T10"/>
  <sheetViews>
    <sheetView workbookViewId="0">
      <selection activeCell="Q34" sqref="Q34"/>
    </sheetView>
  </sheetViews>
  <sheetFormatPr defaultRowHeight="13.5"/>
  <sheetData>
    <row r="7" spans="14:20">
      <c r="Q7" s="2967" t="s">
        <v>3278</v>
      </c>
      <c r="R7" s="2967" t="s">
        <v>3279</v>
      </c>
      <c r="S7" s="2967" t="s">
        <v>3280</v>
      </c>
      <c r="T7" s="2967" t="s">
        <v>3281</v>
      </c>
    </row>
    <row r="8" spans="14:20">
      <c r="N8" s="2967" t="s">
        <v>3274</v>
      </c>
      <c r="O8">
        <v>447035</v>
      </c>
      <c r="P8" s="2967" t="s">
        <v>3277</v>
      </c>
      <c r="Q8" s="2967">
        <f>SUM(Q9:Q10)</f>
        <v>637256</v>
      </c>
      <c r="R8">
        <v>356000</v>
      </c>
      <c r="S8">
        <v>195824</v>
      </c>
    </row>
    <row r="9" spans="14:20">
      <c r="N9" s="2968" t="s">
        <v>3275</v>
      </c>
      <c r="O9" s="2968">
        <v>130000</v>
      </c>
      <c r="P9" s="2968">
        <v>10000</v>
      </c>
      <c r="Q9" s="2968">
        <f>ROUND(O9*P9/10000,0)</f>
        <v>130000</v>
      </c>
      <c r="R9" s="2968">
        <f>ROUND(Q9/Q8*R8,0)</f>
        <v>72624</v>
      </c>
      <c r="S9" s="2968">
        <f>ROUND(O9/O8*S8,0)</f>
        <v>56947</v>
      </c>
      <c r="T9">
        <f>ROUND(R9*10000/O9,0)</f>
        <v>5586</v>
      </c>
    </row>
    <row r="10" spans="14:20">
      <c r="N10" s="2967" t="s">
        <v>3282</v>
      </c>
      <c r="O10">
        <f>O8-O9</f>
        <v>317035</v>
      </c>
      <c r="P10">
        <v>16000</v>
      </c>
      <c r="Q10">
        <f>ROUND(O10*P10/10000,0)</f>
        <v>507256</v>
      </c>
      <c r="R10">
        <f>R8-R9</f>
        <v>283376</v>
      </c>
      <c r="S10">
        <f>S8-S9</f>
        <v>138877</v>
      </c>
    </row>
  </sheetData>
  <phoneticPr fontId="143"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8:V11"/>
  <sheetViews>
    <sheetView topLeftCell="A50" workbookViewId="0">
      <selection activeCell="H79" sqref="H79"/>
    </sheetView>
  </sheetViews>
  <sheetFormatPr defaultRowHeight="13.5"/>
  <sheetData>
    <row r="8" spans="16:22">
      <c r="S8" s="2967" t="s">
        <v>3278</v>
      </c>
      <c r="T8" s="2967" t="s">
        <v>3279</v>
      </c>
      <c r="U8" s="2967" t="s">
        <v>3280</v>
      </c>
      <c r="V8" s="2967" t="s">
        <v>3281</v>
      </c>
    </row>
    <row r="9" spans="16:22">
      <c r="P9" s="2967" t="s">
        <v>3274</v>
      </c>
      <c r="Q9">
        <v>148500</v>
      </c>
      <c r="R9" s="2967" t="s">
        <v>3277</v>
      </c>
      <c r="S9" s="2967">
        <f>SUM(S10:S11)</f>
        <v>437190</v>
      </c>
      <c r="T9">
        <v>121000</v>
      </c>
      <c r="U9">
        <v>99000.25</v>
      </c>
    </row>
    <row r="10" spans="16:22">
      <c r="P10" s="2968" t="s">
        <v>3275</v>
      </c>
      <c r="Q10" s="2968">
        <v>44600</v>
      </c>
      <c r="R10" s="2968">
        <v>9500</v>
      </c>
      <c r="S10" s="2968">
        <f>ROUND(Q10*R10/10000,0)</f>
        <v>42370</v>
      </c>
      <c r="T10" s="2968">
        <f>ROUND(S10/S9*T9,0)</f>
        <v>11727</v>
      </c>
      <c r="U10" s="2968">
        <f>ROUND(Q10/Q9*U9,0)</f>
        <v>29733</v>
      </c>
      <c r="V10">
        <f>ROUND(T10*10000/Q10,0)</f>
        <v>2629</v>
      </c>
    </row>
    <row r="11" spans="16:22">
      <c r="P11" s="2967" t="s">
        <v>3282</v>
      </c>
      <c r="Q11">
        <f>Q9-Q10</f>
        <v>103900</v>
      </c>
      <c r="R11">
        <v>38000</v>
      </c>
      <c r="S11">
        <f>ROUND(Q11*R11/10000,0)</f>
        <v>394820</v>
      </c>
      <c r="T11">
        <f>T9-T10</f>
        <v>109273</v>
      </c>
      <c r="U11">
        <f>U9-U10</f>
        <v>69267.25</v>
      </c>
    </row>
  </sheetData>
  <phoneticPr fontId="143"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3" sqref="P33"/>
    </sheetView>
  </sheetViews>
  <sheetFormatPr defaultRowHeight="13.5"/>
  <sheetData/>
  <phoneticPr fontId="143"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9" sqref="O29"/>
    </sheetView>
  </sheetViews>
  <sheetFormatPr defaultRowHeight="13.5"/>
  <sheetData/>
  <phoneticPr fontId="143"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A46" sqref="A46"/>
    </sheetView>
  </sheetViews>
  <sheetFormatPr defaultRowHeight="13.5"/>
  <sheetData/>
  <phoneticPr fontId="143"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8" sqref="N28"/>
    </sheetView>
  </sheetViews>
  <sheetFormatPr defaultRowHeight="13.5"/>
  <sheetData/>
  <phoneticPr fontId="143"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O28" sqref="O28"/>
    </sheetView>
  </sheetViews>
  <sheetFormatPr defaultRowHeight="13.5"/>
  <sheetData/>
  <phoneticPr fontId="14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1" t="s">
        <v>1662</v>
      </c>
      <c r="B1" s="3001"/>
      <c r="C1" s="3001"/>
      <c r="D1" s="3001"/>
    </row>
    <row r="2" spans="1:4" ht="18">
      <c r="A2" s="3002" t="s">
        <v>1646</v>
      </c>
      <c r="B2" s="3002"/>
      <c r="C2" s="3002"/>
      <c r="D2" s="3002"/>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崔锴</v>
      </c>
      <c r="B5" s="1982">
        <f ca="1">项目基本情况!E4</f>
        <v>1120100036</v>
      </c>
      <c r="C5" s="1985"/>
      <c r="D5" s="1984" t="s">
        <v>1651</v>
      </c>
    </row>
    <row r="6" spans="1:4" ht="18">
      <c r="A6" s="3002" t="s">
        <v>1652</v>
      </c>
      <c r="B6" s="3002"/>
      <c r="C6" s="3002"/>
      <c r="D6" s="300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3" t="s">
        <v>1655</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0"/>
      <c r="C12" s="3000"/>
      <c r="D12" s="3000"/>
    </row>
    <row r="13" spans="1:4" ht="30" customHeight="1">
      <c r="A13" s="2995" t="str">
        <f>IF(项目基本情况!B8="抵押","3.抵押双方在办理抵押登记手续时，应使用本公司出具的正式《房地产评估报告》，特提醒报告使用者注意。","——")</f>
        <v>——</v>
      </c>
      <c r="B13" s="3000"/>
      <c r="C13" s="3000"/>
      <c r="D13" s="3000"/>
    </row>
    <row r="14" spans="1:4" ht="15.75" customHeight="1">
      <c r="A14" s="2995" t="str">
        <f>IF(项目基本情况!B8="抵押","4.本次评估估价师所知悉的法定优先受偿款情况说明如下：","——")</f>
        <v>——</v>
      </c>
      <c r="B14" s="3000"/>
      <c r="C14" s="3000"/>
      <c r="D14" s="3000"/>
    </row>
    <row r="15" spans="1:4" ht="42" customHeight="1">
      <c r="A15" s="2995" t="str">
        <f>IF(项目基本情况!B8="抵押","（1）"&amp;CONCATENATE(项目基本情况!L20,项目基本情况!L21,项目基本情况!L22),"——")</f>
        <v>——</v>
      </c>
      <c r="B15" s="2995"/>
      <c r="C15" s="2995"/>
      <c r="D15" s="2995"/>
    </row>
    <row r="16" spans="1:4" ht="30" customHeight="1">
      <c r="A16" s="2997" t="s">
        <v>1656</v>
      </c>
      <c r="B16" s="2997"/>
      <c r="C16" s="2997"/>
      <c r="D16" s="2997"/>
    </row>
    <row r="17" spans="1:4" ht="144" customHeight="1">
      <c r="A17" s="2997" t="s">
        <v>1657</v>
      </c>
      <c r="B17" s="2997"/>
      <c r="C17" s="2997"/>
      <c r="D17" s="2997"/>
    </row>
    <row r="18" spans="1:4" ht="15.75" customHeight="1">
      <c r="A18" s="2995" t="str">
        <f>IF(项目基本情况!B8="抵押",结果表!K120,"——")</f>
        <v>——</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1658</v>
      </c>
      <c r="B22" s="2999"/>
      <c r="C22" s="2999"/>
      <c r="D22" s="299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9" t="s">
        <v>1669</v>
      </c>
      <c r="B15" s="3004" t="s">
        <v>136</v>
      </c>
      <c r="C15" s="3005"/>
    </row>
    <row r="16" spans="1:7" ht="13.5">
      <c r="A16" s="3010"/>
      <c r="B16" s="3004" t="s">
        <v>69</v>
      </c>
      <c r="C16" s="3005"/>
    </row>
    <row r="17" spans="1:3" ht="13.5">
      <c r="A17" s="3010"/>
      <c r="B17" s="3007" t="s">
        <v>1670</v>
      </c>
      <c r="C17" s="2003" t="s">
        <v>1669</v>
      </c>
    </row>
    <row r="18" spans="1:3" ht="13.5">
      <c r="A18" s="3010"/>
      <c r="B18" s="3007"/>
      <c r="C18" s="2003" t="s">
        <v>1671</v>
      </c>
    </row>
    <row r="19" spans="1:3" ht="13.5">
      <c r="A19" s="3010"/>
      <c r="B19" s="3007"/>
      <c r="C19" s="2003" t="s">
        <v>1672</v>
      </c>
    </row>
    <row r="20" spans="1:3" ht="13.5">
      <c r="A20" s="3011"/>
      <c r="B20" s="3006" t="s">
        <v>1673</v>
      </c>
      <c r="C20" s="3005"/>
    </row>
    <row r="21" spans="1:3" ht="13.5">
      <c r="A21" s="2004" t="s">
        <v>1674</v>
      </c>
      <c r="B21" s="2005"/>
      <c r="C21" s="2006"/>
    </row>
    <row r="22" spans="1:3" ht="13.5">
      <c r="A22" s="3008" t="s">
        <v>1675</v>
      </c>
      <c r="B22" s="3006" t="s">
        <v>1676</v>
      </c>
      <c r="C22" s="3005"/>
    </row>
    <row r="23" spans="1:3" ht="13.5">
      <c r="A23" s="3008"/>
      <c r="B23" s="3006" t="s">
        <v>1677</v>
      </c>
      <c r="C23" s="3005"/>
    </row>
    <row r="24" spans="1:3" ht="13.5">
      <c r="A24" s="3008"/>
      <c r="B24" s="3006" t="s">
        <v>1678</v>
      </c>
      <c r="C24" s="3005"/>
    </row>
    <row r="25" spans="1:3" ht="13.5">
      <c r="A25" s="3008"/>
      <c r="B25" s="3007" t="s">
        <v>1679</v>
      </c>
      <c r="C25" s="2003" t="s">
        <v>1680</v>
      </c>
    </row>
    <row r="26" spans="1:3" ht="13.5">
      <c r="A26" s="3008"/>
      <c r="B26" s="3007"/>
      <c r="C26" s="2003" t="s">
        <v>1681</v>
      </c>
    </row>
    <row r="27" spans="1:3" ht="13.5">
      <c r="A27" s="3008"/>
      <c r="B27" s="3007"/>
      <c r="C27" s="2003" t="s">
        <v>1682</v>
      </c>
    </row>
    <row r="28" spans="1:3" ht="13.5">
      <c r="A28" s="3008"/>
      <c r="B28" s="3007"/>
      <c r="C28" s="2003" t="s">
        <v>1683</v>
      </c>
    </row>
    <row r="29" spans="1:3" ht="13.5">
      <c r="A29" s="3008"/>
      <c r="B29" s="3007"/>
      <c r="C29" s="2003" t="s">
        <v>1684</v>
      </c>
    </row>
    <row r="30" spans="1:3" ht="13.5">
      <c r="A30" s="3008"/>
      <c r="B30" s="3007"/>
      <c r="C30" s="2003" t="s">
        <v>1685</v>
      </c>
    </row>
    <row r="31" spans="1:3" ht="13.5">
      <c r="A31" s="3008"/>
      <c r="B31" s="3007"/>
      <c r="C31" s="2003" t="s">
        <v>1686</v>
      </c>
    </row>
    <row r="32" spans="1:3" ht="13.5">
      <c r="A32" s="3008"/>
      <c r="B32" s="3007"/>
      <c r="C32" s="2003" t="s">
        <v>1687</v>
      </c>
    </row>
    <row r="33" spans="1:3" ht="13.5">
      <c r="A33" s="3008"/>
      <c r="B33" s="300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43360</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3045</v>
      </c>
      <c r="B12" s="1025">
        <v>1120110054</v>
      </c>
      <c r="C12" s="2938">
        <v>43937</v>
      </c>
      <c r="D12" s="1705" t="s">
        <v>3045</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38">
        <v>44339</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12" t="s">
        <v>846</v>
      </c>
      <c r="B25" s="3012"/>
      <c r="C25" s="3012"/>
      <c r="D25" s="3012"/>
      <c r="E25" s="3012"/>
      <c r="F25" s="3012"/>
      <c r="G25" s="3012"/>
    </row>
    <row r="26" spans="1:7" s="1028" customFormat="1" ht="24" customHeight="1">
      <c r="A26" s="3013" t="s">
        <v>847</v>
      </c>
      <c r="B26" s="3013"/>
      <c r="C26" s="3014"/>
      <c r="D26" s="3015" t="s">
        <v>848</v>
      </c>
      <c r="E26" s="3013"/>
      <c r="F26" s="3013"/>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134</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比较法-住宅</vt:lpstr>
      <vt:lpstr>成本法车库</vt:lpstr>
      <vt:lpstr>成本法仓储</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位置图</vt:lpstr>
      <vt:lpstr>华远铭悦世家</vt:lpstr>
      <vt:lpstr>富力尚悦居</vt:lpstr>
      <vt:lpstr>保利罗兰香谷</vt:lpstr>
      <vt:lpstr>富力惠兰美居</vt:lpstr>
      <vt:lpstr>案例D</vt:lpstr>
      <vt:lpstr>宏仁家园</vt:lpstr>
      <vt:lpstr>中建雅颂居</vt:lpstr>
      <vt:lpstr>东亚逸品阁</vt:lpstr>
      <vt:lpstr>金隅花石匠</vt:lpstr>
      <vt:lpstr>珠江拉维小镇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2018-09-17T06:52:13Z</cp:lastPrinted>
  <dcterms:created xsi:type="dcterms:W3CDTF">2015-07-13T07:17:23Z</dcterms:created>
  <dcterms:modified xsi:type="dcterms:W3CDTF">2018-09-17T07:22:59Z</dcterms:modified>
</cp:coreProperties>
</file>