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86" i="63"/>
  <c r="C10" i="31" l="1"/>
  <c r="T8" i="31"/>
  <c r="I37" i="21"/>
  <c r="G7" i="31"/>
  <c r="F7" i="31"/>
  <c r="E7" i="31"/>
  <c r="D7" i="31"/>
  <c r="C7" i="31"/>
  <c r="H6" i="31"/>
  <c r="G6" i="31"/>
  <c r="F6" i="31"/>
  <c r="E6" i="31"/>
  <c r="D6" i="31"/>
  <c r="C6" i="31"/>
  <c r="E23" i="1" l="1"/>
  <c r="E37" i="21"/>
  <c r="C37" i="21"/>
  <c r="E13" i="1"/>
  <c r="C32" i="1"/>
  <c r="D82" i="63"/>
  <c r="D83" i="63"/>
  <c r="D84" i="63"/>
  <c r="D85" i="63"/>
  <c r="D86" i="63"/>
  <c r="D87" i="63"/>
  <c r="D88" i="63"/>
  <c r="D89" i="63"/>
  <c r="D90" i="63"/>
  <c r="D81" i="63"/>
  <c r="K78" i="63"/>
  <c r="K77" i="63"/>
  <c r="J78" i="63"/>
  <c r="J77" i="63"/>
  <c r="I33" i="21"/>
  <c r="G33" i="21"/>
  <c r="E33" i="21"/>
  <c r="I47" i="21"/>
  <c r="G47" i="21"/>
  <c r="E47" i="21"/>
  <c r="E122" i="21"/>
  <c r="D122" i="21"/>
  <c r="C122" i="21"/>
  <c r="E104" i="21"/>
  <c r="F104" i="21" s="1"/>
  <c r="G104" i="21" s="1"/>
  <c r="H104" i="21" s="1"/>
  <c r="I104" i="21" s="1"/>
  <c r="D104" i="21"/>
  <c r="G116" i="21"/>
  <c r="F116" i="21"/>
  <c r="E116" i="21"/>
  <c r="D116" i="21"/>
  <c r="C116" i="21"/>
  <c r="O59" i="21" l="1"/>
  <c r="N59" i="21"/>
  <c r="M59" i="21"/>
  <c r="L59" i="21"/>
  <c r="K59" i="21"/>
  <c r="J59" i="21"/>
  <c r="I59" i="21"/>
  <c r="H59" i="21"/>
  <c r="G59" i="21"/>
  <c r="F59" i="21"/>
  <c r="I7" i="21"/>
  <c r="G7" i="21"/>
  <c r="E7" i="21"/>
  <c r="I5" i="21"/>
  <c r="G5" i="21"/>
  <c r="E5" i="21"/>
  <c r="D2" i="4"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c r="H36" i="21"/>
  <c r="U36" i="21" s="1"/>
  <c r="F35" i="21"/>
  <c r="AA35" i="21" s="1"/>
  <c r="F19" i="21"/>
  <c r="AA19" i="21" s="1"/>
  <c r="H19" i="21"/>
  <c r="AB19" i="21" s="1"/>
  <c r="J19" i="21"/>
  <c r="W19" i="21" s="1"/>
  <c r="J12" i="21"/>
  <c r="AC12" i="21" s="1"/>
  <c r="H12" i="21"/>
  <c r="AB12"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C25" i="39"/>
  <c r="C21" i="39"/>
  <c r="H11" i="39"/>
  <c r="AB11" i="39"/>
  <c r="AB39" i="39"/>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131" i="9"/>
  <c r="A135" i="57"/>
  <c r="B103" i="57"/>
  <c r="B107" i="57" s="1"/>
  <c r="C112" i="57"/>
  <c r="H107" i="57" s="1"/>
  <c r="D128" i="57"/>
  <c r="S23" i="21"/>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W29" i="21"/>
  <c r="S37" i="34"/>
  <c r="H27" i="36"/>
  <c r="AB27" i="36"/>
  <c r="F27" i="36"/>
  <c r="AA27" i="36"/>
  <c r="J28" i="34"/>
  <c r="W28" i="34"/>
  <c r="AB34" i="21"/>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28" i="21"/>
  <c r="AB23" i="21"/>
  <c r="U19" i="21"/>
  <c r="U43" i="21"/>
  <c r="AB44" i="21"/>
  <c r="U30" i="21"/>
  <c r="S28" i="21"/>
  <c r="AB21" i="21"/>
  <c r="U21" i="21"/>
  <c r="AC19" i="21"/>
  <c r="S13" i="21"/>
  <c r="U12" i="21"/>
  <c r="U9"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Y25" i="31"/>
  <c r="C36" i="57"/>
  <c r="D125" i="57" s="1"/>
  <c r="V25" i="31"/>
  <c r="H102" i="43"/>
  <c r="D3" i="21"/>
  <c r="C33" i="21" s="1"/>
  <c r="H33" i="21" s="1"/>
  <c r="AB33" i="21" s="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W23" i="21"/>
  <c r="AA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D42" i="50"/>
  <c r="D43" i="50" s="1"/>
  <c r="E2" i="11"/>
  <c r="D3" i="61"/>
  <c r="D7" i="61"/>
  <c r="D4" i="61"/>
  <c r="D19" i="9"/>
  <c r="F7" i="61"/>
  <c r="D20" i="9"/>
  <c r="F6" i="61"/>
  <c r="F5" i="61"/>
  <c r="D5" i="61"/>
  <c r="E2" i="21"/>
  <c r="E2" i="33"/>
  <c r="E2" i="35"/>
  <c r="E2" i="34"/>
  <c r="C19" i="9"/>
  <c r="C20" i="9"/>
  <c r="E2" i="37"/>
  <c r="F4" i="61"/>
  <c r="D6" i="61"/>
  <c r="F3" i="61"/>
  <c r="E2" i="36"/>
  <c r="H23" i="31"/>
  <c r="C13" i="12" l="1"/>
  <c r="B125" i="57"/>
  <c r="G125" i="57" s="1"/>
  <c r="H103" i="57"/>
  <c r="D39" i="50"/>
  <c r="D40" i="50" s="1"/>
  <c r="G113" i="21"/>
  <c r="H113" i="21" s="1"/>
  <c r="F37" i="21"/>
  <c r="H37" i="21"/>
  <c r="J37" i="21"/>
  <c r="G89" i="21"/>
  <c r="AB15" i="21"/>
  <c r="F69" i="21"/>
  <c r="G69" i="21" s="1"/>
  <c r="H69" i="21" s="1"/>
  <c r="I69" i="21" s="1"/>
  <c r="J69" i="21" s="1"/>
  <c r="K69" i="21" s="1"/>
  <c r="L69" i="21" s="1"/>
  <c r="M69" i="21" s="1"/>
  <c r="J11" i="21"/>
  <c r="F11" i="21"/>
  <c r="S11" i="21" s="1"/>
  <c r="H11" i="21"/>
  <c r="U11" i="21" s="1"/>
  <c r="H10" i="21"/>
  <c r="AB10" i="21" s="1"/>
  <c r="G66" i="21"/>
  <c r="H66" i="21" s="1"/>
  <c r="I66" i="21" s="1"/>
  <c r="J10" i="21"/>
  <c r="AC10" i="21" s="1"/>
  <c r="F33" i="21"/>
  <c r="J33" i="21"/>
  <c r="AA43" i="21"/>
  <c r="W40" i="21"/>
  <c r="S38" i="21"/>
  <c r="AC35" i="21"/>
  <c r="AC32" i="21"/>
  <c r="U33" i="21"/>
  <c r="W42" i="21"/>
  <c r="S42" i="21"/>
  <c r="U42" i="21"/>
  <c r="W39" i="21"/>
  <c r="AA39" i="21"/>
  <c r="AB39" i="21"/>
  <c r="AB38" i="21"/>
  <c r="AC38" i="21"/>
  <c r="AC36" i="21"/>
  <c r="AB36" i="21"/>
  <c r="AA36" i="21"/>
  <c r="U35" i="21"/>
  <c r="W34" i="21"/>
  <c r="AB32" i="21"/>
  <c r="U28" i="21"/>
  <c r="W25" i="21"/>
  <c r="AB25" i="21"/>
  <c r="AA11" i="21"/>
  <c r="AB11" i="21"/>
  <c r="S45" i="21"/>
  <c r="S27" i="21"/>
  <c r="U27" i="21"/>
  <c r="AB29" i="21"/>
  <c r="AC27" i="21"/>
  <c r="S19" i="21"/>
  <c r="S21" i="21"/>
  <c r="W21" i="21"/>
  <c r="U17" i="21"/>
  <c r="S17" i="21"/>
  <c r="AA15" i="21"/>
  <c r="W15" i="21"/>
  <c r="C29" i="39"/>
  <c r="B55" i="43"/>
  <c r="B75" i="43"/>
  <c r="B74" i="43"/>
  <c r="S10" i="21"/>
  <c r="AC9" i="21"/>
  <c r="W8" i="21"/>
  <c r="AB8" i="21"/>
  <c r="S8" i="21"/>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E20" i="43"/>
  <c r="D101" i="9"/>
  <c r="G1" i="61"/>
  <c r="U10" i="21" l="1"/>
  <c r="W37" i="21"/>
  <c r="AC37" i="21"/>
  <c r="AA37" i="21"/>
  <c r="S37" i="21"/>
  <c r="U37" i="21"/>
  <c r="AB37" i="21"/>
  <c r="H89" i="21"/>
  <c r="AC11" i="21"/>
  <c r="W11" i="21"/>
  <c r="W10" i="21"/>
  <c r="W33" i="21"/>
  <c r="AC33" i="21"/>
  <c r="AA33" i="21"/>
  <c r="S33" i="21"/>
  <c r="D19" i="50"/>
  <c r="B32" i="60" s="1"/>
  <c r="D10"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8" i="59"/>
  <c r="C7" i="59"/>
  <c r="C19" i="43"/>
  <c r="P24" i="43"/>
  <c r="B66" i="40" s="1"/>
  <c r="P21" i="43"/>
  <c r="B71" i="39" s="1"/>
  <c r="P23" i="43"/>
  <c r="P22" i="43"/>
  <c r="P28" i="43"/>
  <c r="N28" i="43"/>
  <c r="M28" i="43"/>
  <c r="O28" i="43"/>
  <c r="G20" i="43" s="1"/>
  <c r="E41" i="43" s="1"/>
  <c r="C41" i="43" s="1"/>
  <c r="F11" i="15"/>
  <c r="M11" i="15"/>
  <c r="J10" i="15" s="1"/>
  <c r="J5" i="15" s="1"/>
  <c r="I89" i="21" l="1"/>
  <c r="J89" i="21" s="1"/>
  <c r="K89" i="21" s="1"/>
  <c r="L89" i="21" s="1"/>
  <c r="F26" i="21"/>
  <c r="C19" i="15"/>
  <c r="C20" i="15" s="1"/>
  <c r="C26" i="15" s="1"/>
  <c r="H7" i="36"/>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M89" i="21" l="1"/>
  <c r="H26" i="21"/>
  <c r="J26" i="21"/>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AB26" i="21" l="1"/>
  <c r="U26" i="21"/>
  <c r="W26" i="21"/>
  <c r="AC26" i="21"/>
  <c r="E33" i="43"/>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22" i="11"/>
  <c r="C31" i="11" s="1"/>
  <c r="C32" i="12"/>
  <c r="C27" i="43" l="1"/>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M70" i="57" l="1"/>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N71" i="57" l="1"/>
  <c r="O71" i="57" s="1"/>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L63" i="40" l="1"/>
  <c r="K65" i="40"/>
  <c r="E52" i="21"/>
  <c r="F52" i="21" s="1"/>
  <c r="E53" i="21"/>
  <c r="F53" i="21" s="1"/>
  <c r="C48" i="21"/>
  <c r="C49" i="21"/>
  <c r="B2" i="21" s="1"/>
  <c r="J7" i="39"/>
  <c r="H7" i="39"/>
  <c r="F7" i="39"/>
  <c r="L59" i="34"/>
  <c r="C47" i="15"/>
  <c r="J41" i="15"/>
  <c r="J42" i="15" s="1"/>
  <c r="Q54" i="15"/>
  <c r="C43" i="15"/>
  <c r="Q65" i="15"/>
  <c r="Q45" i="15"/>
  <c r="Q51" i="15" s="1"/>
  <c r="Q63" i="15"/>
  <c r="C19" i="57"/>
  <c r="C103" i="57" l="1"/>
  <c r="B3" i="21"/>
  <c r="D35" i="9"/>
  <c r="D34" i="9" s="1"/>
  <c r="L65" i="40"/>
  <c r="M63" i="40"/>
  <c r="AA7" i="39"/>
  <c r="R47" i="39" s="1"/>
  <c r="R48" i="39" s="1"/>
  <c r="S7" i="39"/>
  <c r="M59" i="34"/>
  <c r="N59" i="34" s="1"/>
  <c r="O59" i="34" s="1"/>
  <c r="H7" i="34" s="1"/>
  <c r="AB7" i="39"/>
  <c r="U7" i="39"/>
  <c r="AC7" i="39"/>
  <c r="W7" i="39"/>
  <c r="L58" i="15"/>
  <c r="L61" i="15" s="1"/>
  <c r="C20" i="57"/>
  <c r="C104" i="57" l="1"/>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57"/>
  <c r="D19" i="57"/>
  <c r="G20" i="57" l="1"/>
  <c r="R27" i="31" s="1"/>
  <c r="D104" i="57"/>
  <c r="G19" i="57"/>
  <c r="D103" i="57"/>
  <c r="D22" i="57"/>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3" i="57" l="1"/>
  <c r="T27" i="31"/>
  <c r="S27" i="31"/>
  <c r="R29" i="31"/>
  <c r="R30" i="31"/>
  <c r="R28" i="31"/>
  <c r="C105" i="57"/>
  <c r="C106" i="57"/>
  <c r="AC7" i="40"/>
  <c r="V42" i="40" s="1"/>
  <c r="I42" i="40" s="1"/>
  <c r="W7" i="40"/>
  <c r="S7" i="40"/>
  <c r="AA7" i="40"/>
  <c r="R42" i="40" s="1"/>
  <c r="R43" i="40" s="1"/>
  <c r="AB7" i="40"/>
  <c r="T42" i="40" s="1"/>
  <c r="G42" i="40" s="1"/>
  <c r="G46" i="40" s="1"/>
  <c r="H46" i="40" s="1"/>
  <c r="U7" i="40"/>
  <c r="I46" i="40"/>
  <c r="J46" i="40" s="1"/>
  <c r="T30" i="31" l="1"/>
  <c r="S30" i="31"/>
  <c r="S28" i="31"/>
  <c r="T28" i="31"/>
  <c r="T29" i="31"/>
  <c r="S29" i="31"/>
  <c r="G47" i="40"/>
  <c r="H47" i="40" s="1"/>
  <c r="E42" i="40"/>
  <c r="T25" i="31" l="1"/>
  <c r="S25" i="31"/>
  <c r="I47" i="40"/>
  <c r="J47" i="40" s="1"/>
  <c r="E47" i="40"/>
  <c r="F47" i="40" s="1"/>
  <c r="E46" i="40"/>
  <c r="F46" i="40" s="1"/>
  <c r="C43" i="40"/>
  <c r="C42" i="40"/>
  <c r="B23" i="31" l="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M67" i="9"/>
  <c r="N67" i="9" s="1"/>
  <c r="M66" i="9"/>
  <c r="N66" i="9" s="1"/>
  <c r="M68" i="9"/>
  <c r="N68" i="9" s="1"/>
  <c r="M64" i="9"/>
  <c r="N64" i="9" s="1"/>
  <c r="N49" i="9"/>
  <c r="M65" i="9" s="1"/>
  <c r="N65" i="9" s="1"/>
  <c r="M63" i="9"/>
  <c r="N63" i="9" s="1"/>
  <c r="N69" i="9" s="1"/>
  <c r="O69" i="9" s="1"/>
  <c r="B24" i="31" l="1"/>
  <c r="B3" i="31" s="1"/>
  <c r="C35" i="57" s="1"/>
  <c r="I125" i="57" s="1"/>
  <c r="B2" i="31"/>
  <c r="C34" i="57" s="1"/>
  <c r="H125" i="57" s="1"/>
  <c r="E121" i="9"/>
  <c r="D121" i="9" s="1"/>
  <c r="D122" i="9" s="1"/>
  <c r="G121" i="9"/>
  <c r="F121" i="9" s="1"/>
  <c r="F122" i="9" s="1"/>
  <c r="I121" i="9"/>
  <c r="I103" i="9" s="1"/>
  <c r="H126" i="57" l="1"/>
  <c r="H5" i="52" s="1"/>
  <c r="D110" i="57"/>
  <c r="D14" i="62"/>
  <c r="I104" i="57"/>
  <c r="C107" i="57"/>
  <c r="H4" i="52"/>
  <c r="C108" i="57"/>
  <c r="D111" i="57"/>
  <c r="I105" i="57"/>
  <c r="I4" i="52"/>
  <c r="H121" i="9"/>
  <c r="H122" i="9" s="1"/>
  <c r="C104" i="9"/>
  <c r="D107" i="9"/>
  <c r="D9" i="50" l="1"/>
  <c r="B21" i="60" s="1"/>
  <c r="D30" i="50"/>
  <c r="E14" i="62"/>
  <c r="F14" i="62"/>
  <c r="B5" i="62"/>
  <c r="D47" i="57"/>
  <c r="I112" i="57"/>
  <c r="N50" i="57"/>
  <c r="D28" i="50"/>
  <c r="D29" i="50" s="1"/>
  <c r="D7" i="50"/>
  <c r="D121" i="57"/>
  <c r="D116" i="57"/>
  <c r="D117" i="57" s="1"/>
  <c r="D106" i="9"/>
  <c r="D112" i="9" s="1"/>
  <c r="D113" i="9" s="1"/>
  <c r="I111" i="9" s="1"/>
  <c r="D126" i="9" s="1"/>
  <c r="C103" i="9"/>
  <c r="I102" i="9"/>
  <c r="I110" i="9" s="1"/>
  <c r="D125" i="9" s="1"/>
  <c r="I113" i="57" l="1"/>
  <c r="D38" i="50"/>
  <c r="B62" i="60" s="1"/>
  <c r="B19" i="60"/>
  <c r="D8" i="50"/>
  <c r="B22" i="60" s="1"/>
  <c r="D61" i="57"/>
  <c r="N57" i="57" s="1"/>
  <c r="D57" i="57"/>
  <c r="N55" i="57" s="1"/>
  <c r="C95" i="57"/>
  <c r="C88" i="57" s="1"/>
  <c r="D54" i="57"/>
  <c r="C87" i="57"/>
  <c r="C97" i="57" s="1"/>
  <c r="D55" i="57"/>
  <c r="D50" i="57" s="1"/>
  <c r="N54" i="57" s="1"/>
  <c r="C80" i="57"/>
  <c r="C75" i="57" s="1"/>
  <c r="C66" i="57"/>
  <c r="C65" i="57" s="1"/>
  <c r="C69" i="57" s="1"/>
  <c r="C70" i="57" s="1"/>
  <c r="D56" i="57" s="1"/>
  <c r="C74" i="57"/>
  <c r="C81" i="57" s="1"/>
  <c r="I117" i="57"/>
  <c r="D23" i="50" s="1"/>
  <c r="B34" i="60" s="1"/>
  <c r="D44" i="50"/>
  <c r="D129" i="57"/>
  <c r="D36" i="50"/>
  <c r="D37" i="50" s="1"/>
  <c r="D15" i="50"/>
  <c r="D5" i="62"/>
  <c r="C5" i="62"/>
  <c r="D117" i="9"/>
  <c r="I115" i="9" s="1"/>
  <c r="D45" i="9"/>
  <c r="C85" i="9" s="1"/>
  <c r="N48" i="9"/>
  <c r="B29" i="60" l="1"/>
  <c r="D16" i="50"/>
  <c r="B30" i="60" s="1"/>
  <c r="G14" i="62"/>
  <c r="B6" i="62" s="1"/>
  <c r="D8" i="52"/>
  <c r="C82" i="57"/>
  <c r="E82" i="57" s="1"/>
  <c r="E83" i="57" s="1"/>
  <c r="C98" i="57"/>
  <c r="E98" i="57" s="1"/>
  <c r="E99" i="57" s="1"/>
  <c r="D130" i="57"/>
  <c r="D17" i="50"/>
  <c r="C78" i="9"/>
  <c r="C73" i="9" s="1"/>
  <c r="C72" i="9"/>
  <c r="D53" i="9"/>
  <c r="D48" i="9" s="1"/>
  <c r="N52" i="9" s="1"/>
  <c r="O57" i="9" s="1"/>
  <c r="O59" i="9" s="1"/>
  <c r="C93" i="9"/>
  <c r="C86" i="9" s="1"/>
  <c r="C95" i="9" s="1"/>
  <c r="C64" i="9"/>
  <c r="C63" i="9" s="1"/>
  <c r="C67" i="9" s="1"/>
  <c r="C68" i="9" s="1"/>
  <c r="D54" i="9" s="1"/>
  <c r="D52" i="9"/>
  <c r="D10" i="52" l="1"/>
  <c r="D9" i="52"/>
  <c r="C99" i="57"/>
  <c r="D60" i="57" s="1"/>
  <c r="D58" i="57" s="1"/>
  <c r="N56" i="57" s="1"/>
  <c r="O59" i="57" s="1"/>
  <c r="C83" i="57"/>
  <c r="D6" i="62"/>
  <c r="C6" i="62"/>
  <c r="C79" i="9"/>
  <c r="C80" i="9" s="1"/>
  <c r="E80" i="9" s="1"/>
  <c r="E81" i="9" s="1"/>
  <c r="O58" i="9"/>
  <c r="Q57" i="9"/>
  <c r="C96" i="9"/>
  <c r="E96" i="9" s="1"/>
  <c r="E97" i="9" s="1"/>
  <c r="C97" i="9"/>
  <c r="D58" i="9" s="1"/>
  <c r="O61" i="9"/>
  <c r="O60" i="9"/>
  <c r="O60" i="57" l="1"/>
  <c r="O61" i="57"/>
  <c r="Q59" i="57"/>
  <c r="C81" i="9"/>
  <c r="O63" i="57" l="1"/>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<sst xmlns="http://schemas.openxmlformats.org/spreadsheetml/2006/main" count="6923" uniqueCount="2972">
  <si>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</si>
  <si>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</si>
  <si>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</si>
  <si>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</si>
  <si>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</si>
  <si>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</si>
  <si>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</si>
  <si>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</si>
  <si>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</si>
  <si>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</si>
  <si>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</si>
  <si>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</si>
  <si>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</si>
  <si>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</si>
  <si>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</si>
  <si>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</si>
  <si>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</si>
  <si>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</si>
  <si>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</si>
  <si>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</si>
  <si>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</si>
  <si>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</si>
  <si>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</si>
  <si>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</si>
  <si>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</si>
  <si>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</si>
  <si>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</si>
  <si>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</si>
  <si>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</si>
  <si>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</si>
  <si>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</si>
  <si>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</si>
  <si>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</si>
  <si>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</si>
  <si>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</si>
  <si>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</si>
  <si>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</si>
  <si>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</si>
  <si>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</si>
  <si>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</si>
  <si>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</si>
  <si>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</si>
  <si>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</si>
  <si>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</si>
  <si>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</si>
  <si>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</si>
  <si>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</si>
  <si>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</si>
  <si>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</si>
  <si>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</si>
  <si>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</si>
  <si>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</si>
  <si>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</si>
  <si>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</si>
  <si>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</si>
  <si>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</si>
  <si>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</si>
  <si>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</si>
  <si>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</si>
  <si>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</si>
  <si>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</si>
  <si>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</si>
  <si>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</si>
  <si>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</si>
  <si>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</si>
  <si>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</si>
  <si>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</si>
  <si>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</si>
  <si>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</si>
  <si>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</si>
  <si>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</si>
  <si>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</si>
  <si>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</si>
  <si>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</si>
  <si>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</si>
  <si>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</si>
  <si>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</si>
  <si>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</si>
  <si>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</si>
  <si>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</si>
  <si>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</si>
  <si>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</si>
  <si>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</si>
  <si>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</si>
  <si>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</si>
  <si>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</si>
  <si>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</si>
  <si>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</si>
  <si>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</si>
  <si>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</si>
  <si>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</si>
  <si>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</si>
  <si>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</si>
  <si>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</si>
  <si>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</si>
  <si>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</si>
  <si>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</si>
  <si>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</si>
  <si>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</si>
  <si>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</si>
  <si>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</si>
  <si>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</si>
  <si>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</si>
  <si>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</si>
  <si>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</si>
  <si>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</si>
  <si>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</si>
  <si>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</si>
  <si>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</si>
  <si>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</si>
  <si>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</si>
  <si>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</si>
  <si>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</si>
  <si>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</si>
  <si>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</si>
  <si>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</si>
  <si>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</si>
  <si>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</si>
  <si>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</si>
  <si>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</si>
  <si>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</si>
  <si>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</si>
  <si>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</si>
  <si>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</si>
  <si>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</si>
  <si>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</si>
  <si>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</si>
  <si>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</si>
  <si>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</si>
  <si>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</si>
  <si>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</si>
  <si>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</si>
  <si>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</si>
  <si>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</si>
  <si>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</si>
  <si>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</si>
  <si>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</si>
  <si>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</si>
  <si>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</si>
  <si>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</si>
  <si>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</si>
  <si>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</si>
  <si>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</si>
  <si>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</si>
  <si>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</si>
  <si>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</si>
  <si>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</si>
  <si>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</si>
  <si>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</si>
  <si>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</si>
  <si>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</si>
  <si>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</si>
  <si>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</si>
  <si>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</si>
  <si>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</si>
  <si>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</si>
  <si>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</si>
  <si>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</si>
  <si>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</si>
  <si>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</si>
  <si>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</si>
  <si>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</si>
  <si>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</si>
  <si>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</si>
  <si>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</si>
  <si>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</si>
  <si>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</si>
  <si>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</si>
  <si>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</si>
  <si>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</si>
  <si>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</si>
  <si>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</si>
  <si>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</si>
  <si>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</si>
  <si>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</si>
  <si>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</si>
  <si>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</si>
  <si>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</si>
  <si>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</si>
  <si>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</si>
  <si>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</si>
  <si>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</si>
  <si>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</si>
  <si>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</si>
  <si>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</si>
  <si>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</si>
  <si>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</si>
  <si>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</si>
  <si>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</si>
  <si>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</si>
  <si>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</si>
  <si>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</si>
  <si>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</si>
  <si>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</si>
  <si>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</si>
  <si>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</si>
  <si>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</si>
  <si>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</si>
  <si>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</si>
  <si>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</si>
  <si>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</si>
  <si>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</si>
  <si>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</si>
  <si>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</si>
  <si>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</si>
  <si>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</si>
  <si>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</si>
  <si>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</si>
  <si>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</si>
  <si>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</si>
  <si>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</si>
  <si>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</si>
  <si>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</si>
  <si>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</si>
  <si>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</si>
  <si>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</si>
  <si>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</si>
  <si>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</si>
  <si>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</si>
  <si>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</si>
  <si>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</si>
  <si>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</si>
  <si>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</si>
  <si>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</si>
  <si>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</si>
  <si>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</si>
  <si>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</si>
  <si>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</si>
  <si>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</si>
  <si>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</si>
  <si>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</si>
  <si>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</si>
  <si>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</si>
  <si>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</si>
  <si>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</si>
  <si>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</si>
  <si>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</si>
  <si>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</si>
  <si>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</si>
  <si>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</si>
  <si>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</si>
  <si>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</si>
  <si>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</si>
  <si>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</si>
  <si>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</si>
  <si>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</si>
  <si>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</si>
  <si>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</si>
  <si>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</si>
  <si>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</si>
  <si>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</si>
  <si>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</si>
  <si>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</si>
  <si>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</si>
  <si>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</si>
  <si>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</si>
  <si>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</si>
  <si>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</si>
  <si>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</si>
  <si>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</si>
  <si>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</si>
  <si>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</si>
  <si>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</si>
  <si>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</si>
  <si>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</si>
  <si>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</si>
  <si>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</si>
  <si>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</si>
  <si>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</si>
  <si>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</si>
  <si>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</si>
  <si>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</si>
  <si>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</si>
  <si>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</si>
  <si>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</si>
  <si>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</si>
  <si>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</si>
  <si>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</si>
  <si>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</si>
  <si>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</si>
  <si>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</si>
  <si>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</si>
  <si>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</si>
  <si>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</si>
  <si>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</si>
  <si>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</si>
  <si>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</si>
  <si>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</si>
  <si>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</si>
  <si>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</si>
  <si>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</si>
  <si>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</si>
  <si>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</si>
  <si>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</si>
  <si>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</si>
  <si>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</si>
  <si>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</si>
  <si>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</si>
  <si>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</si>
  <si>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</si>
  <si>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</si>
  <si>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</si>
  <si>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</si>
  <si>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</si>
  <si>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</si>
  <si>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</si>
  <si>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</si>
  <si>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</si>
  <si>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</si>
  <si>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</si>
  <si>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</si>
  <si>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</si>
  <si>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</si>
  <si>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</si>
  <si>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</si>
  <si>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</si>
  <si>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</si>
  <si>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</si>
  <si>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</si>
  <si>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</si>
  <si>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</si>
  <si>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</si>
  <si>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</si>
  <si>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</si>
  <si>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</si>
  <si>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</si>
  <si>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</si>
  <si>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</si>
  <si>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</si>
  <si>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</si>
  <si>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</si>
  <si>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</si>
  <si>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</si>
  <si>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</si>
  <si>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</si>
  <si>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</si>
  <si>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</si>
  <si>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</si>
  <si>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</si>
  <si>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</si>
  <si>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</si>
  <si>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</si>
  <si>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</si>
  <si>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</si>
  <si>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</si>
  <si>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</si>
  <si>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</si>
  <si>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</si>
  <si>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</si>
  <si>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</si>
  <si>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</si>
  <si>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</si>
  <si>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</si>
  <si>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</si>
  <si>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</si>
  <si>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</si>
  <si>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</si>
  <si>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</si>
  <si>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</si>
  <si>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</si>
  <si>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</si>
  <si>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</si>
  <si>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</si>
  <si>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</si>
  <si>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</si>
  <si>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</si>
  <si>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</si>
  <si>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</si>
  <si>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</si>
  <si>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</si>
  <si>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</si>
  <si>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</si>
  <si>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</si>
  <si>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</si>
  <si>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</si>
  <si>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</si>
  <si>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</si>
  <si>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</si>
  <si>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</si>
  <si>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</si>
  <si>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</si>
  <si>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</si>
  <si>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</si>
  <si>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</si>
  <si>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</si>
  <si>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</si>
  <si>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</si>
  <si>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</si>
  <si>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</si>
  <si>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</si>
  <si>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</si>
  <si>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</si>
  <si>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</si>
  <si>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</si>
  <si>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</si>
  <si>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</si>
  <si>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</si>
  <si>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</si>
  <si>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</si>
  <si>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</si>
  <si>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</si>
  <si>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</si>
  <si>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</si>
  <si>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</si>
  <si>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</si>
  <si>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</si>
  <si>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</si>
  <si>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</si>
  <si>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</si>
  <si>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</si>
  <si>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</si>
  <si>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</si>
  <si>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</si>
  <si>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</si>
  <si>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</si>
  <si>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</si>
  <si>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</si>
  <si>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</si>
  <si>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</si>
  <si>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</si>
  <si>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</si>
  <si>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</si>
  <si>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</si>
  <si>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</si>
  <si>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</si>
  <si>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</si>
  <si>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</si>
  <si>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</si>
  <si>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</si>
  <si>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</si>
  <si>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</si>
  <si>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</si>
  <si>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</si>
  <si>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</si>
  <si>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</si>
  <si>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</si>
  <si>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</si>
  <si>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</si>
  <si>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</si>
  <si>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</si>
  <si>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</si>
  <si>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</si>
  <si>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</si>
  <si>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</si>
  <si>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</si>
  <si>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</si>
  <si>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</si>
  <si>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</si>
  <si>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</si>
  <si>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</si>
  <si>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</si>
  <si>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</si>
  <si>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</si>
  <si>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</si>
  <si>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</si>
  <si>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</si>
  <si>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</si>
  <si>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</si>
  <si>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</si>
  <si>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</si>
  <si>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</si>
  <si>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</si>
  <si>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</si>
  <si>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</si>
  <si>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</si>
  <si>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</si>
  <si>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</si>
  <si>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</si>
  <si>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</si>
  <si>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</si>
  <si>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</si>
  <si>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</si>
  <si>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</si>
  <si>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</si>
  <si>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</si>
  <si>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</si>
  <si>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</si>
  <si>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</si>
  <si>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</si>
  <si>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</si>
  <si>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</si>
  <si>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</si>
  <si>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</si>
  <si>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</si>
  <si>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</si>
  <si>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</si>
  <si>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</si>
  <si>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</si>
  <si>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</si>
  <si>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</si>
  <si>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</si>
  <si>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</si>
  <si>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</si>
  <si>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</si>
  <si>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</si>
  <si>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</si>
  <si>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</si>
  <si>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</si>
  <si>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</si>
  <si>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</si>
  <si>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</si>
  <si>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</si>
  <si>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</si>
  <si>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</si>
  <si>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</si>
  <si>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</si>
  <si>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</si>
  <si>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</si>
  <si>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</si>
  <si>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</si>
  <si>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</si>
  <si>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</si>
  <si>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</si>
  <si>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</si>
  <si>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</si>
  <si>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</si>
  <si>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</si>
  <si>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</si>
  <si>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</si>
  <si>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</si>
  <si>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</si>
  <si>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</si>
  <si>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</si>
  <si>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</si>
  <si>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</si>
  <si>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</si>
  <si>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</si>
  <si>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</si>
  <si>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</si>
  <si>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</si>
  <si>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</si>
  <si>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</si>
  <si>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</si>
  <si>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</si>
  <si>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</si>
  <si>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</si>
  <si>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</si>
  <si>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</si>
  <si>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</si>
  <si>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</si>
  <si>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</si>
  <si>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</si>
  <si>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</si>
  <si>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</si>
  <si>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</si>
  <si>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</si>
  <si>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</si>
  <si>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</si>
  <si>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</si>
  <si>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</si>
  <si>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</si>
  <si>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</si>
  <si>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</si>
  <si>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</si>
  <si>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</si>
  <si>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</si>
  <si>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</si>
  <si>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</si>
  <si>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</si>
  <si>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</si>
  <si>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</si>
  <si>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</si>
  <si>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</si>
  <si>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</si>
  <si>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</si>
  <si>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</si>
  <si>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</si>
  <si>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</si>
  <si>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</si>
  <si>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</si>
  <si>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</si>
  <si>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</si>
  <si>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</si>
  <si>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</si>
  <si>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</si>
  <si>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</si>
  <si>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</si>
  <si>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</si>
  <si>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</si>
  <si>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</si>
  <si>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</si>
  <si>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</si>
  <si>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</si>
  <si>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</si>
  <si>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</si>
  <si>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</si>
  <si>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</si>
  <si>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</si>
  <si>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</si>
  <si>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</si>
  <si>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</si>
  <si>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</si>
  <si>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</si>
  <si>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</si>
  <si>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</si>
  <si>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</si>
  <si>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</si>
  <si>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</si>
  <si>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</si>
  <si>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</si>
  <si>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</si>
  <si>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</si>
  <si>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</si>
  <si>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</si>
  <si>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</si>
  <si>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</si>
  <si>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</si>
  <si>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</si>
  <si>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</si>
  <si>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</si>
  <si>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</si>
  <si>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</si>
  <si>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</si>
  <si>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</si>
  <si>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</si>
  <si>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</si>
  <si>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</si>
  <si>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</si>
  <si>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</si>
  <si>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</si>
  <si>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</si>
  <si>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</si>
  <si>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</si>
  <si>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</si>
  <si>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</si>
  <si>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</si>
  <si>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</si>
  <si>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</si>
  <si>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</si>
  <si>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</si>
  <si>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</si>
  <si>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</si>
  <si>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</si>
  <si>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</si>
  <si>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</si>
  <si>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</si>
  <si>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</si>
  <si>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</si>
  <si>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</si>
  <si>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</si>
  <si>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</si>
  <si>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</si>
  <si>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</si>
  <si>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</si>
  <si>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</si>
  <si>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</si>
  <si>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</si>
  <si>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</si>
  <si>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</si>
  <si>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</si>
  <si>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</si>
  <si>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</si>
  <si>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</si>
  <si>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</si>
  <si>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</si>
  <si>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</si>
  <si>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</si>
  <si>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</si>
  <si>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</si>
  <si>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</si>
  <si>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</si>
  <si>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</si>
  <si>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</si>
  <si>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</si>
  <si>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</si>
  <si>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</si>
  <si>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</si>
  <si>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</si>
  <si>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</si>
  <si>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</si>
  <si>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</si>
  <si>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</si>
  <si>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</si>
  <si>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</si>
  <si>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</si>
  <si>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</si>
  <si>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</si>
  <si>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</si>
  <si>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</si>
  <si>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</si>
  <si>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</si>
  <si>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</si>
  <si>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</si>
  <si>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</si>
  <si>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</si>
  <si>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</si>
  <si>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</si>
  <si>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</si>
  <si>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</si>
  <si>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</si>
  <si>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</si>
  <si>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</si>
  <si>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</si>
  <si>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</si>
  <si>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</si>
  <si>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</si>
  <si>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</si>
  <si>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</si>
  <si>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</si>
  <si>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</si>
  <si>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</si>
  <si>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</si>
  <si>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</si>
  <si>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</si>
  <si>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</si>
  <si>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</si>
  <si>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</si>
  <si>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</si>
  <si>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</si>
  <si>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</si>
  <si>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</si>
  <si>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</si>
  <si>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</si>
  <si>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</si>
  <si>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</si>
  <si>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</si>
  <si>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</si>
  <si>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</si>
  <si>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</si>
  <si>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</si>
  <si>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</si>
  <si>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</si>
  <si>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</si>
  <si>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</si>
  <si>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</si>
  <si>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</si>
  <si>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</si>
  <si>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</si>
  <si>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</si>
  <si>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</si>
  <si>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</si>
  <si>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</si>
  <si>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</si>
  <si>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</si>
  <si>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</si>
  <si>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</si>
  <si>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</si>
  <si>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</si>
  <si>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</si>
  <si>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</si>
  <si>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</si>
  <si>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</si>
  <si>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</si>
  <si>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</si>
  <si>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</si>
  <si>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</si>
  <si>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</si>
  <si>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</si>
  <si>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</si>
  <si>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</si>
  <si>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</si>
  <si>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</si>
  <si>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</si>
  <si>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</si>
  <si>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</si>
  <si>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</si>
  <si>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</si>
  <si>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</si>
  <si>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</si>
  <si>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</si>
  <si>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</si>
  <si>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</si>
  <si>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</si>
  <si>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</si>
  <si>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</si>
  <si>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</si>
  <si>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</si>
  <si>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</si>
  <si>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</si>
  <si>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</si>
  <si>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</si>
  <si>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</si>
  <si>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</si>
  <si>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</si>
  <si>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</si>
  <si>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</si>
  <si>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</si>
  <si>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</si>
  <si>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</si>
  <si>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</si>
  <si>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</si>
  <si>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</si>
  <si>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</si>
  <si>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</si>
  <si>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</si>
  <si>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</si>
  <si>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</si>
  <si>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</si>
  <si>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</si>
  <si>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</si>
  <si>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</si>
  <si>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</si>
  <si>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</si>
  <si>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</si>
  <si>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</si>
  <si>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</si>
  <si>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</si>
  <si>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</si>
  <si>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</si>
  <si>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</si>
  <si>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</si>
  <si>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</si>
  <si>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</si>
  <si>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</si>
  <si>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</si>
  <si>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</si>
  <si>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</si>
  <si>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</si>
  <si>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</si>
  <si>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</si>
  <si>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</si>
  <si>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</si>
  <si>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</si>
  <si>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</si>
  <si>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</si>
  <si>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</si>
  <si>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</si>
  <si>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</si>
  <si>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</si>
  <si>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</si>
  <si>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</si>
  <si>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</si>
  <si>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</si>
  <si>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</si>
  <si>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</si>
  <si>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</si>
  <si>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</si>
  <si>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</si>
  <si>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</si>
  <si>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</si>
  <si>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</si>
  <si>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</si>
  <si>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</si>
  <si>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</si>
  <si>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</si>
  <si>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</si>
  <si>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</si>
  <si>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</si>
  <si>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</si>
  <si>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</si>
  <si>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</si>
  <si>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</si>
  <si>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</si>
  <si>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</si>
  <si>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</si>
  <si>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</si>
  <si>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</si>
  <si>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</si>
  <si>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</si>
  <si>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</si>
  <si>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</si>
  <si>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</si>
  <si>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</si>
  <si>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</si>
  <si>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</si>
  <si>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</si>
  <si>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</si>
  <si>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</si>
  <si>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</si>
  <si>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</si>
  <si>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</si>
  <si>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</si>
  <si>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</si>
  <si>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</si>
  <si>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</si>
  <si>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</si>
  <si>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</si>
  <si>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</si>
  <si>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</si>
  <si>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</si>
  <si>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</si>
  <si>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</si>
  <si>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</si>
  <si>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</si>
  <si>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</si>
  <si>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</si>
  <si>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</si>
  <si>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</si>
  <si>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</si>
  <si>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</si>
  <si>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</si>
  <si>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</si>
  <si>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</si>
  <si>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</si>
  <si>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</si>
  <si>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</si>
  <si>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</si>
  <si>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</si>
  <si>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</si>
  <si>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</si>
  <si>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</si>
  <si>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</si>
  <si>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</si>
  <si>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</si>
  <si>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</si>
  <si>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</si>
  <si>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</si>
  <si>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</si>
  <si>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</si>
  <si>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</si>
  <si>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</si>
  <si>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</si>
  <si>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</si>
  <si>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</si>
  <si>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</si>
  <si>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</si>
  <si>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</si>
  <si>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</si>
  <si>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</si>
  <si>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</si>
  <si>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</si>
  <si>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</si>
  <si>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</si>
  <si>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</si>
  <si>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</si>
  <si>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</si>
  <si>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</si>
  <si>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</si>
  <si>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</si>
  <si>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</si>
  <si>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</si>
  <si>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</si>
  <si>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</si>
  <si>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</si>
  <si>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</si>
  <si>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</si>
  <si>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</si>
  <si>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</si>
  <si>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</si>
  <si>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</si>
  <si>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</si>
  <si>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</si>
  <si>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</si>
  <si>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</si>
  <si>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</si>
  <si>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</si>
  <si>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</si>
  <si>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</si>
  <si>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</si>
  <si>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</si>
  <si>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</si>
  <si>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</si>
  <si>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</si>
  <si>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</si>
  <si>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</si>
  <si>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</si>
  <si>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</si>
  <si>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</si>
  <si>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</si>
  <si>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</si>
  <si>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</si>
  <si>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</si>
  <si>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</si>
  <si>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</si>
  <si>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</si>
  <si>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</si>
  <si>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</si>
  <si>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</si>
  <si>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</si>
  <si>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</si>
  <si>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</si>
  <si>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</si>
  <si>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</si>
  <si>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</si>
  <si>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</si>
  <si>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</si>
  <si>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</si>
  <si>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</si>
  <si>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</si>
  <si>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</si>
  <si>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</si>
  <si>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</si>
  <si>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</si>
  <si>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</si>
  <si>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</si>
  <si>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</si>
  <si>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</si>
  <si>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</si>
  <si>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</si>
  <si>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</si>
  <si>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</si>
  <si>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</si>
  <si>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</si>
  <si>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</si>
  <si>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</si>
  <si>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</si>
  <si>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</si>
  <si>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</si>
  <si>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</si>
  <si>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</si>
  <si>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</si>
  <si>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</si>
  <si>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</si>
  <si>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</si>
  <si>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</si>
  <si>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</si>
  <si>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</si>
  <si>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</si>
  <si>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</si>
  <si>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</si>
  <si>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</si>
  <si>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</si>
  <si>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</si>
  <si>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</si>
  <si>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</si>
  <si>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</si>
  <si>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</si>
  <si>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</si>
  <si>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</si>
  <si>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</si>
  <si>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</si>
  <si>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</si>
  <si>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</si>
  <si>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</si>
  <si>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</si>
  <si>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</si>
  <si>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</si>
  <si>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</si>
  <si>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</si>
  <si>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</si>
  <si>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</si>
  <si>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</si>
  <si>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</si>
  <si>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</si>
  <si>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</si>
  <si>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</si>
  <si>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</si>
  <si>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</si>
  <si>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</si>
  <si>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</si>
  <si>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</si>
  <si>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</si>
  <si>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</si>
  <si>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</si>
  <si>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</si>
  <si>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</si>
  <si>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</si>
  <si>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</si>
  <si>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</si>
  <si>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</si>
  <si>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</si>
  <si>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</si>
  <si>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</si>
  <si>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</si>
  <si>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</si>
  <si>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</si>
  <si>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</si>
  <si>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</si>
  <si>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</si>
  <si>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</si>
  <si>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</si>
  <si>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</si>
  <si>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</si>
  <si>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</si>
  <si>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</si>
  <si>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</si>
  <si>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</si>
  <si>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</si>
  <si>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</si>
  <si>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</si>
  <si>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</si>
  <si>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</si>
  <si>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</si>
  <si>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</si>
  <si>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</si>
  <si>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</si>
  <si>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</si>
  <si>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</si>
  <si>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</si>
  <si>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</si>
  <si>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</si>
  <si>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</si>
  <si>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</si>
  <si>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</si>
  <si>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</si>
  <si>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</si>
  <si>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</si>
  <si>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</si>
  <si>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</si>
  <si>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</si>
  <si>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</si>
  <si>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</si>
  <si>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</si>
  <si>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</si>
  <si>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</si>
  <si>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</si>
  <si>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</si>
  <si>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</si>
  <si>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</si>
  <si>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</si>
  <si>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</si>
  <si>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</si>
  <si>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</si>
  <si>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</si>
  <si>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</si>
  <si>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</si>
  <si>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</si>
  <si>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</si>
  <si>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</si>
  <si>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</si>
  <si>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</si>
  <si>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</si>
  <si>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</si>
  <si>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</si>
  <si>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</si>
  <si>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</si>
  <si>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</si>
  <si>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</si>
  <si>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</si>
  <si>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</si>
  <si>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</si>
  <si>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</si>
  <si>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</si>
  <si>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</si>
  <si>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</si>
  <si>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</si>
  <si>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</si>
  <si>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</si>
  <si>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</si>
  <si>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</si>
  <si>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</si>
  <si>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</si>
  <si>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</si>
  <si>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</si>
  <si>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</si>
  <si>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</si>
  <si>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</si>
  <si>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</si>
  <si>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</si>
  <si>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</si>
  <si>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</si>
  <si>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</si>
  <si>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</si>
  <si>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</si>
  <si>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</si>
  <si>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</si>
  <si>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</si>
  <si>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</si>
  <si>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</si>
  <si>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</si>
  <si>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</si>
  <si>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</si>
  <si>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</si>
  <si>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</si>
  <si>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</si>
  <si>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</si>
  <si>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</si>
  <si>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</si>
  <si>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</si>
  <si>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</si>
  <si>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</si>
  <si>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</si>
  <si>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</si>
  <si>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</si>
  <si>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</si>
  <si>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</si>
  <si>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</si>
  <si>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</si>
  <si>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</si>
  <si>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</si>
  <si>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</si>
  <si>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</si>
  <si>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</si>
  <si>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</si>
  <si>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</si>
  <si>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</si>
  <si>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</si>
  <si>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</si>
  <si>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</si>
  <si>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</si>
  <si>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</si>
  <si>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</si>
  <si>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</si>
  <si>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</si>
  <si>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</si>
  <si>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</si>
  <si>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</si>
  <si>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</si>
  <si>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</si>
  <si>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</si>
  <si>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</si>
  <si>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</si>
  <si>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</si>
  <si>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</si>
  <si>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</si>
  <si>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</si>
  <si>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</si>
  <si>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</si>
  <si>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</si>
  <si>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</si>
  <si>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</si>
  <si>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</si>
  <si>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</si>
  <si>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</si>
  <si>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</si>
  <si>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</si>
  <si>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</si>
  <si>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</si>
  <si>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</si>
  <si>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</si>
  <si>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</si>
  <si>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</si>
  <si>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</si>
  <si>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</si>
  <si>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</si>
  <si>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</si>
  <si>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</si>
  <si>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</si>
  <si>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</si>
  <si>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</si>
  <si>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</si>
  <si>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</si>
  <si>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</si>
  <si>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</si>
  <si>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</si>
  <si>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</si>
  <si>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</si>
  <si>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</si>
  <si>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</si>
  <si>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</si>
  <si>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</si>
  <si>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</si>
  <si>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</si>
  <si>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</si>
  <si>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</si>
  <si>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</si>
  <si>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</si>
  <si>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</si>
  <si>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</si>
  <si>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</si>
  <si>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</si>
  <si>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</si>
  <si>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</si>
  <si>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</si>
  <si>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</si>
  <si>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</si>
  <si>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</si>
  <si>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</si>
  <si>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</si>
  <si>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</si>
  <si>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</si>
  <si>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</si>
  <si>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</si>
  <si>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</si>
  <si>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</si>
  <si>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</si>
  <si>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</si>
  <si>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</si>
  <si>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</si>
  <si>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</si>
  <si>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</si>
  <si>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</si>
  <si>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</si>
  <si>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</si>
  <si>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</si>
  <si>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</si>
  <si>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</si>
  <si>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</si>
  <si>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</si>
  <si>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</si>
  <si>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</si>
  <si>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</si>
  <si>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</si>
  <si>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</si>
  <si>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</si>
  <si>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</si>
  <si>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</si>
  <si>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</si>
  <si>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</si>
  <si>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</si>
  <si>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</si>
  <si>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</si>
  <si>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</si>
  <si>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</si>
  <si>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</si>
  <si>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</si>
  <si>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</si>
  <si>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</si>
  <si>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</si>
  <si>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</si>
  <si>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</si>
  <si>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</si>
  <si>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</si>
  <si>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</si>
  <si>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</si>
  <si>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</si>
  <si>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</si>
  <si>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</si>
  <si>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</si>
  <si>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</si>
  <si>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</si>
  <si>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</si>
  <si>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</si>
  <si>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</si>
  <si>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</si>
  <si>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</si>
  <si>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</si>
  <si>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</si>
  <si>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</si>
  <si>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</si>
  <si>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</si>
  <si>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</si>
  <si>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</si>
  <si>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</si>
  <si>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</si>
  <si>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</si>
  <si>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</si>
  <si>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</si>
  <si>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</si>
  <si>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</si>
  <si>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</si>
  <si>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</si>
  <si>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</si>
  <si>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</si>
  <si>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</si>
  <si>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</si>
  <si>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</si>
  <si>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</si>
  <si>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</si>
  <si>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</si>
  <si>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</si>
  <si>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</si>
  <si>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</si>
  <si>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</si>
  <si>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</si>
  <si>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</si>
  <si>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</si>
  <si>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</si>
  <si>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</si>
  <si>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</si>
  <si>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</si>
  <si>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</si>
  <si>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</si>
  <si>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</si>
  <si>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</si>
  <si>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</si>
  <si>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</si>
  <si>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</si>
  <si>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</si>
  <si>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</si>
  <si>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</si>
  <si>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</si>
  <si>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</si>
  <si>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</si>
  <si>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</si>
  <si>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</si>
  <si>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</si>
  <si>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</si>
  <si>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</si>
  <si>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</si>
  <si>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</si>
  <si>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</si>
  <si>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</si>
  <si>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</si>
  <si>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</si>
  <si>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</si>
  <si>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</si>
  <si>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</si>
  <si>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</si>
  <si>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</si>
  <si>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</si>
  <si>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</si>
  <si>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</si>
  <si>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</si>
  <si>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</si>
  <si>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</si>
  <si>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</si>
  <si>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</si>
  <si>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</si>
  <si>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</si>
  <si>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</si>
  <si>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</si>
  <si>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</si>
  <si>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</si>
  <si>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</si>
  <si>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</si>
  <si>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</si>
  <si>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</si>
  <si>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</si>
  <si>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</si>
  <si>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</si>
  <si>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</si>
  <si>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</si>
  <si>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</si>
  <si>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</si>
  <si>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</si>
  <si>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</si>
  <si>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</si>
  <si>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</si>
  <si>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</si>
  <si>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</si>
  <si>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</si>
  <si>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</si>
  <si>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</si>
  <si>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</si>
  <si>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</si>
  <si>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</si>
  <si>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</si>
  <si>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</si>
  <si>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</si>
  <si>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</si>
  <si>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</si>
  <si>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</si>
  <si>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</si>
  <si>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</si>
  <si>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</si>
  <si>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</si>
  <si>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</si>
  <si>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</si>
  <si>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</si>
  <si>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</si>
  <si>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</si>
  <si>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</si>
  <si>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</si>
  <si>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</si>
  <si>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</si>
  <si>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</si>
  <si>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</si>
  <si>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</si>
  <si>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</si>
  <si>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</si>
  <si>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</si>
  <si>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</si>
  <si>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</si>
  <si>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</si>
  <si>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</si>
  <si>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</si>
  <si>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</si>
  <si>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</si>
  <si>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</si>
  <si>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</si>
  <si>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</si>
  <si>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</si>
  <si>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</si>
  <si>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</si>
  <si>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</si>
  <si>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</si>
  <si>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</si>
  <si>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</si>
  <si>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</si>
  <si>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</si>
  <si>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</si>
  <si>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</si>
  <si>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</si>
  <si>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</si>
  <si>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</si>
  <si>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</si>
  <si>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</si>
  <si>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</si>
  <si>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</si>
  <si>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</si>
  <si>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</si>
  <si>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</si>
  <si>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</si>
  <si>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</si>
  <si>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</si>
  <si>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</si>
  <si>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</si>
  <si>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</si>
  <si>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</si>
  <si>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</si>
  <si>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</si>
  <si>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</si>
  <si>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</si>
  <si>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</si>
  <si>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</si>
  <si>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</si>
  <si>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</si>
  <si>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</si>
  <si>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</si>
  <si>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</si>
  <si>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</si>
  <si>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</si>
  <si>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</si>
  <si>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</si>
  <si>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</si>
  <si>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</si>
  <si>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</si>
  <si>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</si>
  <si>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</si>
  <si>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</si>
  <si>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</si>
  <si>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</si>
  <si>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</si>
  <si>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</si>
  <si>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</si>
  <si>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</si>
  <si>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</si>
  <si>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</si>
  <si>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</si>
  <si>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</si>
  <si>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</si>
  <si>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</si>
  <si>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</si>
  <si>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</si>
  <si>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</si>
  <si>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</si>
  <si>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</si>
  <si>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</si>
  <si>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</si>
  <si>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</si>
  <si>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</si>
  <si>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</si>
  <si>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</si>
  <si>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</si>
  <si>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</si>
  <si>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</si>
  <si>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</si>
  <si>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</si>
  <si>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</si>
  <si>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</si>
  <si>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</si>
  <si>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</si>
  <si>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</si>
  <si>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</si>
  <si>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</si>
  <si>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</si>
  <si>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</si>
  <si>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</si>
  <si>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</si>
  <si>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</si>
  <si>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</si>
  <si>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</si>
  <si>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</si>
  <si>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</si>
  <si>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</si>
  <si>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</si>
  <si>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</si>
  <si>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</si>
  <si>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</si>
  <si>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</si>
  <si>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</si>
  <si>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</si>
  <si>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</si>
  <si>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</si>
  <si>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</si>
  <si>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</si>
  <si>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</si>
  <si>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</si>
  <si>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</si>
  <si>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</si>
  <si>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</si>
  <si>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</si>
  <si>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</si>
  <si>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</si>
  <si>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</si>
  <si>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</si>
  <si>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</si>
  <si>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</si>
  <si>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</si>
  <si>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</si>
  <si>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</si>
  <si>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</si>
  <si>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</si>
  <si>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</si>
  <si>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</si>
  <si>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</si>
  <si>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</si>
  <si>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</si>
  <si>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</si>
  <si>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</si>
  <si>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</si>
  <si>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</si>
  <si>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</si>
  <si>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</si>
  <si>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</si>
  <si>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</si>
  <si>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</si>
  <si>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</si>
  <si>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</si>
  <si>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</si>
  <si>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</si>
  <si>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</si>
  <si>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</si>
  <si>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</si>
  <si>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</si>
  <si>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</si>
  <si>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</si>
  <si>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</si>
  <si>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</si>
  <si>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</si>
  <si>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</si>
  <si>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</si>
  <si>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</si>
  <si>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</si>
  <si>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</si>
  <si>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</si>
  <si>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</si>
  <si>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</si>
  <si>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</si>
  <si>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</si>
  <si>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</si>
  <si>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</si>
  <si>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</si>
  <si>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</si>
  <si>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</si>
  <si>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</si>
  <si>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</si>
  <si>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</si>
  <si>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</si>
  <si>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</si>
  <si>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</si>
  <si>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</si>
  <si>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</si>
  <si>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</si>
  <si>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</si>
  <si>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</si>
  <si>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</si>
  <si>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</si>
  <si>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</si>
  <si>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</si>
  <si>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</si>
  <si>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</si>
  <si>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</si>
  <si>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</si>
  <si>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</si>
  <si>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</si>
  <si>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</si>
  <si>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</si>
  <si>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</si>
  <si>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</si>
  <si>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</si>
  <si>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</si>
  <si>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</si>
  <si>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</si>
  <si>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</si>
  <si>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</si>
  <si>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</si>
  <si>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</si>
  <si>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</si>
  <si>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</si>
  <si>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</si>
  <si>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</si>
  <si>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</si>
  <si>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</si>
  <si>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</si>
  <si>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</si>
  <si>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</si>
  <si>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</si>
  <si>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</si>
  <si>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</si>
  <si>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</si>
  <si>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</si>
  <si>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</si>
  <si>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</si>
  <si>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</si>
  <si>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</si>
  <si>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</si>
  <si>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</si>
  <si>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</si>
  <si>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</si>
  <si>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</si>
  <si>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</si>
  <si>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</si>
  <si>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</si>
  <si>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</si>
  <si>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</si>
  <si>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</si>
  <si>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</si>
  <si>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</si>
  <si>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</si>
  <si>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</si>
  <si>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</si>
  <si>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</si>
  <si>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</si>
  <si>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</si>
  <si>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</si>
  <si>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</si>
  <si>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</si>
  <si>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</si>
  <si>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</si>
  <si>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</si>
  <si>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</si>
  <si>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</si>
  <si>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</si>
  <si>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</si>
  <si>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</si>
  <si>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</si>
  <si>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</si>
  <si>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</si>
  <si>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</si>
  <si>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</si>
  <si>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</si>
  <si>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</si>
  <si>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</si>
  <si>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</si>
  <si>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</si>
  <si>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</si>
  <si>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</si>
  <si>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</si>
  <si>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</si>
  <si>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</si>
  <si>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</si>
  <si>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</si>
  <si>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</si>
  <si>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</si>
  <si>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</si>
  <si>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</si>
  <si>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</si>
  <si>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</si>
  <si>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</si>
  <si>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</si>
  <si>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</si>
  <si>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</si>
  <si>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</si>
  <si>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</si>
  <si>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</si>
  <si>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</si>
  <si>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</si>
  <si>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</si>
  <si>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</si>
  <si>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</si>
  <si>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</si>
  <si>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</si>
  <si>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</si>
  <si>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</si>
  <si>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</si>
  <si>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</si>
  <si>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</si>
  <si>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</si>
  <si>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</si>
  <si>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</si>
  <si>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</si>
  <si>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</si>
  <si>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</si>
  <si>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</si>
  <si>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</si>
  <si>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</si>
  <si>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</si>
  <si>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</si>
  <si>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</si>
  <si>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</si>
  <si>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</si>
  <si>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</si>
  <si>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</si>
  <si>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</si>
  <si>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</si>
  <si>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</si>
  <si>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</si>
  <si>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</si>
  <si>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</si>
  <si>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</si>
  <si>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</si>
  <si>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</si>
  <si>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</si>
  <si>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</si>
  <si>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</si>
  <si>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</si>
  <si>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</si>
  <si>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</si>
  <si>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</si>
  <si>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</si>
  <si>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</si>
  <si>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</si>
  <si>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</si>
  <si>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</si>
  <si>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</si>
  <si>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</si>
  <si>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</si>
  <si>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</si>
  <si>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</si>
  <si>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</si>
  <si>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</si>
  <si>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</si>
  <si>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</si>
  <si>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</si>
  <si>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</si>
  <si>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</si>
  <si>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</si>
  <si>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</si>
  <si>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</si>
  <si>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</si>
  <si>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</si>
  <si>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</si>
  <si>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</si>
  <si>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</si>
  <si>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</si>
  <si>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</si>
  <si>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</si>
  <si>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</si>
  <si>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</si>
  <si>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</si>
  <si>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</si>
  <si>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</si>
  <si>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</si>
  <si>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</si>
  <si>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</si>
  <si>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</si>
  <si>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</si>
  <si>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</si>
  <si>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</si>
  <si>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</si>
  <si>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</si>
  <si>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</si>
  <si>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</si>
  <si>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</si>
  <si>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</si>
  <si>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</si>
  <si>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</si>
  <si>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</si>
  <si>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</si>
  <si>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</si>
  <si>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</si>
  <si>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</si>
  <si>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</si>
  <si>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</si>
  <si>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</si>
  <si>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</si>
  <si>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</si>
  <si>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</si>
  <si>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</si>
  <si>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</si>
  <si>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</si>
  <si>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</si>
  <si>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</si>
  <si>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</si>
  <si>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</si>
  <si>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</si>
  <si>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</si>
  <si>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</si>
  <si>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</si>
  <si>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</si>
  <si>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</si>
  <si>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</si>
  <si>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</si>
  <si>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</si>
  <si>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</si>
  <si>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</si>
  <si>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</si>
  <si>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</si>
  <si>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</si>
  <si>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</si>
  <si>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</si>
  <si>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</si>
  <si>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</si>
  <si>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</si>
  <si>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</si>
  <si>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</si>
  <si>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</si>
  <si>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</si>
  <si>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</si>
  <si>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</si>
  <si>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</si>
  <si>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</si>
  <si>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</si>
  <si>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</si>
  <si>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</si>
  <si>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</si>
  <si>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</si>
  <si>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</si>
  <si>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</si>
  <si>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</si>
  <si>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</si>
  <si>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</si>
  <si>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</si>
  <si>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</si>
  <si>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</si>
  <si>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</si>
  <si>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</si>
  <si>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</si>
  <si>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</si>
  <si>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</si>
  <si>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</si>
  <si>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</si>
  <si>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</si>
  <si>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</si>
  <si>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</si>
  <si>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</si>
  <si>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</si>
  <si>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</si>
  <si>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</si>
  <si>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</si>
  <si>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</si>
  <si>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</si>
  <si>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</si>
  <si>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</si>
  <si>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</si>
  <si>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</si>
  <si>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</si>
  <si>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</si>
  <si>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</si>
  <si>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</si>
  <si>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</si>
  <si>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</si>
  <si>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</si>
  <si>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</si>
  <si>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</si>
  <si>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</si>
  <si>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</si>
  <si>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</si>
  <si>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</si>
  <si>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</si>
  <si>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</si>
  <si>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</si>
  <si>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</si>
  <si>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</si>
  <si>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</si>
  <si>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</si>
  <si>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</si>
  <si>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</si>
  <si>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</si>
  <si>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</si>
  <si>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</si>
  <si>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</si>
  <si>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</si>
  <si>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</si>
  <si>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</si>
  <si>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</si>
  <si>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</si>
  <si>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</si>
  <si>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</si>
  <si>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</si>
  <si>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</si>
  <si>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</si>
  <si>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</si>
  <si>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</si>
  <si>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</si>
  <si>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</si>
  <si>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</si>
  <si>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</si>
  <si>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</si>
  <si>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</si>
  <si>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</si>
  <si>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</si>
  <si>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</si>
  <si>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</si>
  <si>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</si>
  <si>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</si>
  <si>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</si>
  <si>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</si>
  <si>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</si>
  <si>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</si>
  <si>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</si>
  <si>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</si>
  <si>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</si>
  <si>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</si>
  <si>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</si>
  <si>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</si>
  <si>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</si>
  <si>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</si>
  <si>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</si>
  <si>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</si>
  <si>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</si>
  <si>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</si>
  <si>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</si>
  <si>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</si>
  <si>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</si>
  <si>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</si>
  <si>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</si>
  <si>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</si>
  <si>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</si>
  <si>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</si>
  <si>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</si>
  <si>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</si>
  <si>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</si>
  <si>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</si>
  <si>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</si>
  <si>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</si>
  <si>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</si>
  <si>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</si>
  <si>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</si>
  <si>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</si>
  <si>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</si>
  <si>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</si>
  <si>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</si>
  <si>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</si>
  <si>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</si>
  <si>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</si>
  <si>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</si>
  <si>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</si>
  <si>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</si>
  <si>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</si>
  <si>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</si>
  <si>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</si>
  <si>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</si>
  <si>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</si>
  <si>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</si>
  <si>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</si>
  <si>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</si>
  <si>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</si>
  <si>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</si>
  <si>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</si>
  <si>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</si>
  <si>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</si>
  <si>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</si>
  <si>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</si>
  <si>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</si>
  <si>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</si>
  <si>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</si>
  <si>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</si>
  <si>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</si>
  <si>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</si>
  <si>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</si>
  <si>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</si>
  <si>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</si>
  <si>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</si>
  <si>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</si>
  <si>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</si>
  <si>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</si>
  <si>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</si>
  <si>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</si>
  <si>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</si>
  <si>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</si>
  <si>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</si>
  <si>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</si>
  <si>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</si>
  <si>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</si>
  <si>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</si>
  <si>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</si>
  <si>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</si>
  <si>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</si>
  <si>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</si>
  <si>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</si>
  <si>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</si>
  <si>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</si>
  <si>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</si>
  <si>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</si>
  <si>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</si>
  <si>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</si>
  <si>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</si>
  <si>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</si>
  <si>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</si>
  <si>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</si>
  <si>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</si>
  <si>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</si>
  <si>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</si>
  <si>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</si>
  <si>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</si>
  <si>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</si>
  <si>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</si>
  <si>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</si>
  <si>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</si>
  <si>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</si>
  <si>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</si>
  <si>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</si>
  <si>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</si>
  <si>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</si>
  <si>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</si>
  <si>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</si>
  <si>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</si>
  <si>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</si>
  <si>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</si>
  <si>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</si>
  <si>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</si>
  <si>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</si>
  <si>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</si>
  <si>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</si>
  <si>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</si>
  <si>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</si>
  <si>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</si>
  <si>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</si>
  <si>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</si>
  <si>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</si>
  <si>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</si>
  <si>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</si>
  <si>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</si>
  <si>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</si>
  <si>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</si>
  <si>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</si>
  <si>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</si>
  <si>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</si>
  <si>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</si>
  <si>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</si>
  <si>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</si>
  <si>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</si>
  <si>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</si>
  <si>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</si>
  <si>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</si>
  <si>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</si>
  <si>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</si>
  <si>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</si>
  <si>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</si>
  <si>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</si>
  <si>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</si>
  <si>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</si>
  <si>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</si>
  <si>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</si>
  <si>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</si>
  <si>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</si>
  <si>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</si>
  <si>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</si>
  <si>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</si>
  <si>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</si>
  <si>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</si>
  <si>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</si>
  <si>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</si>
  <si>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</si>
  <si>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</si>
  <si>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</si>
  <si>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</si>
  <si>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</si>
  <si>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</si>
  <si>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</si>
  <si>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</si>
  <si>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</si>
  <si>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</si>
  <si>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</si>
  <si>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</si>
  <si>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</si>
  <si>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</si>
  <si>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</si>
  <si>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</si>
  <si>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</si>
  <si>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</si>
  <si>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</si>
  <si>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</si>
  <si>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</si>
  <si>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</si>
  <si>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</si>
  <si>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</si>
  <si>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</si>
  <si>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</si>
  <si>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</si>
  <si>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</si>
  <si>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</si>
  <si>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</si>
  <si>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</si>
  <si>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</si>
  <si>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</si>
  <si>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</si>
  <si>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</si>
  <si>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</si>
  <si>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</si>
  <si>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</si>
  <si>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</si>
  <si>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</si>
  <si>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</si>
  <si>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</si>
  <si>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</si>
  <si>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</si>
  <si>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</si>
  <si>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</si>
  <si>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</si>
  <si>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</si>
  <si>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</si>
  <si>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</si>
  <si>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</si>
  <si>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</si>
  <si>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</si>
  <si>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</si>
  <si>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</si>
  <si>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</si>
  <si>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</si>
  <si>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</si>
  <si>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</si>
  <si>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</si>
  <si>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</si>
  <si>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</si>
  <si>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</si>
  <si>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</si>
  <si>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</si>
  <si>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</si>
  <si>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</si>
  <si>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</si>
  <si>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</si>
  <si>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</si>
  <si>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</si>
  <si>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</si>
  <si>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</si>
  <si>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</si>
  <si>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</si>
  <si>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</si>
  <si>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</si>
  <si>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</si>
  <si>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</si>
  <si>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</si>
  <si>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</si>
  <si>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</si>
  <si>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</si>
  <si>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</si>
  <si>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</si>
  <si>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</si>
  <si>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</si>
  <si>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</si>
  <si>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</si>
  <si>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</si>
  <si>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</si>
  <si>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</si>
  <si>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</si>
  <si>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</si>
  <si>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</si>
  <si>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</si>
  <si>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</si>
  <si>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</si>
  <si>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</si>
  <si>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</si>
  <si>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</si>
  <si>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</si>
  <si>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</si>
  <si>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</si>
  <si>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</si>
  <si>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</si>
  <si>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</si>
  <si>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</si>
  <si>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</si>
  <si>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</si>
  <si>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</si>
  <si>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</si>
  <si>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</si>
  <si>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</si>
  <si>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</si>
  <si>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</si>
  <si>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</si>
  <si>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</si>
  <si>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</si>
  <si>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</si>
  <si>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</si>
  <si>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</si>
  <si>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</si>
  <si>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</si>
  <si>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</si>
  <si>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</si>
  <si>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</si>
  <si>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</si>
  <si>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</si>
  <si>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</si>
  <si>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</si>
  <si>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</si>
  <si>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</si>
  <si>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</si>
  <si>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</si>
  <si>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</si>
  <si>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</si>
  <si>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</si>
  <si>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</si>
  <si>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</si>
  <si>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</si>
  <si>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</si>
  <si>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</si>
  <si>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</si>
  <si>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</si>
  <si>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</si>
  <si>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</si>
  <si>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</si>
  <si>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</si>
  <si>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</si>
  <si>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</si>
  <si>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</si>
  <si>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</si>
  <si>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</si>
  <si>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</si>
  <si>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</si>
  <si>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</si>
  <si>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</si>
  <si>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</si>
  <si>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</si>
  <si>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</si>
  <si>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</si>
  <si>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</si>
  <si>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</si>
  <si>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</si>
  <si>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</si>
  <si>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</si>
  <si>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</si>
  <si>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</si>
  <si>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</si>
  <si>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</si>
  <si>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</si>
  <si>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</si>
  <si>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</si>
  <si>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</si>
  <si>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</si>
  <si>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</si>
  <si>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</si>
  <si>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</si>
  <si>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</si>
  <si>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</si>
  <si>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</si>
  <si>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</si>
  <si>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</si>
  <si>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</si>
  <si>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</si>
  <si>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</si>
  <si>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</si>
  <si>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</si>
  <si>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</si>
  <si>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</si>
  <si>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</si>
  <si>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</si>
  <si>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</si>
  <si>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</si>
  <si>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</si>
  <si>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</si>
  <si>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</si>
  <si>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</si>
  <si>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</si>
  <si>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</si>
  <si>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</si>
  <si>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</si>
  <si>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</si>
  <si>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</si>
  <si>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</si>
  <si>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</si>
  <si>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</si>
  <si>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</si>
  <si>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</si>
  <si>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</si>
  <si>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</si>
  <si>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</si>
  <si>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</si>
  <si>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</si>
  <si>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</si>
  <si>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</si>
  <si>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</si>
  <si>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</si>
  <si>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</si>
  <si>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</si>
  <si>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</si>
  <si>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</si>
  <si>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</si>
  <si>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</si>
  <si>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</si>
  <si>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</si>
  <si>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</si>
  <si>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</si>
  <si>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</si>
  <si>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</si>
  <si>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</si>
  <si>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</si>
  <si>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</si>
  <si>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</si>
  <si>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</si>
  <si>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</si>
  <si>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</si>
  <si>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</si>
  <si>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</si>
  <si>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</si>
  <si>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</si>
  <si>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</si>
  <si>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</si>
  <si>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</si>
  <si>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</si>
  <si>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</si>
  <si>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</si>
  <si>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</si>
  <si>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</si>
  <si>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</si>
  <si>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</si>
  <si>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</si>
  <si>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</si>
  <si>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</si>
  <si>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</si>
  <si>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</si>
  <si>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</si>
  <si>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</si>
  <si>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</si>
  <si>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</si>
  <si>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</si>
  <si>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</si>
  <si>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</si>
  <si>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</si>
  <si>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</si>
  <si>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</si>
  <si>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</si>
  <si>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</si>
  <si>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</si>
  <si>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</si>
  <si>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</si>
  <si>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</si>
  <si>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</si>
  <si>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</si>
  <si>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</si>
  <si>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</si>
  <si>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</si>
  <si>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</si>
  <si>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</si>
  <si>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</si>
  <si>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</si>
  <si>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</si>
  <si>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</si>
  <si>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</si>
  <si>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</si>
  <si>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</si>
  <si>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</si>
  <si>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</si>
  <si>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</si>
  <si>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</si>
  <si>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</si>
  <si>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</si>
  <si>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</si>
  <si>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</si>
  <si>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</si>
  <si>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</si>
  <si>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</si>
  <si>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</si>
  <si>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</si>
  <si>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</si>
  <si>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</si>
  <si>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</si>
  <si>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</si>
  <si>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</si>
  <si>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</si>
  <si>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</si>
  <si>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</si>
  <si>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</si>
  <si>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</si>
  <si>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</si>
  <si>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</si>
  <si>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</si>
  <si>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</si>
  <si>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</si>
  <si>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</si>
  <si>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</si>
  <si>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</si>
  <si>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</si>
  <si>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</si>
  <si>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</si>
  <si>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</si>
  <si>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</si>
  <si>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</si>
  <si>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</si>
  <si>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</si>
  <si>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</si>
  <si>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</si>
  <si>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</si>
  <si>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</si>
  <si>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</si>
  <si>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</si>
  <si>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</si>
  <si>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</si>
  <si>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</si>
  <si>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</si>
  <si>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</si>
  <si>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</si>
  <si>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</si>
  <si>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</si>
  <si>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</si>
  <si>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</si>
  <si>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</si>
  <si>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</si>
  <si>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</si>
  <si>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</si>
  <si>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</si>
  <si>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</si>
  <si>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</si>
  <si>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</si>
  <si>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</si>
  <si>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</si>
  <si>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</si>
  <si>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</si>
  <si>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</si>
  <si>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</si>
  <si>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</si>
  <si>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</si>
  <si>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</si>
  <si>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</si>
  <si>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</si>
  <si>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</si>
  <si>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</si>
  <si>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</si>
  <si>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</si>
  <si>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</si>
  <si>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</si>
  <si>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</si>
  <si>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</si>
  <si>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</si>
  <si>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</si>
  <si>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</si>
  <si>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</si>
  <si>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</si>
  <si>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</si>
  <si>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</si>
  <si>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</si>
  <si>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</si>
  <si>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</si>
  <si>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</si>
  <si>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</si>
  <si>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</si>
  <si>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</si>
  <si>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</si>
  <si>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</si>
  <si>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</si>
  <si>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</si>
  <si>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</si>
  <si>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</si>
  <si>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</si>
  <si>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</si>
  <si>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</si>
  <si>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</si>
  <si>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</si>
  <si>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</si>
  <si>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</si>
  <si>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</si>
  <si>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</si>
  <si>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</si>
  <si>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</si>
  <si>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</si>
  <si>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</si>
  <si>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</si>
  <si>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</si>
  <si>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</si>
  <si>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</si>
  <si>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</si>
  <si>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</si>
  <si>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</si>
  <si>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</si>
  <si>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</si>
  <si>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</si>
  <si>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</si>
  <si>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</si>
  <si>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</si>
  <si>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</si>
  <si>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</si>
  <si>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</si>
  <si>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</si>
  <si>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</si>
  <si>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</si>
  <si>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</si>
  <si>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</si>
  <si>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</si>
  <si>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</si>
  <si>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</si>
  <si>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</si>
  <si>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</si>
  <si>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</si>
  <si>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</si>
  <si>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</si>
  <si>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</si>
  <si>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</si>
  <si>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</si>
  <si>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</si>
  <si>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</si>
  <si>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</si>
  <si>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</si>
  <si>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</si>
  <si>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</si>
  <si>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</si>
  <si>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</si>
  <si>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</si>
  <si>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</si>
  <si>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</si>
  <si>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</si>
  <si>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</si>
  <si>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</si>
  <si>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</si>
  <si>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</si>
  <si>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</si>
  <si>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</si>
  <si>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</si>
  <si>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</si>
  <si>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</si>
  <si>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</si>
  <si>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</si>
  <si>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</si>
  <si>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</si>
  <si>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</si>
  <si>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</si>
  <si>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</si>
  <si>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</si>
  <si>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</si>
  <si>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</si>
  <si>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</si>
  <si>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</si>
  <si>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</si>
  <si>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</si>
  <si>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</si>
  <si>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</si>
  <si>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</si>
  <si>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</si>
  <si>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</si>
  <si>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</si>
  <si>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</si>
  <si>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</si>
  <si>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</si>
  <si>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</si>
  <si>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</si>
  <si>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</si>
  <si>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</si>
  <si>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</si>
  <si>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</si>
  <si>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</si>
  <si>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</si>
  <si>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</si>
  <si>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</si>
  <si>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</si>
  <si>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</si>
  <si>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</si>
  <si>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</si>
  <si>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</si>
  <si>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</si>
  <si>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</si>
  <si>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</si>
  <si>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</si>
  <si>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</si>
  <si>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</si>
  <si>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</si>
  <si>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</si>
  <si>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</si>
  <si>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</si>
  <si>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</si>
  <si>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</si>
  <si>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</si>
  <si>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</si>
  <si>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</si>
  <si>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</si>
  <si>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</si>
  <si>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</si>
  <si>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</si>
  <si>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</si>
  <si>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</si>
  <si>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</si>
  <si>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</si>
  <si>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</si>
  <si>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</si>
  <si>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</si>
  <si>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</si>
  <si>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</si>
  <si>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</si>
  <si>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</si>
  <si>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</si>
  <si>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</si>
  <si>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</si>
  <si>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</si>
  <si>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</si>
  <si>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</si>
  <si>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</si>
  <si>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</si>
  <si>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</si>
  <si>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</si>
  <si>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</si>
  <si>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</si>
  <si>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</si>
  <si>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</si>
  <si>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</si>
  <si>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</si>
  <si>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</si>
  <si>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</si>
  <si>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</si>
  <si>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</si>
  <si>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</si>
  <si>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</si>
  <si>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</si>
  <si>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</si>
  <si>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</si>
  <si>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</si>
  <si>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</si>
  <si>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</si>
  <si>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</si>
  <si>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</si>
  <si>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</si>
  <si>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</si>
  <si>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</si>
  <si>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</si>
  <si>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</si>
  <si>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</si>
  <si>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</si>
  <si>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</si>
  <si>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</si>
  <si>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</si>
  <si>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</si>
  <si>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</si>
  <si>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</si>
  <si>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</si>
  <si>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</si>
  <si>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</si>
  <si>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</si>
  <si>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</si>
  <si>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</si>
  <si>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</si>
  <si>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</si>
  <si>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</si>
  <si>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</si>
  <si>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</si>
  <si>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</si>
  <si>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</si>
  <si>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</si>
  <si>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</si>
  <si>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</si>
  <si>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</si>
  <si>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</si>
  <si>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</si>
  <si>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</si>
  <si>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</si>
  <si>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</si>
  <si>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</si>
  <si>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</si>
  <si>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</si>
  <si>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</si>
  <si>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</si>
  <si>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</si>
  <si>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</si>
  <si>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</si>
  <si>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</si>
  <si>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</si>
  <si>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</si>
  <si>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</si>
  <si>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</si>
  <si>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</si>
  <si>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</si>
  <si>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</si>
  <si>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</si>
  <si>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</si>
  <si>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</si>
  <si>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</si>
  <si>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</si>
  <si>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</si>
  <si>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</si>
  <si>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</si>
  <si>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</si>
  <si>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</si>
  <si>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</si>
  <si>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</si>
  <si>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</si>
  <si>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</si>
  <si>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</si>
  <si>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</si>
  <si>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</si>
  <si>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</si>
  <si>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</si>
  <si>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</si>
  <si>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</si>
  <si>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</si>
  <si>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</si>
  <si>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</si>
  <si>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</si>
  <si>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</si>
  <si>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</si>
  <si>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</si>
  <si>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</si>
  <si>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</si>
  <si>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</si>
  <si>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</si>
  <si>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</si>
  <si>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</si>
  <si>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</si>
  <si>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</si>
  <si>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</si>
  <si>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</si>
  <si>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</si>
  <si>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</si>
  <si>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</si>
  <si>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</si>
  <si>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</si>
  <si>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</si>
  <si>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</si>
  <si>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</si>
  <si>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</si>
  <si>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</si>
  <si>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</si>
  <si>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</si>
  <si>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</si>
  <si>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</si>
  <si>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</si>
  <si>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</si>
  <si>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</si>
  <si>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</si>
  <si>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</si>
  <si>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</si>
  <si>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</si>
  <si>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</si>
  <si>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</si>
  <si>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</si>
  <si>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</si>
  <si>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</si>
  <si>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</si>
  <si>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</si>
  <si>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</si>
  <si>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</si>
  <si>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</si>
  <si>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</si>
  <si>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</si>
  <si>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</si>
  <si>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</si>
  <si>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</si>
  <si>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</si>
  <si>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</si>
  <si>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</si>
  <si>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</si>
  <si>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</si>
  <si>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</si>
  <si>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</si>
  <si>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</si>
  <si>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</si>
  <si>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</si>
  <si>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</si>
  <si>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</si>
  <si>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</si>
  <si>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</si>
  <si>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</si>
  <si>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</si>
  <si>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</si>
  <si>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</si>
  <si>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</si>
  <si>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</si>
  <si>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</si>
  <si>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</si>
  <si>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</si>
  <si>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</si>
  <si>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</si>
  <si>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</si>
  <si>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</si>
  <si>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</si>
  <si>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</si>
  <si>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</si>
  <si>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</si>
  <si>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</si>
  <si>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</si>
  <si>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</si>
  <si>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</si>
  <si>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</si>
  <si>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</si>
  <si>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</si>
  <si>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</si>
  <si>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</si>
  <si>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</si>
  <si>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</si>
  <si>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</si>
  <si>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</si>
  <si>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</si>
  <si>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</si>
  <si>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</si>
  <si>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</si>
  <si>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</si>
  <si>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</si>
  <si>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</si>
  <si>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</si>
  <si>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</si>
  <si>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</si>
  <si>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</si>
  <si>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</si>
  <si>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</si>
  <si>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</si>
  <si>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</si>
  <si>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</si>
  <si>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</si>
  <si>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</si>
  <si>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</si>
  <si>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</si>
  <si>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</si>
  <si>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</si>
  <si>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</si>
  <si>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</si>
  <si>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</si>
  <si>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</si>
  <si>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</si>
  <si>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</si>
  <si>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</si>
  <si>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</si>
  <si>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</si>
  <si>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</si>
  <si>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</si>
  <si>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</si>
  <si>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</si>
  <si>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</si>
  <si>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</si>
  <si>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</si>
  <si>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</si>
  <si>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</si>
  <si>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</si>
  <si>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</si>
  <si>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</si>
  <si>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</si>
  <si>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</si>
  <si>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</si>
  <si>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</si>
  <si>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</si>
  <si>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</si>
  <si>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</si>
  <si>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</si>
  <si>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</si>
  <si>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</si>
  <si>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</si>
  <si>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</si>
  <si>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</si>
  <si>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</si>
  <si>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</si>
  <si>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</si>
  <si>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</si>
  <si>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</si>
  <si>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</si>
  <si>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</si>
  <si>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</si>
  <si>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</si>
  <si>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</si>
  <si>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</si>
  <si>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</si>
  <si>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</si>
  <si>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</si>
  <si>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</si>
  <si>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</si>
  <si>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</si>
  <si>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</si>
  <si>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</si>
  <si>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</si>
  <si>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</si>
  <si>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</si>
  <si>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崔锴</t>
  </si>
  <si>
    <t>郑燚</t>
  </si>
  <si>
    <t>中谷集团上海粮油有限公司</t>
    <phoneticPr fontId="7" type="noConversion"/>
  </si>
  <si>
    <t>核定资产</t>
  </si>
  <si>
    <t>房地产市场价值</t>
  </si>
  <si>
    <t>其他：</t>
  </si>
  <si>
    <t>吉林省长春市</t>
    <phoneticPr fontId="7" type="noConversion"/>
  </si>
  <si>
    <t>企业</t>
  </si>
  <si>
    <t>德惠市东佳粮油有限公司</t>
    <phoneticPr fontId="7" type="noConversion"/>
  </si>
  <si>
    <r>
      <rPr>
        <sz val="10"/>
        <color indexed="8"/>
        <rFont val="宋体"/>
        <family val="3"/>
        <charset val="134"/>
      </rPr>
      <t>南关区解放大路</t>
    </r>
    <r>
      <rPr>
        <sz val="10"/>
        <color indexed="8"/>
        <rFont val="Arial"/>
        <family val="2"/>
      </rPr>
      <t>65</t>
    </r>
    <r>
      <rPr>
        <sz val="10"/>
        <color indexed="8"/>
        <rFont val="宋体"/>
        <family val="3"/>
        <charset val="134"/>
      </rPr>
      <t>号</t>
    </r>
    <r>
      <rPr>
        <sz val="10"/>
        <color indexed="8"/>
        <rFont val="Arial"/>
        <family val="2"/>
      </rPr>
      <t>2002</t>
    </r>
    <r>
      <rPr>
        <sz val="10"/>
        <color indexed="8"/>
        <rFont val="宋体"/>
        <family val="3"/>
        <charset val="134"/>
      </rPr>
      <t>、</t>
    </r>
    <r>
      <rPr>
        <sz val="10"/>
        <color indexed="8"/>
        <rFont val="Arial"/>
        <family val="2"/>
      </rPr>
      <t>2008</t>
    </r>
    <r>
      <rPr>
        <sz val="10"/>
        <color indexed="8"/>
        <rFont val="宋体"/>
        <family val="3"/>
        <charset val="134"/>
      </rPr>
      <t>、</t>
    </r>
    <r>
      <rPr>
        <sz val="10"/>
        <color indexed="8"/>
        <rFont val="Arial"/>
        <family val="2"/>
      </rPr>
      <t>2007</t>
    </r>
    <r>
      <rPr>
        <sz val="10"/>
        <color indexed="8"/>
        <rFont val="宋体"/>
        <family val="3"/>
        <charset val="134"/>
      </rPr>
      <t>、</t>
    </r>
    <r>
      <rPr>
        <sz val="10"/>
        <color indexed="8"/>
        <rFont val="Arial"/>
        <family val="2"/>
      </rPr>
      <t>2001</t>
    </r>
    <r>
      <rPr>
        <sz val="10"/>
        <color indexed="8"/>
        <rFont val="宋体"/>
        <family val="3"/>
        <charset val="134"/>
      </rPr>
      <t>室</t>
    </r>
    <phoneticPr fontId="7" type="noConversion"/>
  </si>
  <si>
    <t>空置</t>
    <phoneticPr fontId="7" type="noConversion"/>
  </si>
  <si>
    <t>与房产证证载一致</t>
  </si>
  <si>
    <t>房屋所有权证</t>
  </si>
  <si>
    <t>无</t>
  </si>
  <si>
    <t>元</t>
  </si>
  <si>
    <t>楼面单价</t>
  </si>
  <si>
    <t xml:space="preserve"> </t>
    <phoneticPr fontId="4" type="noConversion"/>
  </si>
  <si>
    <t>无租约</t>
  </si>
  <si>
    <t>金碧阁</t>
    <phoneticPr fontId="146" type="noConversion"/>
  </si>
  <si>
    <t>中楼层</t>
    <phoneticPr fontId="146" type="noConversion"/>
  </si>
  <si>
    <t>东</t>
  </si>
  <si>
    <t>东</t>
    <phoneticPr fontId="146" type="noConversion"/>
  </si>
  <si>
    <t>高楼层</t>
    <phoneticPr fontId="146" type="noConversion"/>
  </si>
  <si>
    <t>南</t>
  </si>
  <si>
    <t>南</t>
    <phoneticPr fontId="146" type="noConversion"/>
  </si>
  <si>
    <t>低楼层</t>
    <phoneticPr fontId="146" type="noConversion"/>
  </si>
  <si>
    <t>东南</t>
  </si>
  <si>
    <t>东南</t>
    <phoneticPr fontId="146" type="noConversion"/>
  </si>
  <si>
    <t>金碧阁</t>
    <phoneticPr fontId="4" type="noConversion"/>
  </si>
  <si>
    <t>住宅</t>
    <phoneticPr fontId="20" type="noConversion"/>
  </si>
  <si>
    <t>50-60（含）</t>
  </si>
  <si>
    <t>较好</t>
    <phoneticPr fontId="35" type="noConversion"/>
  </si>
  <si>
    <t>较好</t>
    <phoneticPr fontId="35" type="noConversion"/>
  </si>
  <si>
    <t>七通</t>
  </si>
  <si>
    <t>七通</t>
    <phoneticPr fontId="20" type="noConversion"/>
  </si>
  <si>
    <t>高区</t>
  </si>
  <si>
    <t>高区</t>
    <phoneticPr fontId="20" type="noConversion"/>
  </si>
  <si>
    <t>中区</t>
    <phoneticPr fontId="20" type="noConversion"/>
  </si>
  <si>
    <t>低区</t>
    <phoneticPr fontId="20" type="noConversion"/>
  </si>
  <si>
    <t xml:space="preserve"> </t>
    <phoneticPr fontId="20" type="noConversion"/>
  </si>
  <si>
    <t xml:space="preserve"> </t>
    <phoneticPr fontId="20" type="noConversion"/>
  </si>
  <si>
    <t xml:space="preserve"> </t>
    <phoneticPr fontId="20" type="noConversion"/>
  </si>
  <si>
    <t>楼层</t>
    <phoneticPr fontId="20" type="noConversion"/>
  </si>
  <si>
    <t>高层</t>
  </si>
  <si>
    <t>南北</t>
  </si>
  <si>
    <t>南北西</t>
  </si>
  <si>
    <t>南北东</t>
  </si>
  <si>
    <t>西南</t>
  </si>
  <si>
    <t>东北</t>
  </si>
  <si>
    <t>西北</t>
  </si>
  <si>
    <t>西</t>
  </si>
  <si>
    <t>北</t>
  </si>
  <si>
    <t>多层</t>
    <phoneticPr fontId="20" type="noConversion"/>
  </si>
  <si>
    <t>小高层</t>
    <phoneticPr fontId="20" type="noConversion"/>
  </si>
  <si>
    <t>高层</t>
    <phoneticPr fontId="20" type="noConversion"/>
  </si>
  <si>
    <t>钢混</t>
  </si>
  <si>
    <t>钢混</t>
    <phoneticPr fontId="20" type="noConversion"/>
  </si>
  <si>
    <t>高档</t>
    <phoneticPr fontId="20" type="noConversion"/>
  </si>
  <si>
    <t>中档</t>
  </si>
  <si>
    <t>中档</t>
    <phoneticPr fontId="20" type="noConversion"/>
  </si>
  <si>
    <t>低档</t>
    <phoneticPr fontId="20" type="noConversion"/>
  </si>
  <si>
    <t>精装修</t>
    <phoneticPr fontId="20" type="noConversion"/>
  </si>
  <si>
    <t>普通装修</t>
  </si>
  <si>
    <t>普通装修</t>
    <phoneticPr fontId="20" type="noConversion"/>
  </si>
  <si>
    <t>简单装修</t>
    <phoneticPr fontId="20" type="noConversion"/>
  </si>
  <si>
    <t>专业物业管理</t>
    <phoneticPr fontId="20" type="noConversion"/>
  </si>
  <si>
    <t>普通物业管理</t>
  </si>
  <si>
    <t>普通物业管理</t>
    <phoneticPr fontId="20" type="noConversion"/>
  </si>
  <si>
    <t>平层</t>
  </si>
  <si>
    <t>平层</t>
    <phoneticPr fontId="20" type="noConversion"/>
  </si>
  <si>
    <t>解民小区</t>
    <phoneticPr fontId="146" type="noConversion"/>
  </si>
  <si>
    <t>平阳小区</t>
    <phoneticPr fontId="146" type="noConversion"/>
  </si>
  <si>
    <t>30-40（含）</t>
  </si>
  <si>
    <t>租金</t>
    <phoneticPr fontId="146" type="noConversion"/>
  </si>
  <si>
    <t>租金</t>
    <phoneticPr fontId="4" type="noConversion"/>
  </si>
  <si>
    <t>是</t>
  </si>
  <si>
    <t>利息：取LPR加浮动点数</t>
  </si>
  <si>
    <t>仅计算典型户型</t>
  </si>
  <si>
    <t>非生产用房</t>
  </si>
  <si>
    <t>比较法-住宅</t>
  </si>
  <si>
    <t>收益法</t>
  </si>
  <si>
    <t>基准户型2002</t>
    <phoneticPr fontId="20" type="noConversion"/>
  </si>
  <si>
    <t>楼层</t>
    <phoneticPr fontId="20" type="noConversion"/>
  </si>
  <si>
    <t>高区</t>
    <phoneticPr fontId="20" type="noConversion"/>
  </si>
  <si>
    <t>装修</t>
    <phoneticPr fontId="20" type="noConversion"/>
  </si>
  <si>
    <t>多层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</si>
</sst>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14" fontId="0" fillId="0" borderId="0" xfId="0" applyNumberFormat="1">
      <alignment vertical="center"/>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21" borderId="7"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49" fontId="0" fillId="0" borderId="0" xfId="0" applyNumberFormat="1">
      <alignment vertical="center"/>
    </xf>
    <xf numFmtId="0" fontId="75" fillId="0" borderId="0" xfId="0" applyFont="1" applyFill="1" applyAlignment="1" applyProtection="1">
      <alignment horizontal="left" vertical="center"/>
      <protection locked="0"/>
    </xf>
    <xf numFmtId="0" fontId="135" fillId="2" borderId="6" xfId="0" applyFont="1" applyFill="1" applyBorder="1" applyAlignment="1" applyProtection="1">
      <alignment horizontal="left" vertical="center"/>
      <protection locked="0"/>
    </xf>
    <xf numFmtId="0" fontId="230" fillId="0"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351339</xdr:colOff>
      <xdr:row>38</xdr:row>
      <xdr:rowOff>75377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95239" cy="6590477"/>
        </a:xfrm>
        <a:prstGeom prst="rect">
          <a:avLst/>
        </a:prstGeom>
      </xdr:spPr>
    </xdr:pic>
    <xdr:clientData/>
  </xdr:twoCellAnchor>
  <xdr:twoCellAnchor editAs="oneCell">
    <xdr:from>
      <xdr:col>0</xdr:col>
      <xdr:colOff>0</xdr:colOff>
      <xdr:row>39</xdr:row>
      <xdr:rowOff>0</xdr:rowOff>
    </xdr:from>
    <xdr:to>
      <xdr:col>5</xdr:col>
      <xdr:colOff>218605</xdr:colOff>
      <xdr:row>68</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3761905" cy="5142857"/>
        </a:xfrm>
        <a:prstGeom prst="rect">
          <a:avLst/>
        </a:prstGeom>
      </xdr:spPr>
    </xdr:pic>
    <xdr:clientData/>
  </xdr:twoCellAnchor>
  <xdr:twoCellAnchor editAs="oneCell">
    <xdr:from>
      <xdr:col>5</xdr:col>
      <xdr:colOff>266700</xdr:colOff>
      <xdr:row>35</xdr:row>
      <xdr:rowOff>104775</xdr:rowOff>
    </xdr:from>
    <xdr:to>
      <xdr:col>10</xdr:col>
      <xdr:colOff>637700</xdr:colOff>
      <xdr:row>72</xdr:row>
      <xdr:rowOff>65887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0" y="6105525"/>
          <a:ext cx="3800000" cy="6304762"/>
        </a:xfrm>
        <a:prstGeom prst="rect">
          <a:avLst/>
        </a:prstGeom>
      </xdr:spPr>
    </xdr:pic>
    <xdr:clientData/>
  </xdr:twoCellAnchor>
  <xdr:twoCellAnchor editAs="oneCell">
    <xdr:from>
      <xdr:col>11</xdr:col>
      <xdr:colOff>0</xdr:colOff>
      <xdr:row>39</xdr:row>
      <xdr:rowOff>0</xdr:rowOff>
    </xdr:from>
    <xdr:to>
      <xdr:col>15</xdr:col>
      <xdr:colOff>371086</xdr:colOff>
      <xdr:row>68</xdr:row>
      <xdr:rowOff>27950</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686550"/>
          <a:ext cx="3114286" cy="5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266701</xdr:colOff>
      <xdr:row>19</xdr:row>
      <xdr:rowOff>14149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7124700" cy="327169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吉林省长春市房地产市场价值预评估</v>
      </c>
    </row>
    <row r="3" spans="1:2" s="1208" customFormat="1">
      <c r="A3" s="1209" t="s">
        <v>1096</v>
      </c>
      <c r="B3" s="1194" t="str">
        <f>'预评函-封皮'!B12</f>
        <v>中谷集团上海粮油有限公司</v>
      </c>
    </row>
    <row r="4" spans="1:2" s="1208" customFormat="1">
      <c r="A4" s="1209" t="s">
        <v>1097</v>
      </c>
      <c r="B4" s="1194" t="str">
        <f ca="1">'预评函-封皮'!B18</f>
        <v>崔锴（注册号:1120100036）、郑燚（注册号:1120070131)</v>
      </c>
    </row>
    <row r="5" spans="1:2" s="1206" customFormat="1" ht="15.75" thickBot="1">
      <c r="A5" s="1210" t="s">
        <v>1098</v>
      </c>
      <c r="B5" s="1195" t="str">
        <f>'预评函-封皮'!B21</f>
        <v>康正预评字号</v>
      </c>
    </row>
    <row r="6" spans="1:2" s="1208" customFormat="1" ht="15.75" thickTop="1">
      <c r="A6" s="1209" t="s">
        <v>1099</v>
      </c>
      <c r="B6" s="1193" t="str">
        <f>'预评函-1'!A4</f>
        <v>受贵公司委托，我公司对吉林省长春市房地产进行了预评估。</v>
      </c>
    </row>
    <row r="7" spans="1:2">
      <c r="A7" s="1209" t="s">
        <v>1100</v>
      </c>
      <c r="B7" s="1196" t="str">
        <f>'预评函-1'!A6</f>
        <v>估价对象为吉林省长春市房地产，为德惠市东佳粮油有限公司所有。根据《房屋所有权证》[]，估价对象建筑面积为82.35平方米。估价对象用途为。</v>
      </c>
    </row>
    <row r="8" spans="1:2">
      <c r="A8" s="1209" t="s">
        <v>1101</v>
      </c>
      <c r="B8" s="1196" t="str">
        <f>'预评函-1'!A8</f>
        <v>为估价委托人了解估价对象房地产市场价值提供参考依据。</v>
      </c>
    </row>
    <row r="9" spans="1:2">
      <c r="A9" s="1209" t="s">
        <v>1102</v>
      </c>
      <c r="B9" s="1196" t="str">
        <f>'预评函-1'!A10</f>
        <v>2021年4月10日（评估专业人员实地查勘之日）</v>
      </c>
    </row>
    <row r="10" spans="1:2">
      <c r="A10" s="1209" t="s">
        <v>1103</v>
      </c>
      <c r="B10" s="1196" t="str">
        <f>'预评函-1'!A13</f>
        <v>本次估价的“房地产价值”是指在正常市场情况下，在价值时点2021年4月10日，估价对象规划用途为，假定未设立法定优先受偿款下的房地产市场价值。</v>
      </c>
    </row>
    <row r="11" spans="1:2">
      <c r="A11" s="1209" t="s">
        <v>1104</v>
      </c>
      <c r="B11" s="1196"/>
    </row>
    <row r="12" spans="1:2">
      <c r="A12" s="1209" t="s">
        <v>1105</v>
      </c>
      <c r="B12" s="1196" t="str">
        <f>'预评函-1'!A14</f>
        <v>——</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v>
      </c>
    </row>
    <row r="15" spans="1:2" s="1206" customFormat="1" ht="15.75" thickBot="1">
      <c r="A15" s="1210" t="s">
        <v>1108</v>
      </c>
      <c r="B15" s="1197" t="str">
        <f>'预评函-1'!A18</f>
        <v>本次评估采用的主估价方法为比较法和收益法。</v>
      </c>
    </row>
    <row r="16" spans="1:2" ht="15.75" thickTop="1">
      <c r="A16" s="1207" t="s">
        <v>1109</v>
      </c>
      <c r="B16" s="119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9" t="s">
        <v>1110</v>
      </c>
      <c r="B17" s="1196" t="str">
        <f>'预评函-2（1）'!B6</f>
        <v>吉林省长春市房地产</v>
      </c>
    </row>
    <row r="18" spans="1:2">
      <c r="A18" s="1209" t="s">
        <v>1111</v>
      </c>
      <c r="B18" s="1196">
        <f>'预评函-2（1）'!C6</f>
        <v>82.35</v>
      </c>
    </row>
    <row r="19" spans="1:2">
      <c r="A19" s="1209" t="s">
        <v>1112</v>
      </c>
      <c r="B19" s="1196">
        <f ca="1">'预评函-2（1）'!D7</f>
        <v>2692376</v>
      </c>
    </row>
    <row r="20" spans="1:2">
      <c r="A20" s="1209" t="s">
        <v>1150</v>
      </c>
      <c r="B20" s="1196" t="str">
        <f>'预评函-2（1）'!C7</f>
        <v>总价（元）</v>
      </c>
    </row>
    <row r="21" spans="1:2">
      <c r="A21" s="1209" t="s">
        <v>1113</v>
      </c>
      <c r="B21" s="1196">
        <f ca="1">'预评函-2（1）'!D9</f>
        <v>79166574</v>
      </c>
    </row>
    <row r="22" spans="1:2">
      <c r="A22" s="1209" t="s">
        <v>1114</v>
      </c>
      <c r="B22" s="1196" t="str">
        <f ca="1">'预评函-2（1）'!D8</f>
        <v>贰佰陆拾玖万贰仟叁佰柒拾陆元整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2692376</v>
      </c>
    </row>
    <row r="30" spans="1:2">
      <c r="A30" s="1209" t="s">
        <v>1120</v>
      </c>
      <c r="B30" s="1196" t="str">
        <f ca="1">'预评函-2（1）'!D16</f>
        <v>贰佰陆拾玖万贰仟叁佰柒拾陆元整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'预评函-2（2）'!D4</f>
        <v>0</v>
      </c>
    </row>
    <row r="38" spans="1:2">
      <c r="A38" s="1209" t="s">
        <v>1128</v>
      </c>
      <c r="B38" s="1196">
        <f>'预评函-2（2）'!E4</f>
        <v>0</v>
      </c>
    </row>
    <row r="39" spans="1:2">
      <c r="A39" s="1209" t="s">
        <v>1129</v>
      </c>
      <c r="B39" s="1196" t="str">
        <f>'预评函-2（2）'!D5</f>
        <v>零元整</v>
      </c>
    </row>
    <row r="40" spans="1:2">
      <c r="A40" s="1209" t="s">
        <v>1130</v>
      </c>
      <c r="B40" s="1196">
        <f>'预评函-2（2）'!F4</f>
        <v>0</v>
      </c>
    </row>
    <row r="41" spans="1:2">
      <c r="A41" s="1209" t="s">
        <v>1131</v>
      </c>
      <c r="B41" s="1196">
        <f>'预评函-2（2）'!G4</f>
        <v>0</v>
      </c>
    </row>
    <row r="42" spans="1:2" s="1206" customFormat="1" ht="15.75" thickBot="1">
      <c r="A42" s="1210" t="s">
        <v>1132</v>
      </c>
      <c r="B42" s="1198" t="str">
        <f>'预评函-2（2）'!F5</f>
        <v>零元整</v>
      </c>
    </row>
    <row r="43" spans="1:2" ht="15.75"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崔锴</v>
      </c>
    </row>
    <row r="53" spans="1:2">
      <c r="A53" s="1209" t="s">
        <v>1142</v>
      </c>
      <c r="B53" s="1196">
        <f ca="1">'预评函-3'!B4</f>
        <v>1120100036</v>
      </c>
    </row>
    <row r="54" spans="1:2">
      <c r="A54" s="1209" t="s">
        <v>1143</v>
      </c>
      <c r="B54" s="1200" t="str">
        <f>'预评函-3'!A5</f>
        <v>郑燚</v>
      </c>
    </row>
    <row r="55" spans="1:2" s="1206" customFormat="1" ht="15.75" thickBot="1">
      <c r="A55" s="1210" t="s">
        <v>1144</v>
      </c>
      <c r="B55" s="1198">
        <f ca="1">'预评函-3'!B5</f>
        <v>1120070131</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28.5">
      <c r="A62" s="1212" t="s">
        <v>1244</v>
      </c>
      <c r="B62" s="1196">
        <f ca="1">'预评函-2（1）'!D38</f>
        <v>79166574</v>
      </c>
    </row>
    <row r="63" spans="1:2" s="1208" customFormat="1" ht="28.5">
      <c r="A63" s="1212" t="s">
        <v>1245</v>
      </c>
      <c r="B63" s="1196" t="str">
        <f>'预评函-2（1）'!D41</f>
        <v>——</v>
      </c>
    </row>
    <row r="64" spans="1:2">
      <c r="A64" s="1212" t="s">
        <v>1167</v>
      </c>
      <c r="B64" s="1196" t="str">
        <f>'预评函-2（2）'!A6</f>
        <v>——</v>
      </c>
    </row>
    <row r="65" spans="1:2">
      <c r="A65" s="1212" t="s">
        <v>1168</v>
      </c>
      <c r="B65" s="1196" t="str">
        <f>'预评函-2（2）'!A8</f>
        <v>——</v>
      </c>
    </row>
    <row r="66" spans="1:2">
      <c r="A66" s="1212" t="s">
        <v>1169</v>
      </c>
      <c r="B66" s="1196" t="str">
        <f>'预评函-2（2）'!A10</f>
        <v>——</v>
      </c>
    </row>
    <row r="67" spans="1:2" s="1206" customFormat="1" ht="15.75" thickBot="1">
      <c r="A67" s="1213" t="s">
        <v>1170</v>
      </c>
      <c r="B67" s="1197" t="str">
        <f>'预评函-2（2）'!A12</f>
        <v>——</v>
      </c>
    </row>
    <row r="68" spans="1:2" ht="15.75" thickTop="1">
      <c r="A68" s="1215" t="s">
        <v>1171</v>
      </c>
      <c r="B68" s="1201" t="str">
        <f>'预评函-3'!A9</f>
        <v>XX</v>
      </c>
    </row>
    <row r="69" spans="1:2">
      <c r="A69" s="1209" t="s">
        <v>1243</v>
      </c>
    </row>
    <row r="70" spans="1:2">
      <c r="A70" s="1209"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8" sqref="C8:D8"/>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7" customWidth="1"/>
    <col min="9" max="10" width="10" style="2897" customWidth="1"/>
    <col min="11" max="13" width="10" style="2898" customWidth="1"/>
    <col min="14" max="15" width="10" style="2897" customWidth="1"/>
    <col min="16" max="17" width="10" style="2897"/>
    <col min="18" max="18" width="10" style="2897" customWidth="1"/>
    <col min="19" max="66" width="10" style="2897"/>
    <col min="67" max="16384" width="10" style="826"/>
  </cols>
  <sheetData>
    <row r="1" spans="1:17" ht="13.5" thickBot="1">
      <c r="A1" s="2585" t="s">
        <v>1528</v>
      </c>
      <c r="B1" s="2586" t="str">
        <f>IF(B6="北京市","北京市",C6)&amp;IF(E12="房屋所有权证",B29,E29)&amp;D5&amp;"预评估"</f>
        <v>吉林省长春市房地产市场价值预评估</v>
      </c>
      <c r="C1" s="822"/>
      <c r="D1" s="822"/>
      <c r="E1" s="822"/>
      <c r="F1" s="1425" t="s">
        <v>1529</v>
      </c>
      <c r="G1" s="1190"/>
      <c r="I1" s="2912" t="str">
        <f>IF(B6="北京市","北京市",C6)&amp;IF(E12="房屋所有权证",B29,E29)&amp;"房地产"</f>
        <v>吉林省长春市房地产</v>
      </c>
      <c r="J1" s="799"/>
      <c r="K1" s="2914"/>
      <c r="L1" s="2914"/>
      <c r="M1" s="2914"/>
      <c r="N1" s="799"/>
      <c r="O1" s="799"/>
      <c r="P1" s="799"/>
      <c r="Q1" s="799"/>
    </row>
    <row r="2" spans="1:17" ht="13.5" thickTop="1">
      <c r="A2" s="1426" t="s">
        <v>1530</v>
      </c>
      <c r="B2" s="2587">
        <v>44296</v>
      </c>
      <c r="C2" s="2884" t="s">
        <v>1531</v>
      </c>
      <c r="D2" s="2587">
        <f>B2</f>
        <v>44296</v>
      </c>
      <c r="E2" s="823"/>
      <c r="F2" s="823"/>
      <c r="G2" s="1191"/>
      <c r="H2" s="2896"/>
    </row>
    <row r="3" spans="1:17" ht="13.5" thickBot="1">
      <c r="A3" s="2588" t="s">
        <v>1532</v>
      </c>
      <c r="B3" s="2589" t="s">
        <v>2886</v>
      </c>
      <c r="C3" s="2590">
        <f ca="1">SUMIF(注册房地产估价师,B3,估价师及机构信息!B3:B16)</f>
        <v>1120100036</v>
      </c>
      <c r="D3" s="2589" t="s">
        <v>2887</v>
      </c>
      <c r="E3" s="2591">
        <f ca="1">SUMIF(注册房地产估价师,D3,估价师及机构信息!B3:B16)</f>
        <v>1120070131</v>
      </c>
      <c r="F3" s="824"/>
      <c r="G3" s="1192"/>
      <c r="H3" s="2896"/>
    </row>
    <row r="4" spans="1:17" ht="27.75" customHeight="1" thickTop="1">
      <c r="A4" s="1426" t="s">
        <v>1533</v>
      </c>
      <c r="B4" s="3151" t="s">
        <v>2888</v>
      </c>
      <c r="C4" s="2885" t="s">
        <v>1534</v>
      </c>
      <c r="D4" s="1427" t="s">
        <v>2889</v>
      </c>
      <c r="E4" s="823"/>
      <c r="F4" s="823"/>
      <c r="G4" s="1191"/>
    </row>
    <row r="5" spans="1:17">
      <c r="A5" s="1428" t="s">
        <v>1535</v>
      </c>
      <c r="B5" s="1429" t="s">
        <v>2717</v>
      </c>
      <c r="C5" s="2886" t="s">
        <v>1536</v>
      </c>
      <c r="D5" s="1431" t="s">
        <v>2890</v>
      </c>
      <c r="E5" s="2887" t="s">
        <v>1537</v>
      </c>
      <c r="F5" s="1431"/>
      <c r="G5" s="1432"/>
      <c r="I5" s="2912" t="str">
        <f>IF(C16="否","截至估价时点，估价对象抵押权未见登记。","截至价值时点，估价对象已设定抵押。")</f>
        <v>截至价值时点，估价对象已设定抵押。</v>
      </c>
      <c r="J5" s="799"/>
      <c r="K5" s="2914"/>
      <c r="L5" s="2914"/>
      <c r="M5" s="2914"/>
      <c r="N5" s="799"/>
      <c r="O5" s="799"/>
      <c r="P5" s="799"/>
      <c r="Q5" s="799"/>
    </row>
    <row r="6" spans="1:17">
      <c r="A6" s="2888" t="s">
        <v>1538</v>
      </c>
      <c r="B6" s="2592" t="s">
        <v>2891</v>
      </c>
      <c r="C6" s="3152" t="s">
        <v>2892</v>
      </c>
      <c r="D6" s="2593" t="s">
        <v>1539</v>
      </c>
      <c r="E6" s="810"/>
      <c r="F6" s="810"/>
      <c r="G6" s="829"/>
      <c r="I6" s="799" t="str">
        <f>IF(COUNTIF(B5,"*上海银行*"),"上海银行","")</f>
        <v/>
      </c>
      <c r="J6" s="799"/>
      <c r="K6" s="2914"/>
      <c r="L6" s="2914"/>
      <c r="M6" s="2914"/>
      <c r="N6" s="799"/>
      <c r="O6" s="799"/>
      <c r="P6" s="799"/>
      <c r="Q6" s="799"/>
    </row>
    <row r="7" spans="1:17" ht="24.75" thickBot="1">
      <c r="A7" s="2889" t="s">
        <v>1540</v>
      </c>
      <c r="B7" s="2594" t="s">
        <v>2893</v>
      </c>
      <c r="C7" s="1522" t="str">
        <f>IF(B7="自然人","姓名","名称")</f>
        <v>名称</v>
      </c>
      <c r="D7" s="3153" t="s">
        <v>2894</v>
      </c>
      <c r="E7" s="824"/>
      <c r="F7" s="824"/>
      <c r="G7" s="1192"/>
    </row>
    <row r="8" spans="1:17" ht="13.5" thickTop="1">
      <c r="A8" s="3226" t="s">
        <v>1541</v>
      </c>
      <c r="B8" s="1436" t="s">
        <v>1542</v>
      </c>
      <c r="C8" s="3239" t="s">
        <v>2895</v>
      </c>
      <c r="D8" s="3240"/>
      <c r="E8" s="2595" t="s">
        <v>1543</v>
      </c>
      <c r="F8" s="2596" t="s">
        <v>1544</v>
      </c>
      <c r="G8" s="2597" t="str">
        <f>C6</f>
        <v>吉林省长春市</v>
      </c>
    </row>
    <row r="9" spans="1:17" ht="25.5">
      <c r="A9" s="3226"/>
      <c r="B9" s="259" t="s">
        <v>1545</v>
      </c>
      <c r="C9" s="3154" t="s">
        <v>2896</v>
      </c>
      <c r="D9" s="1437" t="s">
        <v>2897</v>
      </c>
      <c r="E9" s="2890" t="s">
        <v>1546</v>
      </c>
      <c r="F9" s="2598"/>
      <c r="G9" s="2599"/>
    </row>
    <row r="10" spans="1:17" ht="13.5" thickBot="1">
      <c r="A10" s="3226"/>
      <c r="B10" s="259" t="s">
        <v>1547</v>
      </c>
      <c r="C10" s="3241"/>
      <c r="D10" s="3242"/>
      <c r="E10" s="2891" t="s">
        <v>1548</v>
      </c>
      <c r="F10" s="2600"/>
      <c r="G10" s="2601"/>
    </row>
    <row r="11" spans="1:17" ht="13.5" thickBot="1">
      <c r="A11" s="3226"/>
      <c r="B11" s="1439" t="s">
        <v>1549</v>
      </c>
      <c r="C11" s="3243"/>
      <c r="D11" s="3244"/>
      <c r="E11" s="810"/>
      <c r="F11" s="810"/>
      <c r="G11" s="829"/>
    </row>
    <row r="12" spans="1:17" ht="13.5" thickBot="1">
      <c r="A12" s="3230" t="s">
        <v>2824</v>
      </c>
      <c r="B12" s="2892" t="s">
        <v>1550</v>
      </c>
      <c r="C12" s="807">
        <v>82.35</v>
      </c>
      <c r="D12" s="1440" t="s">
        <v>1551</v>
      </c>
      <c r="E12" s="1441" t="s">
        <v>2898</v>
      </c>
      <c r="F12" s="1442" t="s">
        <v>1241</v>
      </c>
      <c r="G12" s="829"/>
    </row>
    <row r="13" spans="1:17" ht="21" customHeight="1" thickBot="1">
      <c r="A13" s="3231"/>
      <c r="B13" s="2893" t="s">
        <v>1552</v>
      </c>
      <c r="C13" s="808">
        <v>0</v>
      </c>
      <c r="D13" s="1443" t="s">
        <v>1553</v>
      </c>
      <c r="E13" s="1444" t="s">
        <v>2899</v>
      </c>
      <c r="F13" s="810"/>
      <c r="G13" s="829"/>
      <c r="I13" s="3249" t="s">
        <v>1554</v>
      </c>
      <c r="J13" s="2913" t="str">
        <f>"根据估价对象"&amp;IF(B19="——",B18&amp;C18,B18&amp;C18&amp;"、"&amp;B19&amp;C19)&amp;"，"&amp;IF(C16="是","截至价值时点，估价对象已设定抵押。","截至价值时点，估价对象抵押权未见登记。")</f>
        <v>根据估价对象、，截至价值时点，估价对象抵押权未见登记。</v>
      </c>
      <c r="K13" s="2914"/>
      <c r="L13" s="2914"/>
      <c r="M13" s="2914"/>
      <c r="N13" s="799"/>
      <c r="O13" s="799"/>
      <c r="P13" s="799"/>
      <c r="Q13" s="799"/>
    </row>
    <row r="14" spans="1:17" ht="13.5" thickBot="1">
      <c r="A14" s="2602"/>
      <c r="B14" s="2907" t="s">
        <v>2825</v>
      </c>
      <c r="C14" s="2603"/>
      <c r="D14" s="810"/>
      <c r="E14" s="810"/>
      <c r="F14" s="810"/>
      <c r="G14" s="829"/>
      <c r="I14" s="3249"/>
      <c r="J14" s="29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4"/>
      <c r="L14" s="2914"/>
      <c r="M14" s="2914"/>
      <c r="N14" s="799"/>
      <c r="O14" s="799"/>
      <c r="P14" s="799"/>
      <c r="Q14" s="799"/>
    </row>
    <row r="15" spans="1:17" ht="13.5" thickBot="1">
      <c r="A15" s="2604"/>
      <c r="B15" s="2894" t="s">
        <v>1555</v>
      </c>
      <c r="C15" s="825"/>
      <c r="D15" s="824"/>
      <c r="E15" s="824"/>
      <c r="F15" s="824"/>
      <c r="G15" s="1192"/>
      <c r="I15" s="3249"/>
      <c r="J15" s="29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4"/>
      <c r="L15" s="2914"/>
      <c r="M15" s="2914"/>
      <c r="N15" s="799"/>
      <c r="O15" s="799"/>
      <c r="P15" s="799"/>
      <c r="Q15" s="799"/>
    </row>
    <row r="16" spans="1:17" ht="25.5" thickTop="1" thickBot="1">
      <c r="A16" s="2602" t="s">
        <v>1556</v>
      </c>
      <c r="B16" s="1445" t="s">
        <v>1557</v>
      </c>
      <c r="C16" s="2605"/>
      <c r="D16" s="1438" t="s">
        <v>1558</v>
      </c>
      <c r="E16" s="2606"/>
      <c r="F16" s="1446" t="str">
        <f>IF(AND(C16="是",E16="否"),"是否提供他项权证或相关说明","")</f>
        <v/>
      </c>
      <c r="G16" s="2606"/>
      <c r="J16" s="2896"/>
    </row>
    <row r="17" spans="1:66" ht="13.5" customHeight="1">
      <c r="A17" s="1452" t="s">
        <v>1559</v>
      </c>
      <c r="B17" s="3245" t="s">
        <v>1560</v>
      </c>
      <c r="C17" s="3246"/>
      <c r="D17" s="3247" t="s">
        <v>1561</v>
      </c>
      <c r="E17" s="3248"/>
      <c r="F17" s="1447" t="s">
        <v>1562</v>
      </c>
      <c r="G17" s="1448"/>
      <c r="J17" s="2896"/>
    </row>
    <row r="18" spans="1:66" ht="24">
      <c r="A18" s="1452"/>
      <c r="B18" s="2607"/>
      <c r="C18" s="1432"/>
      <c r="D18" s="1449" t="s">
        <v>1563</v>
      </c>
      <c r="E18" s="1450"/>
      <c r="F18" s="1451"/>
      <c r="G18" s="1316"/>
      <c r="H18" s="2896"/>
      <c r="J18" s="2896"/>
    </row>
    <row r="19" spans="1:66" ht="21.75" customHeight="1" thickBot="1">
      <c r="A19" s="1452"/>
      <c r="B19" s="2608"/>
      <c r="C19" s="1444"/>
      <c r="D19" s="1452"/>
      <c r="E19" s="810"/>
      <c r="F19" s="810"/>
      <c r="G19" s="1316"/>
    </row>
    <row r="20" spans="1:66">
      <c r="A20" s="1448" t="s">
        <v>1564</v>
      </c>
      <c r="B20" s="2609" t="s">
        <v>1565</v>
      </c>
      <c r="C20" s="2610"/>
      <c r="D20" s="2611" t="s">
        <v>1565</v>
      </c>
      <c r="E20" s="2610"/>
      <c r="F20" s="810"/>
      <c r="G20" s="1316"/>
    </row>
    <row r="21" spans="1:66">
      <c r="A21" s="1316"/>
      <c r="B21" s="2612" t="s">
        <v>1566</v>
      </c>
      <c r="C21" s="2879"/>
      <c r="D21" s="1452" t="s">
        <v>1566</v>
      </c>
      <c r="E21" s="2613"/>
      <c r="F21" s="810"/>
      <c r="G21" s="1316"/>
    </row>
    <row r="22" spans="1:66">
      <c r="A22" s="1316"/>
      <c r="B22" s="810" t="s">
        <v>1567</v>
      </c>
      <c r="C22" s="2614"/>
      <c r="D22" s="810" t="s">
        <v>1567</v>
      </c>
      <c r="E22" s="2613"/>
      <c r="F22" s="810"/>
      <c r="G22" s="1316"/>
    </row>
    <row r="23" spans="1:66" s="2878" customFormat="1" ht="16.5" thickBot="1">
      <c r="A23" s="1317"/>
      <c r="B23" s="828" t="s">
        <v>1568</v>
      </c>
      <c r="C23" s="808"/>
      <c r="D23" s="828" t="s">
        <v>1569</v>
      </c>
      <c r="E23" s="2615"/>
      <c r="F23" s="828"/>
      <c r="G23" s="1317"/>
      <c r="H23" s="2899"/>
      <c r="I23" s="2899"/>
      <c r="J23" s="2899"/>
      <c r="K23" s="2900"/>
      <c r="L23" s="2900"/>
      <c r="M23" s="2900"/>
      <c r="N23" s="2900"/>
      <c r="O23" s="2900"/>
      <c r="P23" s="2900"/>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row>
    <row r="24" spans="1:66" s="2895" customFormat="1" ht="18" customHeight="1" thickBot="1">
      <c r="A24" s="3258" t="s">
        <v>2823</v>
      </c>
      <c r="B24" s="3258"/>
      <c r="C24" s="3258"/>
      <c r="D24" s="3258"/>
      <c r="E24" s="3258"/>
      <c r="F24" s="3258"/>
      <c r="G24" s="3258"/>
      <c r="H24" s="2901"/>
      <c r="I24" s="2901"/>
      <c r="J24" s="2901"/>
      <c r="K24" s="2902"/>
      <c r="L24" s="2902"/>
      <c r="M24" s="2902"/>
      <c r="N24" s="2902"/>
      <c r="O24" s="2902"/>
      <c r="P24" s="2902"/>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row>
    <row r="25" spans="1:66" ht="14.25" thickTop="1" thickBot="1">
      <c r="A25" s="827" t="s">
        <v>1570</v>
      </c>
      <c r="B25" s="810"/>
      <c r="C25" s="810"/>
      <c r="D25" s="810"/>
      <c r="E25" s="810"/>
      <c r="F25" s="810"/>
      <c r="G25" s="1317"/>
      <c r="K25" s="2897"/>
    </row>
    <row r="26" spans="1:66" s="835" customFormat="1" ht="13.5" thickBot="1">
      <c r="A26" s="2616"/>
      <c r="B26" s="806" t="s">
        <v>1571</v>
      </c>
      <c r="C26" s="2616"/>
      <c r="D26" s="806"/>
      <c r="E26" s="2617" t="s">
        <v>1572</v>
      </c>
      <c r="F26" s="2616"/>
      <c r="G26" s="2618" t="s">
        <v>1573</v>
      </c>
      <c r="H26" s="2904"/>
      <c r="I26" s="2904"/>
      <c r="J26" s="2904"/>
      <c r="K26" s="2904"/>
      <c r="L26" s="2905"/>
      <c r="M26" s="2905"/>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4"/>
      <c r="BB26" s="2904"/>
      <c r="BC26" s="2904"/>
      <c r="BD26" s="2904"/>
      <c r="BE26" s="2904"/>
      <c r="BF26" s="2904"/>
      <c r="BG26" s="2904"/>
      <c r="BH26" s="2904"/>
      <c r="BI26" s="2904"/>
      <c r="BJ26" s="2904"/>
      <c r="BK26" s="2904"/>
      <c r="BL26" s="2904"/>
      <c r="BM26" s="2904"/>
      <c r="BN26" s="2904"/>
    </row>
    <row r="27" spans="1:66" s="835" customFormat="1" ht="13.5" thickBot="1">
      <c r="A27" s="2616"/>
      <c r="B27" s="2619"/>
      <c r="C27" s="2616"/>
      <c r="D27" s="806"/>
      <c r="E27" s="2619"/>
      <c r="F27" s="2616"/>
      <c r="G27" s="2620"/>
      <c r="H27" s="2904"/>
      <c r="I27" s="2904"/>
      <c r="J27" s="2904"/>
      <c r="K27" s="2904"/>
      <c r="L27" s="2905"/>
      <c r="M27" s="2905"/>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2904"/>
      <c r="BB27" s="2904"/>
      <c r="BC27" s="2904"/>
      <c r="BD27" s="2904"/>
      <c r="BE27" s="2904"/>
      <c r="BF27" s="2904"/>
      <c r="BG27" s="2904"/>
      <c r="BH27" s="2904"/>
      <c r="BI27" s="2904"/>
      <c r="BJ27" s="2904"/>
      <c r="BK27" s="2904"/>
      <c r="BL27" s="2904"/>
      <c r="BM27" s="2904"/>
      <c r="BN27" s="2904"/>
    </row>
    <row r="28" spans="1:66">
      <c r="A28" s="802" t="s">
        <v>1574</v>
      </c>
      <c r="B28" s="800"/>
      <c r="C28" s="3233" t="s">
        <v>1574</v>
      </c>
      <c r="D28" s="3234"/>
      <c r="E28" s="800"/>
      <c r="F28" s="802" t="s">
        <v>1574</v>
      </c>
      <c r="G28" s="800"/>
      <c r="K28" s="2897"/>
    </row>
    <row r="29" spans="1:66">
      <c r="A29" s="803" t="s">
        <v>1575</v>
      </c>
      <c r="B29" s="797"/>
      <c r="C29" s="3235" t="s">
        <v>1576</v>
      </c>
      <c r="D29" s="3236"/>
      <c r="E29" s="797"/>
      <c r="F29" s="803" t="s">
        <v>1576</v>
      </c>
      <c r="G29" s="797"/>
      <c r="K29" s="2897"/>
    </row>
    <row r="30" spans="1:66">
      <c r="A30" s="803" t="s">
        <v>1577</v>
      </c>
      <c r="B30" s="797"/>
      <c r="C30" s="3235" t="s">
        <v>1577</v>
      </c>
      <c r="D30" s="3236"/>
      <c r="E30" s="797"/>
      <c r="F30" s="803" t="s">
        <v>1578</v>
      </c>
      <c r="G30" s="797"/>
      <c r="K30" s="2897"/>
    </row>
    <row r="31" spans="1:66">
      <c r="A31" s="803" t="s">
        <v>1579</v>
      </c>
      <c r="B31" s="797"/>
      <c r="C31" s="3255" t="s">
        <v>1580</v>
      </c>
      <c r="D31" s="810"/>
      <c r="E31" s="2621" t="str">
        <f>E32&amp;" "&amp;E33&amp;" "&amp;E34&amp;" "&amp;E35</f>
        <v xml:space="preserve">   </v>
      </c>
      <c r="F31" s="803" t="s">
        <v>1581</v>
      </c>
      <c r="G31" s="797"/>
    </row>
    <row r="32" spans="1:66">
      <c r="A32" s="803" t="s">
        <v>1582</v>
      </c>
      <c r="B32" s="797"/>
      <c r="C32" s="3256"/>
      <c r="D32" s="259" t="s">
        <v>1583</v>
      </c>
      <c r="E32" s="797"/>
      <c r="F32" s="803" t="s">
        <v>1584</v>
      </c>
      <c r="G32" s="797"/>
    </row>
    <row r="33" spans="1:7" ht="24.75" thickBot="1">
      <c r="A33" s="804" t="s">
        <v>1585</v>
      </c>
      <c r="B33" s="801"/>
      <c r="C33" s="3256"/>
      <c r="D33" s="259" t="s">
        <v>1586</v>
      </c>
      <c r="E33" s="797"/>
      <c r="F33" s="803" t="s">
        <v>1587</v>
      </c>
      <c r="G33" s="797"/>
    </row>
    <row r="34" spans="1:7">
      <c r="A34" s="802" t="s">
        <v>1588</v>
      </c>
      <c r="B34" s="800"/>
      <c r="C34" s="3256"/>
      <c r="D34" s="259" t="s">
        <v>1589</v>
      </c>
      <c r="E34" s="797"/>
      <c r="F34" s="803" t="s">
        <v>1590</v>
      </c>
      <c r="G34" s="797"/>
    </row>
    <row r="35" spans="1:7" ht="13.5" thickBot="1">
      <c r="A35" s="803" t="s">
        <v>1591</v>
      </c>
      <c r="B35" s="797"/>
      <c r="C35" s="3257"/>
      <c r="D35" s="259" t="s">
        <v>1592</v>
      </c>
      <c r="E35" s="797"/>
      <c r="F35" s="804" t="s">
        <v>1593</v>
      </c>
      <c r="G35" s="2622"/>
    </row>
    <row r="36" spans="1:7">
      <c r="A36" s="803" t="s">
        <v>1550</v>
      </c>
      <c r="B36" s="797"/>
      <c r="C36" s="3235" t="s">
        <v>1594</v>
      </c>
      <c r="D36" s="3236"/>
      <c r="E36" s="797"/>
      <c r="F36" s="2623" t="s">
        <v>1595</v>
      </c>
      <c r="G36" s="800"/>
    </row>
    <row r="37" spans="1:7" ht="13.5" thickBot="1">
      <c r="A37" s="803" t="s">
        <v>1596</v>
      </c>
      <c r="B37" s="797"/>
      <c r="C37" s="3237" t="s">
        <v>1597</v>
      </c>
      <c r="D37" s="3238"/>
      <c r="E37" s="801"/>
      <c r="F37" s="1460" t="s">
        <v>1598</v>
      </c>
      <c r="G37" s="797"/>
    </row>
    <row r="38" spans="1:7" ht="13.5" thickBot="1">
      <c r="A38" s="803" t="s">
        <v>1599</v>
      </c>
      <c r="B38" s="797"/>
      <c r="C38" s="3227" t="s">
        <v>1600</v>
      </c>
      <c r="D38" s="1440" t="s">
        <v>1584</v>
      </c>
      <c r="E38" s="800"/>
      <c r="F38" s="804" t="s">
        <v>1601</v>
      </c>
      <c r="G38" s="801"/>
    </row>
    <row r="39" spans="1:7">
      <c r="A39" s="803" t="s">
        <v>1602</v>
      </c>
      <c r="B39" s="797"/>
      <c r="C39" s="3228"/>
      <c r="D39" s="259" t="s">
        <v>1591</v>
      </c>
      <c r="E39" s="797"/>
      <c r="F39" s="802" t="s">
        <v>1603</v>
      </c>
      <c r="G39" s="800"/>
    </row>
    <row r="40" spans="1:7">
      <c r="A40" s="803" t="s">
        <v>1604</v>
      </c>
      <c r="B40" s="797"/>
      <c r="C40" s="3228" t="s">
        <v>1605</v>
      </c>
      <c r="D40" s="259" t="s">
        <v>1550</v>
      </c>
      <c r="E40" s="797"/>
      <c r="F40" s="803" t="s">
        <v>1606</v>
      </c>
      <c r="G40" s="797"/>
    </row>
    <row r="41" spans="1:7" ht="24.75" customHeight="1" thickBot="1">
      <c r="A41" s="804" t="s">
        <v>1607</v>
      </c>
      <c r="B41" s="801"/>
      <c r="C41" s="3229"/>
      <c r="D41" s="1443" t="s">
        <v>1552</v>
      </c>
      <c r="E41" s="801"/>
      <c r="F41" s="804" t="s">
        <v>1608</v>
      </c>
      <c r="G41" s="801"/>
    </row>
    <row r="42" spans="1:7">
      <c r="A42" s="805" t="s">
        <v>1609</v>
      </c>
      <c r="B42" s="2624"/>
      <c r="C42" s="3250" t="s">
        <v>1609</v>
      </c>
      <c r="D42" s="3251"/>
      <c r="E42" s="2624"/>
      <c r="F42" s="802" t="s">
        <v>1610</v>
      </c>
      <c r="G42" s="2624"/>
    </row>
    <row r="43" spans="1:7">
      <c r="A43" s="820" t="s">
        <v>1611</v>
      </c>
      <c r="B43" s="2625"/>
      <c r="C43" s="1452"/>
      <c r="D43" s="2612"/>
      <c r="E43" s="2625"/>
      <c r="F43" s="820"/>
      <c r="G43" s="2625"/>
    </row>
    <row r="44" spans="1:7">
      <c r="A44" s="820" t="s">
        <v>1565</v>
      </c>
      <c r="B44" s="821"/>
      <c r="C44" s="1452"/>
      <c r="D44" s="1518" t="s">
        <v>1565</v>
      </c>
      <c r="E44" s="821"/>
      <c r="F44" s="820" t="s">
        <v>1565</v>
      </c>
      <c r="G44" s="821"/>
    </row>
    <row r="45" spans="1:7">
      <c r="A45" s="820" t="s">
        <v>1566</v>
      </c>
      <c r="B45" s="821"/>
      <c r="C45" s="1452"/>
      <c r="D45" s="2612" t="s">
        <v>1566</v>
      </c>
      <c r="E45" s="821"/>
      <c r="F45" s="820" t="s">
        <v>1566</v>
      </c>
      <c r="G45" s="821"/>
    </row>
    <row r="46" spans="1:7">
      <c r="A46" s="820" t="s">
        <v>1567</v>
      </c>
      <c r="B46" s="821"/>
      <c r="C46" s="1452"/>
      <c r="D46" s="2612" t="s">
        <v>1567</v>
      </c>
      <c r="E46" s="821"/>
      <c r="F46" s="820" t="s">
        <v>1567</v>
      </c>
      <c r="G46" s="821"/>
    </row>
    <row r="47" spans="1:7">
      <c r="A47" s="820" t="s">
        <v>1568</v>
      </c>
      <c r="B47" s="821"/>
      <c r="C47" s="1452"/>
      <c r="D47" s="2612" t="s">
        <v>1568</v>
      </c>
      <c r="E47" s="821"/>
      <c r="F47" s="820" t="s">
        <v>1568</v>
      </c>
      <c r="G47" s="821"/>
    </row>
    <row r="48" spans="1:7">
      <c r="A48" s="820"/>
      <c r="B48" s="821"/>
      <c r="C48" s="1452"/>
      <c r="D48" s="2612"/>
      <c r="E48" s="821"/>
      <c r="F48" s="820"/>
      <c r="G48" s="821"/>
    </row>
    <row r="49" spans="1:66" ht="13.5" thickBot="1">
      <c r="A49" s="804" t="s">
        <v>1612</v>
      </c>
      <c r="B49" s="801"/>
      <c r="C49" s="3252" t="s">
        <v>1612</v>
      </c>
      <c r="D49" s="3253"/>
      <c r="E49" s="819"/>
      <c r="F49" s="804" t="s">
        <v>1613</v>
      </c>
      <c r="G49" s="801"/>
    </row>
    <row r="50" spans="1:66">
      <c r="A50" s="803" t="s">
        <v>1614</v>
      </c>
      <c r="B50" s="818"/>
      <c r="C50" s="3227" t="s">
        <v>1615</v>
      </c>
      <c r="D50" s="3254"/>
      <c r="E50" s="2626"/>
      <c r="F50" s="836"/>
      <c r="G50" s="837"/>
    </row>
    <row r="51" spans="1:66" ht="13.5" thickBot="1">
      <c r="A51" s="803" t="s">
        <v>1616</v>
      </c>
      <c r="B51" s="818"/>
      <c r="C51" s="3229" t="s">
        <v>1617</v>
      </c>
      <c r="D51" s="3232"/>
      <c r="E51" s="801"/>
      <c r="F51" s="810"/>
      <c r="G51" s="829"/>
    </row>
    <row r="52" spans="1:66">
      <c r="A52" s="803" t="s">
        <v>1595</v>
      </c>
      <c r="B52" s="797"/>
      <c r="C52" s="810"/>
      <c r="D52" s="810"/>
      <c r="E52" s="810"/>
      <c r="F52" s="810"/>
      <c r="G52" s="829"/>
    </row>
    <row r="53" spans="1:66" ht="24.75" thickBot="1">
      <c r="A53" s="804" t="s">
        <v>1618</v>
      </c>
      <c r="B53" s="2622"/>
      <c r="C53" s="828"/>
      <c r="D53" s="828"/>
      <c r="E53" s="828"/>
      <c r="F53" s="828"/>
      <c r="G53" s="830"/>
    </row>
    <row r="57" spans="1:66" s="809" customFormat="1">
      <c r="H57" s="2896"/>
      <c r="I57" s="2896"/>
      <c r="J57" s="2896"/>
      <c r="K57" s="2906"/>
      <c r="L57" s="2906"/>
      <c r="M57" s="290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6"/>
      <c r="BB57" s="2896"/>
      <c r="BC57" s="2896"/>
      <c r="BD57" s="2896"/>
      <c r="BE57" s="2896"/>
      <c r="BF57" s="2896"/>
      <c r="BG57" s="2896"/>
      <c r="BH57" s="2896"/>
      <c r="BI57" s="2896"/>
      <c r="BJ57" s="2896"/>
      <c r="BK57" s="2896"/>
      <c r="BL57" s="2896"/>
      <c r="BM57" s="2896"/>
      <c r="BN57" s="2896"/>
    </row>
    <row r="58" spans="1:66" s="809" customFormat="1">
      <c r="H58" s="2896"/>
      <c r="I58" s="2896"/>
      <c r="J58" s="2896"/>
      <c r="K58" s="2906"/>
      <c r="L58" s="2906"/>
      <c r="M58" s="290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6"/>
      <c r="BE58" s="2896"/>
      <c r="BF58" s="2896"/>
      <c r="BG58" s="2896"/>
      <c r="BH58" s="2896"/>
      <c r="BI58" s="2896"/>
      <c r="BJ58" s="2896"/>
      <c r="BK58" s="2896"/>
      <c r="BL58" s="2896"/>
      <c r="BM58" s="2896"/>
      <c r="BN58" s="2896"/>
    </row>
    <row r="59" spans="1:66" s="809" customFormat="1">
      <c r="H59" s="2896"/>
      <c r="I59" s="2896"/>
      <c r="J59" s="2896"/>
      <c r="K59" s="2906"/>
      <c r="L59" s="2906"/>
      <c r="M59" s="290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row>
    <row r="60" spans="1:66" s="809" customFormat="1">
      <c r="H60" s="2896"/>
      <c r="I60" s="2896"/>
      <c r="J60" s="2896"/>
      <c r="K60" s="2906"/>
      <c r="L60" s="2906"/>
      <c r="M60" s="290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6"/>
      <c r="BB60" s="2896"/>
      <c r="BC60" s="2896"/>
      <c r="BD60" s="2896"/>
      <c r="BE60" s="2896"/>
      <c r="BF60" s="2896"/>
      <c r="BG60" s="2896"/>
      <c r="BH60" s="2896"/>
      <c r="BI60" s="2896"/>
      <c r="BJ60" s="2896"/>
      <c r="BK60" s="2896"/>
      <c r="BL60" s="2896"/>
      <c r="BM60" s="2896"/>
      <c r="BN60" s="2896"/>
    </row>
    <row r="61" spans="1:66" s="809" customFormat="1">
      <c r="H61" s="2896"/>
      <c r="I61" s="2896"/>
      <c r="J61" s="2896"/>
      <c r="K61" s="2906"/>
      <c r="L61" s="2906"/>
      <c r="M61" s="290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6"/>
      <c r="BE61" s="2896"/>
      <c r="BF61" s="2896"/>
      <c r="BG61" s="2896"/>
      <c r="BH61" s="2896"/>
      <c r="BI61" s="2896"/>
      <c r="BJ61" s="2896"/>
      <c r="BK61" s="2896"/>
      <c r="BL61" s="2896"/>
      <c r="BM61" s="2896"/>
      <c r="BN61" s="2896"/>
    </row>
    <row r="62" spans="1:66" s="809" customFormat="1">
      <c r="H62" s="2896"/>
      <c r="I62" s="2896"/>
      <c r="J62" s="2896"/>
      <c r="K62" s="2906"/>
      <c r="L62" s="2906"/>
      <c r="M62" s="290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row>
    <row r="63" spans="1:66" s="809" customFormat="1">
      <c r="H63" s="2896"/>
      <c r="I63" s="2896"/>
      <c r="J63" s="2896"/>
      <c r="K63" s="2906"/>
      <c r="L63" s="2906"/>
      <c r="M63" s="290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6"/>
      <c r="BE63" s="2896"/>
      <c r="BF63" s="2896"/>
      <c r="BG63" s="2896"/>
      <c r="BH63" s="2896"/>
      <c r="BI63" s="2896"/>
      <c r="BJ63" s="2896"/>
      <c r="BK63" s="2896"/>
      <c r="BL63" s="2896"/>
      <c r="BM63" s="2896"/>
      <c r="BN63" s="289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9" t="s">
        <v>0</v>
      </c>
      <c r="B1" s="3259" t="s">
        <v>2</v>
      </c>
      <c r="C1" s="3259" t="s">
        <v>3</v>
      </c>
      <c r="D1" s="3260" t="s">
        <v>67</v>
      </c>
      <c r="E1" s="3260" t="s">
        <v>68</v>
      </c>
      <c r="F1" s="3260"/>
      <c r="G1" s="3260"/>
      <c r="H1" s="3260"/>
      <c r="I1" s="3260"/>
      <c r="J1" s="3260"/>
      <c r="K1" s="3260"/>
      <c r="L1" s="3260"/>
      <c r="M1" s="3260"/>
    </row>
    <row r="2" spans="1:13" ht="27" customHeight="1">
      <c r="A2" s="3259"/>
      <c r="B2" s="3259"/>
      <c r="C2" s="3259"/>
      <c r="D2" s="3260"/>
      <c r="E2" s="3260" t="s">
        <v>51</v>
      </c>
      <c r="F2" s="3260" t="s">
        <v>52</v>
      </c>
      <c r="G2" s="3260"/>
      <c r="H2" s="3260"/>
      <c r="I2" s="3260"/>
      <c r="J2" s="3260" t="s">
        <v>53</v>
      </c>
      <c r="K2" s="3260"/>
      <c r="L2" s="3260"/>
      <c r="M2" s="3260"/>
    </row>
    <row r="3" spans="1:13" ht="28.5">
      <c r="A3" s="3259"/>
      <c r="B3" s="3259"/>
      <c r="C3" s="3259"/>
      <c r="D3" s="3260"/>
      <c r="E3" s="326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0" t="s">
        <v>69</v>
      </c>
      <c r="B9" s="3260"/>
      <c r="C9" s="326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B530" sqref="AB530"/>
      <selection pane="topRight" activeCell="AB530" sqref="AB530"/>
      <selection pane="bottomLeft" activeCell="AB530" sqref="AB530"/>
      <selection pane="bottomRight" activeCell="I40" sqref="I40"/>
    </sheetView>
  </sheetViews>
  <sheetFormatPr defaultColWidth="13.75" defaultRowHeight="12.75"/>
  <cols>
    <col min="1" max="1" width="20.875" style="2682" customWidth="1"/>
    <col min="2" max="2" width="16.75" style="2628" customWidth="1"/>
    <col min="3" max="3" width="18.25" style="2669" customWidth="1"/>
    <col min="4" max="4" width="34.125" style="2683" customWidth="1"/>
    <col min="5" max="5" width="17.625" style="2683" customWidth="1"/>
    <col min="6" max="6" width="15.5" style="2627" customWidth="1"/>
    <col min="7" max="8" width="9.125" style="2961"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5" t="s">
        <v>1619</v>
      </c>
      <c r="B1" s="946"/>
      <c r="D1" s="2627"/>
      <c r="E1" s="2627"/>
    </row>
    <row r="2" spans="1:41" s="2631" customFormat="1" ht="15.75" thickBot="1">
      <c r="A2" s="2916" t="s">
        <v>1620</v>
      </c>
      <c r="B2" s="2917">
        <f>项目基本情况!D2</f>
        <v>44296</v>
      </c>
      <c r="C2" s="1682"/>
      <c r="D2" s="3261" t="s">
        <v>1621</v>
      </c>
      <c r="E2" s="2629"/>
      <c r="F2" s="2630"/>
      <c r="G2" s="2962"/>
      <c r="H2" s="296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1" customFormat="1" ht="15" customHeight="1" thickBot="1">
      <c r="A3" s="2634" t="s">
        <v>1622</v>
      </c>
      <c r="B3" s="2632" t="s">
        <v>2900</v>
      </c>
      <c r="C3" s="1682"/>
      <c r="D3" s="3262"/>
      <c r="E3" s="2633" t="s">
        <v>2961</v>
      </c>
      <c r="F3" s="2630"/>
      <c r="G3" s="2962"/>
      <c r="H3" s="2962"/>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1" customFormat="1" ht="15" thickBot="1">
      <c r="A4" s="2637" t="s">
        <v>1623</v>
      </c>
      <c r="B4" s="2632" t="s">
        <v>2901</v>
      </c>
      <c r="C4" s="1682"/>
      <c r="D4" s="3262"/>
      <c r="E4" s="2633"/>
      <c r="F4" s="2630"/>
      <c r="G4" s="2962"/>
      <c r="H4" s="296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1" customFormat="1" ht="15.75" thickBot="1">
      <c r="A5" s="2634" t="s">
        <v>1624</v>
      </c>
      <c r="B5" s="2635">
        <f>项目基本情况!C12</f>
        <v>82.35</v>
      </c>
      <c r="C5" s="1682"/>
      <c r="D5" s="2918" t="s">
        <v>1625</v>
      </c>
      <c r="E5" s="2636">
        <v>82.35</v>
      </c>
      <c r="F5" s="2630"/>
      <c r="G5" s="2962"/>
      <c r="H5" s="296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1" customFormat="1" ht="15.75" thickBot="1">
      <c r="A6" s="2637" t="s">
        <v>1626</v>
      </c>
      <c r="B6" s="2638">
        <f>项目基本情况!C13</f>
        <v>0</v>
      </c>
      <c r="C6" s="1682"/>
      <c r="D6" s="2918" t="s">
        <v>1627</v>
      </c>
      <c r="E6" s="2636">
        <v>0</v>
      </c>
      <c r="F6" s="2630"/>
      <c r="G6" s="2962"/>
      <c r="H6" s="296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4"/>
      <c r="D7" s="2965"/>
      <c r="E7" s="2965"/>
      <c r="F7" s="2962"/>
      <c r="G7" s="2962"/>
      <c r="H7" s="2962"/>
    </row>
    <row r="8" spans="1:41" s="1682" customFormat="1" ht="15" hidden="1">
      <c r="A8" s="2964"/>
      <c r="D8" s="2965"/>
      <c r="E8" s="2965"/>
      <c r="F8" s="2962"/>
      <c r="G8" s="2962"/>
      <c r="H8" s="2962"/>
    </row>
    <row r="9" spans="1:41" s="1682" customFormat="1" ht="15" hidden="1" thickBot="1">
      <c r="C9" s="3084"/>
      <c r="D9" s="2962"/>
      <c r="E9" s="2962"/>
      <c r="F9" s="2962"/>
      <c r="G9" s="2962"/>
      <c r="H9" s="2962"/>
    </row>
    <row r="10" spans="1:41" s="2631" customFormat="1" ht="15" thickBot="1">
      <c r="A10" s="2919" t="s">
        <v>1628</v>
      </c>
      <c r="B10" s="2640" t="s">
        <v>2882</v>
      </c>
      <c r="C10" s="1682"/>
      <c r="D10" s="2916" t="s">
        <v>1629</v>
      </c>
      <c r="E10" s="2920" t="s">
        <v>1630</v>
      </c>
      <c r="F10" s="3085" t="s">
        <v>2834</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4" customFormat="1" ht="14.25">
      <c r="A11" s="2921" t="s">
        <v>1631</v>
      </c>
      <c r="B11" s="2642">
        <v>70</v>
      </c>
      <c r="C11" s="1682"/>
      <c r="D11" s="2922" t="s">
        <v>1632</v>
      </c>
      <c r="E11" s="2643">
        <v>125</v>
      </c>
      <c r="F11" s="1311" t="s">
        <v>1633</v>
      </c>
      <c r="G11" s="1682"/>
      <c r="H11" s="1682"/>
      <c r="I11" s="1682"/>
      <c r="J11" s="1682"/>
      <c r="K11" s="1682"/>
      <c r="L11" s="2704"/>
      <c r="M11" s="2704"/>
      <c r="N11" s="2704"/>
      <c r="O11" s="2704"/>
      <c r="P11" s="2704"/>
      <c r="Q11" s="2704"/>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1" customFormat="1" ht="15">
      <c r="A12" s="2923" t="s">
        <v>1634</v>
      </c>
      <c r="B12" s="2645">
        <v>63276</v>
      </c>
      <c r="C12" s="1682" t="s">
        <v>2902</v>
      </c>
      <c r="D12" s="2923" t="s">
        <v>1635</v>
      </c>
      <c r="E12" s="2646">
        <v>145</v>
      </c>
      <c r="F12" s="1310"/>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1" customFormat="1" ht="15" thickBot="1">
      <c r="A13" s="2924" t="s">
        <v>1636</v>
      </c>
      <c r="B13" s="2925">
        <f>IF(B12="",B11-(YEAR($B$2)-B27+B24),ROUNDDOWN(MIN((B12-$B$2)/365,B11),2))</f>
        <v>52</v>
      </c>
      <c r="C13" s="2960"/>
      <c r="D13" s="2926" t="s">
        <v>1637</v>
      </c>
      <c r="E13" s="2647">
        <f>ROUND(E11*E5/10000,2)</f>
        <v>1.03</v>
      </c>
      <c r="F13" s="1309" t="s">
        <v>1638</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1" customFormat="1" ht="14.25">
      <c r="A14" s="2923" t="s">
        <v>1639</v>
      </c>
      <c r="B14" s="2927">
        <f>IF(ISERROR(ROUND(POWER(1+B15,B11-B13)*(POWER(1+B15,B13)-1)/(POWER(1+B15,B11)-1),3)),0,ROUND(POWER(1+B15,B11-B13)*(POWER(1+B15,B13)-1)/(POWER(1+B15,B11)-1),3))</f>
        <v>0.93</v>
      </c>
      <c r="C14" s="1682"/>
      <c r="D14" s="2928" t="s">
        <v>1640</v>
      </c>
      <c r="E14" s="2648">
        <v>200</v>
      </c>
      <c r="F14" s="1310"/>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1" customFormat="1" ht="14.25">
      <c r="A15" s="2923" t="s">
        <v>1641</v>
      </c>
      <c r="B15" s="2649">
        <v>0.04</v>
      </c>
      <c r="C15" s="2558" t="s">
        <v>2835</v>
      </c>
      <c r="D15" s="2923" t="s">
        <v>1642</v>
      </c>
      <c r="E15" s="2929">
        <f>E14-E16</f>
        <v>200</v>
      </c>
      <c r="F15" s="1310"/>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1" customFormat="1" ht="15" thickBot="1">
      <c r="A16" s="2923" t="s">
        <v>1643</v>
      </c>
      <c r="B16" s="2649">
        <v>4.4999999999999998E-2</v>
      </c>
      <c r="C16" s="2558" t="s">
        <v>2836</v>
      </c>
      <c r="D16" s="2930" t="s">
        <v>1644</v>
      </c>
      <c r="E16" s="2650">
        <v>0</v>
      </c>
      <c r="F16" s="1309"/>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1" customFormat="1" ht="15" thickBot="1">
      <c r="A17" s="2930" t="s">
        <v>2833</v>
      </c>
      <c r="B17" s="3083">
        <v>8.5000000000000006E-2</v>
      </c>
      <c r="C17" s="2558" t="s">
        <v>2837</v>
      </c>
      <c r="D17" s="2919" t="s">
        <v>1646</v>
      </c>
      <c r="E17" s="2651">
        <v>3500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1" customFormat="1" ht="15" thickBot="1">
      <c r="A18" s="2931" t="s">
        <v>1645</v>
      </c>
      <c r="B18" s="3091"/>
      <c r="C18" s="1682"/>
      <c r="D18" s="2932" t="str">
        <f>IF(B26=0,"建安总额","在建建安")</f>
        <v>建安总额</v>
      </c>
      <c r="E18" s="2933">
        <f>ROUND(B5*E17*IF(B26=0,1,E20),0)</f>
        <v>288225</v>
      </c>
      <c r="F18" s="2652">
        <f>ROUND(E5*E17*IF(B26=0,1,E20),0)</f>
        <v>288225</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1" customFormat="1" ht="15" thickBot="1">
      <c r="A19" s="1310"/>
      <c r="B19" s="1310"/>
      <c r="C19" s="1682"/>
      <c r="D19" s="2932" t="str">
        <f>IF(B26=0,"——","续建建安")</f>
        <v>——</v>
      </c>
      <c r="E19" s="2933" t="str">
        <f>IF(B26=0,"——",ROUND(B5*E17*(1-E20),0))</f>
        <v>——</v>
      </c>
      <c r="F19" s="2652"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1" customFormat="1" ht="15" thickBot="1">
      <c r="A20" s="2934" t="s">
        <v>1647</v>
      </c>
      <c r="B20" s="1310"/>
      <c r="C20" s="1682"/>
      <c r="D20" s="2936" t="str">
        <f>IF(B26=0,"成新率","工程进度")</f>
        <v>成新率</v>
      </c>
      <c r="E20" s="2654">
        <f>ROUND(((1-(1-0%)*(2021-B27)/60)+80%)/2,2)</f>
        <v>0.77</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1" customFormat="1" ht="14.25">
      <c r="A21" s="2935" t="s">
        <v>1648</v>
      </c>
      <c r="B21" s="2653">
        <v>0</v>
      </c>
      <c r="C21" s="1682"/>
      <c r="D21" s="2923" t="s">
        <v>1650</v>
      </c>
      <c r="E21" s="2656">
        <v>0.03</v>
      </c>
      <c r="F21" s="2667" t="s">
        <v>2843</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1" customFormat="1" ht="14.25">
      <c r="A22" s="2937" t="s">
        <v>1649</v>
      </c>
      <c r="B22" s="2655">
        <v>2</v>
      </c>
      <c r="C22" s="1682"/>
      <c r="D22" s="2923" t="s">
        <v>1652</v>
      </c>
      <c r="E22" s="2659">
        <v>0.02</v>
      </c>
      <c r="F22" s="2667" t="s">
        <v>2841</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1" customFormat="1" ht="14.25">
      <c r="A23" s="2938" t="s">
        <v>1651</v>
      </c>
      <c r="B23" s="2658">
        <v>2</v>
      </c>
      <c r="C23" s="1682"/>
      <c r="D23" s="2923" t="s">
        <v>1654</v>
      </c>
      <c r="E23" s="2646">
        <f>E14</f>
        <v>200</v>
      </c>
      <c r="F23" s="2667"/>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1" customFormat="1" ht="15" thickBot="1">
      <c r="A24" s="2939" t="s">
        <v>1653</v>
      </c>
      <c r="B24" s="2940">
        <f>B21+B22</f>
        <v>2</v>
      </c>
      <c r="C24" s="1682"/>
      <c r="D24" s="2930" t="s">
        <v>1656</v>
      </c>
      <c r="E24" s="2660">
        <v>1.4999999999999999E-2</v>
      </c>
      <c r="F24" s="2667" t="s">
        <v>2844</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1" t="s">
        <v>1655</v>
      </c>
      <c r="B25" s="2942">
        <f>B21+B23</f>
        <v>2</v>
      </c>
      <c r="C25" s="1682"/>
      <c r="D25" s="2922" t="s">
        <v>1658</v>
      </c>
      <c r="E25" s="2656">
        <v>0.02</v>
      </c>
      <c r="F25" s="2667" t="s">
        <v>2842</v>
      </c>
      <c r="I25" s="2961"/>
    </row>
    <row r="26" spans="1:41" ht="15" thickBot="1">
      <c r="A26" s="2939" t="s">
        <v>1657</v>
      </c>
      <c r="B26" s="2943">
        <f>B22-B23</f>
        <v>0</v>
      </c>
      <c r="D26" s="2923" t="s">
        <v>1660</v>
      </c>
      <c r="E26" s="2659">
        <v>0.02</v>
      </c>
      <c r="F26" s="2667" t="s">
        <v>2842</v>
      </c>
      <c r="G26" s="2962"/>
      <c r="H26" s="2962"/>
      <c r="I26" s="1682"/>
      <c r="J26" s="1682"/>
      <c r="K26" s="1682"/>
      <c r="L26" s="1682"/>
      <c r="M26" s="1682"/>
      <c r="N26" s="1682"/>
    </row>
    <row r="27" spans="1:41" ht="15.75" thickBot="1">
      <c r="A27" s="2944" t="s">
        <v>1659</v>
      </c>
      <c r="B27" s="2661">
        <v>2005</v>
      </c>
      <c r="C27" s="1682"/>
      <c r="D27" s="3149" t="s">
        <v>2962</v>
      </c>
      <c r="E27" s="2945">
        <f ca="1">IF(D27="利息：取LPR",存贷款利率!G1,存贷款利率!G1+F27)</f>
        <v>4.3499999999999997E-2</v>
      </c>
      <c r="F27" s="3150">
        <v>5.0000000000000001E-3</v>
      </c>
      <c r="G27" s="2962"/>
      <c r="H27" s="2962"/>
      <c r="K27" s="1682"/>
      <c r="N27" s="1682"/>
    </row>
    <row r="28" spans="1:41" ht="15" thickBot="1">
      <c r="A28" s="946"/>
      <c r="B28" s="946"/>
      <c r="D28" s="2926" t="s">
        <v>1662</v>
      </c>
      <c r="E28" s="2663">
        <v>0.15</v>
      </c>
      <c r="G28" s="2962"/>
      <c r="H28" s="2962"/>
      <c r="K28" s="1682"/>
      <c r="N28" s="1682"/>
    </row>
    <row r="29" spans="1:41" ht="14.25">
      <c r="A29" s="2946" t="s">
        <v>1661</v>
      </c>
      <c r="B29" s="2662" t="s">
        <v>2903</v>
      </c>
      <c r="D29" s="2928" t="s">
        <v>1663</v>
      </c>
      <c r="E29" s="2947">
        <f>E30+E31</f>
        <v>5.6000000000000001E-2</v>
      </c>
      <c r="F29" s="1309"/>
      <c r="G29" s="2962"/>
      <c r="H29" s="2962"/>
      <c r="K29" s="1682"/>
      <c r="N29" s="1682"/>
    </row>
    <row r="30" spans="1:41" ht="14.25">
      <c r="A30" s="2923" t="str">
        <f>IF(B29="租赁期内按合同租金","合同租金","市场租金")</f>
        <v>市场租金</v>
      </c>
      <c r="B30" s="2664">
        <v>2500</v>
      </c>
      <c r="C30" s="3169" t="s">
        <v>2960</v>
      </c>
      <c r="D30" s="2930" t="s">
        <v>1665</v>
      </c>
      <c r="E30" s="2665">
        <v>0.05</v>
      </c>
      <c r="F30" s="2949">
        <f>IF(B2&lt;DATE(2016,5,1),0,E30)</f>
        <v>0.05</v>
      </c>
      <c r="G30" s="2962"/>
      <c r="H30" s="2962"/>
      <c r="K30" s="1682"/>
      <c r="N30" s="1682"/>
    </row>
    <row r="31" spans="1:41" ht="14.25">
      <c r="A31" s="2923" t="s">
        <v>1664</v>
      </c>
      <c r="B31" s="2948">
        <f ca="1">存贷款利率!I1</f>
        <v>1.4999999999999999E-2</v>
      </c>
      <c r="C31" s="2669">
        <v>1.1000000000000001</v>
      </c>
      <c r="D31" s="2930" t="s">
        <v>1667</v>
      </c>
      <c r="E31" s="2950">
        <f>E30*(E32+E33+E34)+E35</f>
        <v>6.000000000000001E-3</v>
      </c>
      <c r="F31" s="1309"/>
      <c r="G31" s="2962"/>
      <c r="H31" s="2962"/>
      <c r="K31" s="1682"/>
      <c r="N31" s="1682"/>
    </row>
    <row r="32" spans="1:41" ht="14.25">
      <c r="A32" s="2923" t="s">
        <v>1666</v>
      </c>
      <c r="B32" s="2649">
        <v>0.02</v>
      </c>
      <c r="C32" s="2669">
        <f>ROUND(B5*C31*30,0)</f>
        <v>2718</v>
      </c>
      <c r="D32" s="2930" t="s">
        <v>1669</v>
      </c>
      <c r="E32" s="2666">
        <v>7.0000000000000007E-2</v>
      </c>
      <c r="F32" s="2667" t="s">
        <v>2728</v>
      </c>
      <c r="G32" s="2962"/>
      <c r="H32" s="2962"/>
      <c r="K32" s="1682"/>
      <c r="L32" s="1682"/>
      <c r="M32" s="1682"/>
      <c r="N32" s="1682"/>
    </row>
    <row r="33" spans="1:14" ht="14.25">
      <c r="A33" s="2923" t="s">
        <v>1668</v>
      </c>
      <c r="B33" s="2649">
        <v>0.1</v>
      </c>
      <c r="D33" s="2930" t="s">
        <v>1671</v>
      </c>
      <c r="E33" s="2665">
        <v>0.03</v>
      </c>
      <c r="F33" s="1308" t="s">
        <v>1672</v>
      </c>
      <c r="G33" s="2962"/>
      <c r="H33" s="2962"/>
      <c r="K33" s="1682"/>
      <c r="L33" s="1682"/>
      <c r="M33" s="1682"/>
      <c r="N33" s="1682"/>
    </row>
    <row r="34" spans="1:14" s="2669" customFormat="1" ht="14.25">
      <c r="A34" s="2923" t="s">
        <v>1670</v>
      </c>
      <c r="B34" s="2951">
        <f>收益法!J54</f>
        <v>52</v>
      </c>
      <c r="D34" s="2930" t="s">
        <v>1673</v>
      </c>
      <c r="E34" s="2665">
        <v>0.02</v>
      </c>
      <c r="F34" s="1308" t="s">
        <v>1674</v>
      </c>
      <c r="G34" s="2962"/>
      <c r="H34" s="2962"/>
      <c r="I34" s="1682"/>
      <c r="J34" s="1682"/>
      <c r="K34" s="1682"/>
      <c r="L34" s="1682"/>
      <c r="M34" s="1682"/>
      <c r="N34" s="1682"/>
    </row>
    <row r="35" spans="1:14" s="2669" customFormat="1" ht="15" thickBot="1">
      <c r="A35" s="2930" t="str">
        <f>IF(B29="租赁期内按合同租金","剩余租赁期","——")</f>
        <v>——</v>
      </c>
      <c r="B35" s="2668"/>
      <c r="D35" s="2926" t="s">
        <v>1676</v>
      </c>
      <c r="E35" s="2671">
        <v>0</v>
      </c>
      <c r="F35" s="1311" t="s">
        <v>1677</v>
      </c>
      <c r="G35" s="2962"/>
      <c r="H35" s="2962"/>
      <c r="I35" s="1682"/>
      <c r="J35" s="1682"/>
      <c r="K35" s="1682"/>
      <c r="L35" s="1682"/>
      <c r="M35" s="1682"/>
      <c r="N35" s="1682"/>
    </row>
    <row r="36" spans="1:14" s="2669" customFormat="1" ht="15">
      <c r="A36" s="2952" t="s">
        <v>1675</v>
      </c>
      <c r="B36" s="2953"/>
      <c r="D36" s="2954" t="s">
        <v>1678</v>
      </c>
      <c r="E36" s="2673">
        <v>0.05</v>
      </c>
      <c r="F36" s="1310" t="s">
        <v>1679</v>
      </c>
      <c r="G36" s="2962"/>
      <c r="H36" s="2962"/>
      <c r="I36" s="1682"/>
      <c r="J36" s="1682"/>
      <c r="K36" s="1682"/>
      <c r="L36" s="1682"/>
      <c r="M36" s="1682"/>
      <c r="N36" s="1682"/>
    </row>
    <row r="37" spans="1:14" s="2669" customFormat="1" ht="15" thickBot="1">
      <c r="A37" s="2928" t="str">
        <f>IF(B29="租赁期内按合同租金","租金","——")</f>
        <v>——</v>
      </c>
      <c r="B37" s="2672"/>
      <c r="D37" s="2930" t="s">
        <v>1680</v>
      </c>
      <c r="E37" s="2665">
        <v>5.0000000000000001E-4</v>
      </c>
      <c r="F37" s="1310" t="s">
        <v>1681</v>
      </c>
      <c r="G37" s="2962"/>
      <c r="H37" s="2962"/>
      <c r="I37" s="1682"/>
      <c r="J37" s="1682"/>
      <c r="K37" s="1682"/>
      <c r="L37" s="1682"/>
      <c r="M37" s="1682"/>
      <c r="N37" s="1682"/>
    </row>
    <row r="38" spans="1:14" s="2669" customFormat="1" ht="14.25">
      <c r="A38" s="2923" t="str">
        <f>IF(B29="租赁期内按合同租金","年租金增长率","——")</f>
        <v>——</v>
      </c>
      <c r="B38" s="2649"/>
      <c r="D38" s="2955" t="s">
        <v>1682</v>
      </c>
      <c r="E38" s="2956">
        <v>1.2E-2</v>
      </c>
      <c r="F38" s="1310"/>
      <c r="G38" s="2961"/>
      <c r="H38" s="2961"/>
      <c r="I38" s="2962"/>
      <c r="J38" s="1682"/>
      <c r="K38" s="1682"/>
      <c r="L38" s="1682"/>
      <c r="M38" s="1682"/>
      <c r="N38" s="1682"/>
    </row>
    <row r="39" spans="1:14" s="2669" customFormat="1" ht="15" thickBot="1">
      <c r="A39" s="2923" t="str">
        <f>IF(B29="租赁期内按合同租金","空置率","——")</f>
        <v>——</v>
      </c>
      <c r="B39" s="2649"/>
      <c r="D39" s="2926" t="s">
        <v>1683</v>
      </c>
      <c r="E39" s="2957">
        <v>0.12</v>
      </c>
      <c r="F39" s="1310"/>
      <c r="G39" s="2962"/>
      <c r="H39" s="2962"/>
      <c r="I39" s="1682"/>
      <c r="J39" s="1682"/>
      <c r="K39" s="1682"/>
      <c r="L39" s="1682"/>
      <c r="M39" s="1682"/>
      <c r="N39" s="1682"/>
    </row>
    <row r="40" spans="1:14" ht="14.25">
      <c r="A40" s="2923" t="str">
        <f>IF(B29="租赁期内按合同租金","成新率","——")</f>
        <v>——</v>
      </c>
      <c r="B40" s="2649"/>
      <c r="D40" s="2955" t="s">
        <v>1684</v>
      </c>
      <c r="E40" s="2959">
        <f>SUMIF(D42:D51,E41,E42:E51)</f>
        <v>18</v>
      </c>
      <c r="F40" s="1310"/>
      <c r="G40" s="2962"/>
      <c r="H40" s="2962"/>
      <c r="I40" s="1682"/>
      <c r="J40" s="1682"/>
      <c r="K40" s="1682"/>
      <c r="L40" s="1682"/>
      <c r="M40" s="1682"/>
      <c r="N40" s="1682"/>
    </row>
    <row r="41" spans="1:14" ht="15" thickBot="1">
      <c r="A41" s="2930" t="str">
        <f>IF(B29="租赁期内按合同租金","租赁期外收益期","——")</f>
        <v>——</v>
      </c>
      <c r="B41" s="2958" t="str">
        <f>IF(B29="租赁期内按合同租金",B34-B35,"——")</f>
        <v>——</v>
      </c>
      <c r="D41" s="2923" t="s">
        <v>1686</v>
      </c>
      <c r="E41" s="3170" t="s">
        <v>399</v>
      </c>
      <c r="F41" s="1310" t="s">
        <v>1687</v>
      </c>
      <c r="G41" s="1767" t="s">
        <v>1688</v>
      </c>
      <c r="H41" s="2962"/>
      <c r="I41" s="1682"/>
      <c r="J41" s="1682"/>
      <c r="K41" s="1682"/>
      <c r="L41" s="1682"/>
      <c r="M41" s="1682"/>
      <c r="N41" s="1682"/>
    </row>
    <row r="42" spans="1:14" ht="14.25">
      <c r="A42" s="2922" t="s">
        <v>1685</v>
      </c>
      <c r="B42" s="2674">
        <v>1</v>
      </c>
      <c r="D42" s="2676" t="s">
        <v>1690</v>
      </c>
      <c r="E42" s="2664">
        <v>24</v>
      </c>
      <c r="F42" s="1310">
        <v>30</v>
      </c>
      <c r="G42" s="2962"/>
      <c r="H42" s="2962"/>
      <c r="I42" s="1682"/>
      <c r="J42" s="1682"/>
      <c r="K42" s="1682"/>
      <c r="L42" s="1682"/>
      <c r="M42" s="1682"/>
      <c r="N42" s="1682"/>
    </row>
    <row r="43" spans="1:14" ht="14.25">
      <c r="A43" s="2923" t="s">
        <v>1689</v>
      </c>
      <c r="B43" s="2675">
        <v>12</v>
      </c>
      <c r="D43" s="2676" t="s">
        <v>1692</v>
      </c>
      <c r="E43" s="2664">
        <v>21</v>
      </c>
      <c r="F43" s="1310">
        <v>24</v>
      </c>
      <c r="G43" s="2962"/>
      <c r="H43" s="2962"/>
      <c r="I43" s="1682"/>
      <c r="J43" s="1682"/>
      <c r="K43" s="1682"/>
      <c r="L43" s="1682"/>
      <c r="M43" s="1682"/>
      <c r="N43" s="1682"/>
    </row>
    <row r="44" spans="1:14" ht="14.25">
      <c r="A44" s="2923" t="s">
        <v>1691</v>
      </c>
      <c r="B44" s="2664"/>
      <c r="D44" s="2676" t="s">
        <v>1694</v>
      </c>
      <c r="E44" s="2664">
        <v>18</v>
      </c>
      <c r="F44" s="1310">
        <v>18</v>
      </c>
      <c r="G44" s="2669"/>
      <c r="H44" s="2669"/>
      <c r="I44" s="2962"/>
      <c r="J44" s="1682"/>
      <c r="K44" s="1682"/>
      <c r="L44" s="1682"/>
      <c r="M44" s="1682"/>
      <c r="N44" s="1682"/>
    </row>
    <row r="45" spans="1:14" ht="14.25">
      <c r="A45" s="2923" t="s">
        <v>1693</v>
      </c>
      <c r="B45" s="2677">
        <v>1.4999999999999999E-2</v>
      </c>
      <c r="C45" s="2558" t="s">
        <v>2840</v>
      </c>
      <c r="D45" s="2676" t="s">
        <v>1696</v>
      </c>
      <c r="E45" s="2664">
        <v>14</v>
      </c>
      <c r="F45" s="1310">
        <v>12</v>
      </c>
      <c r="G45" s="2669"/>
      <c r="H45" s="2669"/>
      <c r="M45" s="1682"/>
      <c r="N45" s="1682"/>
    </row>
    <row r="46" spans="1:14" ht="14.25">
      <c r="A46" s="2923" t="s">
        <v>1695</v>
      </c>
      <c r="B46" s="2678">
        <v>1.5E-3</v>
      </c>
      <c r="C46" s="2558" t="s">
        <v>2838</v>
      </c>
      <c r="D46" s="2676" t="s">
        <v>1458</v>
      </c>
      <c r="E46" s="2664">
        <v>9</v>
      </c>
      <c r="F46" s="1310">
        <v>3</v>
      </c>
      <c r="G46" s="2669"/>
      <c r="H46" s="2669"/>
      <c r="M46" s="1682"/>
      <c r="N46" s="1682"/>
    </row>
    <row r="47" spans="1:14" ht="15" thickBot="1">
      <c r="A47" s="2926" t="s">
        <v>1697</v>
      </c>
      <c r="B47" s="2679">
        <v>0.01</v>
      </c>
      <c r="C47" s="2558" t="s">
        <v>2839</v>
      </c>
      <c r="D47" s="2676" t="s">
        <v>1698</v>
      </c>
      <c r="E47" s="2664">
        <v>6</v>
      </c>
      <c r="F47" s="1310">
        <v>1.5</v>
      </c>
      <c r="G47" s="2669"/>
      <c r="H47" s="2669"/>
      <c r="M47" s="1682"/>
      <c r="N47" s="1682"/>
    </row>
    <row r="48" spans="1:14" ht="14.25">
      <c r="A48" s="2669"/>
      <c r="B48" s="2669"/>
      <c r="D48" s="2676" t="s">
        <v>1699</v>
      </c>
      <c r="E48" s="2664">
        <v>4</v>
      </c>
      <c r="F48" s="1310"/>
      <c r="G48" s="2669"/>
      <c r="H48" s="2669"/>
      <c r="M48" s="1682"/>
      <c r="N48" s="1682"/>
    </row>
    <row r="49" spans="1:41" ht="14.25">
      <c r="A49" s="2669"/>
      <c r="B49" s="2669"/>
      <c r="D49" s="2676" t="s">
        <v>1700</v>
      </c>
      <c r="E49" s="2664">
        <v>3</v>
      </c>
      <c r="F49" s="1310"/>
      <c r="G49" s="2669"/>
      <c r="H49" s="2669"/>
      <c r="M49" s="1682"/>
      <c r="N49" s="1682"/>
    </row>
    <row r="50" spans="1:41" ht="14.25">
      <c r="A50" s="2669"/>
      <c r="B50" s="2669"/>
      <c r="D50" s="2676" t="s">
        <v>1701</v>
      </c>
      <c r="E50" s="2664">
        <v>2</v>
      </c>
      <c r="F50" s="1310"/>
      <c r="G50" s="2669"/>
      <c r="H50" s="2669"/>
      <c r="M50" s="1682"/>
      <c r="N50" s="1682"/>
    </row>
    <row r="51" spans="1:41" s="946" customFormat="1" ht="15" thickBot="1">
      <c r="A51" s="2669"/>
      <c r="B51" s="2669"/>
      <c r="C51" s="2669"/>
      <c r="D51" s="2680" t="s">
        <v>1702</v>
      </c>
      <c r="E51" s="2681"/>
      <c r="F51" s="1310"/>
      <c r="G51" s="2669"/>
      <c r="H51" s="2669"/>
      <c r="I51" s="2669"/>
      <c r="J51" s="2669"/>
      <c r="K51" s="2669"/>
      <c r="L51" s="2669"/>
      <c r="M51" s="1682"/>
      <c r="N51" s="1682"/>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2"/>
      <c r="E52" s="2962"/>
      <c r="F52" s="2962"/>
      <c r="G52" s="2962"/>
      <c r="H52" s="2962"/>
      <c r="I52" s="1682"/>
      <c r="J52" s="1682"/>
      <c r="K52" s="1682"/>
      <c r="L52" s="1682"/>
      <c r="M52" s="1682"/>
      <c r="N52" s="1682"/>
    </row>
    <row r="53" spans="1:41" s="2669" customFormat="1" ht="14.25">
      <c r="D53" s="2962"/>
      <c r="E53" s="2962"/>
      <c r="F53" s="2962"/>
      <c r="G53" s="2962"/>
      <c r="H53" s="2962"/>
      <c r="I53" s="1682"/>
      <c r="J53" s="1682"/>
      <c r="K53" s="1682"/>
      <c r="L53" s="1682"/>
      <c r="M53" s="1682"/>
      <c r="N53" s="1682"/>
    </row>
    <row r="54" spans="1:41" s="2669" customFormat="1" ht="14.25">
      <c r="D54" s="2962"/>
      <c r="E54" s="2962"/>
      <c r="F54" s="2962"/>
      <c r="G54" s="2962"/>
      <c r="H54" s="2962"/>
      <c r="I54" s="1682"/>
      <c r="J54" s="1682"/>
      <c r="K54" s="1682"/>
      <c r="L54" s="1682"/>
      <c r="M54" s="1682"/>
      <c r="N54" s="1682"/>
    </row>
    <row r="55" spans="1:41" s="2669" customFormat="1" ht="14.25">
      <c r="D55" s="2962"/>
      <c r="E55" s="2962"/>
      <c r="F55" s="2962"/>
      <c r="G55" s="2962"/>
      <c r="H55" s="2962"/>
      <c r="I55" s="1682"/>
      <c r="J55" s="1682"/>
      <c r="K55" s="1682"/>
      <c r="L55" s="1682"/>
      <c r="M55" s="1682"/>
      <c r="N55" s="1682"/>
    </row>
    <row r="56" spans="1:41" s="2669" customFormat="1" ht="14.25">
      <c r="D56" s="2962"/>
      <c r="E56" s="2962"/>
      <c r="F56" s="2962"/>
      <c r="G56" s="2962"/>
      <c r="H56" s="2962"/>
      <c r="I56" s="1682"/>
      <c r="J56" s="1682"/>
      <c r="K56" s="1682"/>
      <c r="L56" s="1682"/>
      <c r="M56" s="1682"/>
      <c r="N56" s="1682"/>
    </row>
    <row r="57" spans="1:41" s="2669" customFormat="1" ht="14.25">
      <c r="D57" s="2962"/>
      <c r="E57" s="2962"/>
      <c r="F57" s="2962"/>
      <c r="G57" s="2962"/>
      <c r="H57" s="2962"/>
      <c r="I57" s="1682"/>
      <c r="J57" s="1682"/>
      <c r="K57" s="1682"/>
      <c r="L57" s="1682"/>
      <c r="M57" s="1682"/>
      <c r="N57" s="1682"/>
    </row>
    <row r="58" spans="1:41" s="2669" customFormat="1" ht="14.25">
      <c r="D58" s="2962"/>
      <c r="E58" s="2962"/>
      <c r="F58" s="2962"/>
      <c r="G58" s="2962"/>
      <c r="H58" s="2962"/>
      <c r="I58" s="1682"/>
      <c r="J58" s="1682"/>
      <c r="K58" s="1682"/>
      <c r="L58" s="1682"/>
      <c r="M58" s="1682"/>
      <c r="N58" s="1682"/>
    </row>
    <row r="59" spans="1:41" s="2669" customFormat="1" ht="14.25">
      <c r="D59" s="2962"/>
      <c r="E59" s="2962"/>
      <c r="F59" s="2962"/>
      <c r="G59" s="2962"/>
      <c r="H59" s="2962"/>
      <c r="I59" s="1682"/>
      <c r="J59" s="1682"/>
      <c r="K59" s="1682"/>
      <c r="L59" s="1682"/>
      <c r="M59" s="2963"/>
      <c r="N59" s="1682"/>
    </row>
    <row r="60" spans="1:41" s="2669" customFormat="1" ht="14.25">
      <c r="D60" s="2962"/>
      <c r="E60" s="2962"/>
      <c r="F60" s="2962"/>
      <c r="G60" s="2962"/>
      <c r="H60" s="2962"/>
      <c r="I60" s="1682"/>
      <c r="J60" s="1682"/>
      <c r="K60" s="1682"/>
      <c r="L60" s="1682"/>
      <c r="M60" s="1682"/>
      <c r="N60" s="1682"/>
    </row>
    <row r="61" spans="1:41" s="2669" customFormat="1" ht="14.25">
      <c r="D61" s="2962"/>
      <c r="E61" s="2962"/>
      <c r="F61" s="2962"/>
      <c r="G61" s="2962"/>
      <c r="H61" s="2962"/>
      <c r="I61" s="1682"/>
      <c r="J61" s="1682"/>
      <c r="K61" s="1682"/>
      <c r="L61" s="1682"/>
      <c r="M61" s="1682"/>
      <c r="N61" s="1682"/>
    </row>
    <row r="62" spans="1:41" s="2669" customFormat="1" ht="14.25">
      <c r="D62" s="2962"/>
      <c r="E62" s="2962"/>
      <c r="F62" s="2962"/>
      <c r="G62" s="2962"/>
      <c r="H62" s="2962"/>
      <c r="I62" s="1682"/>
      <c r="J62" s="1682"/>
      <c r="K62" s="1682"/>
      <c r="L62" s="1682"/>
      <c r="M62" s="1682"/>
      <c r="N62" s="1682"/>
    </row>
    <row r="63" spans="1:41" s="2669" customFormat="1" ht="14.25">
      <c r="D63" s="2962"/>
      <c r="E63" s="2962"/>
      <c r="F63" s="2962"/>
      <c r="G63" s="2962"/>
      <c r="H63" s="2962"/>
      <c r="I63" s="1682"/>
      <c r="J63" s="1682"/>
      <c r="K63" s="1682"/>
      <c r="L63" s="1682"/>
      <c r="M63" s="1682"/>
      <c r="N63" s="1682"/>
    </row>
    <row r="64" spans="1:41" s="2669" customFormat="1" ht="14.25">
      <c r="D64" s="2962"/>
      <c r="E64" s="2962"/>
      <c r="F64" s="2962"/>
      <c r="G64" s="2962"/>
      <c r="H64" s="2962"/>
      <c r="I64" s="1682"/>
      <c r="J64" s="1682"/>
      <c r="K64" s="1682"/>
      <c r="L64" s="1682"/>
      <c r="M64" s="1682"/>
      <c r="N64" s="1682"/>
    </row>
    <row r="65" spans="1:14" s="2669" customFormat="1" ht="14.25">
      <c r="D65" s="2962"/>
      <c r="E65" s="2962"/>
      <c r="F65" s="2962"/>
      <c r="G65" s="2962"/>
      <c r="H65" s="2962"/>
      <c r="I65" s="1682"/>
      <c r="J65" s="1682"/>
      <c r="K65" s="1682"/>
      <c r="L65" s="1682"/>
      <c r="M65" s="1682"/>
      <c r="N65" s="1682"/>
    </row>
    <row r="66" spans="1:14" s="2669" customFormat="1" ht="14.25">
      <c r="D66" s="2962"/>
      <c r="E66" s="2962"/>
      <c r="F66" s="2962"/>
      <c r="G66" s="2962"/>
      <c r="H66" s="2962"/>
      <c r="I66" s="1682"/>
      <c r="J66" s="1682"/>
      <c r="K66" s="1682"/>
      <c r="L66" s="1682"/>
      <c r="M66" s="1682"/>
      <c r="N66" s="1682"/>
    </row>
    <row r="67" spans="1:14" s="2669" customFormat="1" ht="14.25">
      <c r="A67" s="2966"/>
      <c r="D67" s="2962"/>
      <c r="E67" s="2962"/>
      <c r="F67" s="2962"/>
      <c r="G67" s="2962"/>
      <c r="H67" s="2962"/>
      <c r="I67" s="1682"/>
      <c r="J67" s="1682"/>
      <c r="K67" s="1682"/>
      <c r="L67" s="1682"/>
      <c r="M67" s="1682"/>
      <c r="N67" s="1682"/>
    </row>
    <row r="68" spans="1:14" s="2669" customFormat="1" ht="14.25">
      <c r="A68" s="2966"/>
      <c r="D68" s="2962"/>
      <c r="E68" s="2962"/>
      <c r="F68" s="2962"/>
      <c r="G68" s="2961"/>
      <c r="H68" s="2961"/>
    </row>
    <row r="69" spans="1:14" s="2669" customFormat="1">
      <c r="A69" s="2966"/>
      <c r="D69" s="2961"/>
      <c r="E69" s="2961"/>
      <c r="F69" s="2961"/>
      <c r="G69" s="2961"/>
      <c r="H69" s="2961"/>
    </row>
    <row r="70" spans="1:14" s="2669" customFormat="1">
      <c r="A70" s="2966"/>
      <c r="D70" s="2961"/>
      <c r="E70" s="2961"/>
      <c r="F70" s="2961"/>
      <c r="G70" s="2961"/>
      <c r="H70" s="2961"/>
    </row>
    <row r="71" spans="1:14" s="2669" customFormat="1">
      <c r="A71" s="2966"/>
      <c r="D71" s="2961"/>
      <c r="E71" s="2961"/>
      <c r="F71" s="2961"/>
      <c r="G71" s="2961"/>
      <c r="H71" s="2961"/>
    </row>
    <row r="72" spans="1:14" s="2669" customFormat="1">
      <c r="A72" s="2966"/>
      <c r="D72" s="2961"/>
      <c r="E72" s="2961"/>
      <c r="F72" s="2961"/>
      <c r="G72" s="2961"/>
      <c r="H72" s="2961"/>
    </row>
    <row r="73" spans="1:14" s="2669" customFormat="1">
      <c r="A73" s="2966"/>
      <c r="D73" s="2961"/>
      <c r="E73" s="2961"/>
      <c r="F73" s="2961"/>
      <c r="G73" s="2961"/>
      <c r="H73" s="2961"/>
    </row>
    <row r="74" spans="1:14" s="2669" customFormat="1">
      <c r="A74" s="2966"/>
      <c r="D74" s="2961"/>
      <c r="E74" s="2961"/>
      <c r="F74" s="2961"/>
      <c r="G74" s="2961"/>
      <c r="H74" s="2961"/>
    </row>
    <row r="75" spans="1:14" s="2669" customFormat="1">
      <c r="A75" s="2966"/>
      <c r="D75" s="2961"/>
      <c r="E75" s="2961"/>
      <c r="F75" s="2961"/>
      <c r="G75" s="2961"/>
      <c r="H75" s="2961"/>
    </row>
    <row r="76" spans="1:14" s="2669" customFormat="1">
      <c r="A76" s="2966"/>
      <c r="D76" s="2961"/>
      <c r="E76" s="2961"/>
      <c r="F76" s="2961"/>
      <c r="G76" s="2961"/>
      <c r="H76" s="2961"/>
    </row>
    <row r="77" spans="1:14" s="2669" customFormat="1">
      <c r="A77" s="2966"/>
      <c r="D77" s="2961"/>
      <c r="E77" s="2961"/>
      <c r="F77" s="2961"/>
      <c r="G77" s="2961"/>
      <c r="H77" s="2961"/>
    </row>
    <row r="78" spans="1:14" s="2669" customFormat="1">
      <c r="A78" s="2966"/>
      <c r="D78" s="2961"/>
      <c r="E78" s="2961"/>
      <c r="F78" s="2961"/>
      <c r="G78" s="2961"/>
      <c r="H78" s="2961"/>
    </row>
    <row r="79" spans="1:14" s="2669" customFormat="1">
      <c r="A79" s="2966"/>
      <c r="D79" s="2961"/>
      <c r="E79" s="2961"/>
      <c r="F79" s="2961"/>
      <c r="G79" s="2961"/>
      <c r="H79" s="2961"/>
    </row>
    <row r="80" spans="1:14" s="2669" customFormat="1">
      <c r="A80" s="2966"/>
      <c r="D80" s="2961"/>
      <c r="E80" s="2961"/>
      <c r="F80" s="2961"/>
      <c r="G80" s="2961"/>
      <c r="H80" s="2961"/>
    </row>
    <row r="81" spans="1:8" s="2669" customFormat="1">
      <c r="A81" s="2966"/>
      <c r="D81" s="2961"/>
      <c r="E81" s="2961"/>
      <c r="F81" s="2961"/>
      <c r="G81" s="2961"/>
      <c r="H81" s="2961"/>
    </row>
    <row r="82" spans="1:8" s="2669" customFormat="1">
      <c r="A82" s="2966"/>
      <c r="D82" s="2961"/>
      <c r="E82" s="2961"/>
      <c r="F82" s="2961"/>
      <c r="G82" s="2961"/>
      <c r="H82" s="2961"/>
    </row>
    <row r="83" spans="1:8" s="2669" customFormat="1">
      <c r="A83" s="2966"/>
      <c r="D83" s="2961"/>
      <c r="E83" s="2961"/>
      <c r="F83" s="2961"/>
      <c r="G83" s="2961"/>
      <c r="H83" s="2961"/>
    </row>
    <row r="84" spans="1:8" s="2669" customFormat="1">
      <c r="A84" s="2966"/>
      <c r="D84" s="2961"/>
      <c r="E84" s="2961"/>
      <c r="F84" s="2961"/>
      <c r="G84" s="2961"/>
      <c r="H84" s="2961"/>
    </row>
    <row r="85" spans="1:8" s="2669" customFormat="1">
      <c r="A85" s="2966"/>
      <c r="D85" s="2961"/>
      <c r="E85" s="2961"/>
      <c r="F85" s="2961"/>
      <c r="G85" s="2961"/>
      <c r="H85" s="2961"/>
    </row>
    <row r="86" spans="1:8" s="2669" customFormat="1">
      <c r="A86" s="2966"/>
      <c r="D86" s="2961"/>
      <c r="E86" s="2961"/>
      <c r="F86" s="2961"/>
      <c r="G86" s="2961"/>
      <c r="H86" s="2961"/>
    </row>
    <row r="87" spans="1:8" s="2669" customFormat="1">
      <c r="A87" s="2966"/>
      <c r="D87" s="2961"/>
      <c r="E87" s="2961"/>
      <c r="F87" s="2961"/>
      <c r="G87" s="2961"/>
      <c r="H87" s="2961"/>
    </row>
    <row r="88" spans="1:8" s="2669" customFormat="1">
      <c r="A88" s="2966"/>
      <c r="D88" s="2961"/>
      <c r="E88" s="2961"/>
      <c r="F88" s="2961"/>
      <c r="G88" s="2961"/>
      <c r="H88" s="2961"/>
    </row>
    <row r="89" spans="1:8" s="2669" customFormat="1">
      <c r="A89" s="2966"/>
      <c r="D89" s="2961"/>
      <c r="E89" s="2961"/>
      <c r="F89" s="2961"/>
      <c r="G89" s="2961"/>
      <c r="H89" s="2961"/>
    </row>
    <row r="90" spans="1:8" s="2669" customFormat="1">
      <c r="A90" s="2966"/>
      <c r="D90" s="2961"/>
      <c r="E90" s="2961"/>
      <c r="F90" s="2961"/>
      <c r="G90" s="2961"/>
      <c r="H90" s="2961"/>
    </row>
    <row r="91" spans="1:8" s="2669" customFormat="1">
      <c r="A91" s="2966"/>
      <c r="D91" s="2961"/>
      <c r="E91" s="2961"/>
      <c r="F91" s="2961"/>
      <c r="G91" s="2961"/>
      <c r="H91" s="2961"/>
    </row>
    <row r="92" spans="1:8" s="2669" customFormat="1">
      <c r="A92" s="2966"/>
      <c r="D92" s="2961"/>
      <c r="E92" s="2961"/>
      <c r="F92" s="2961"/>
      <c r="G92" s="2961"/>
      <c r="H92" s="2961"/>
    </row>
    <row r="93" spans="1:8" s="2669" customFormat="1">
      <c r="A93" s="2966"/>
      <c r="D93" s="2961"/>
      <c r="E93" s="2961"/>
      <c r="F93" s="2961"/>
      <c r="G93" s="2961"/>
      <c r="H93" s="2961"/>
    </row>
    <row r="94" spans="1:8" s="2669" customFormat="1">
      <c r="A94" s="2966"/>
      <c r="D94" s="2961"/>
      <c r="E94" s="2961"/>
      <c r="F94" s="2961"/>
      <c r="G94" s="2961"/>
      <c r="H94" s="2961"/>
    </row>
    <row r="95" spans="1:8" s="2669" customFormat="1">
      <c r="A95" s="2966"/>
      <c r="D95" s="2961"/>
      <c r="E95" s="2961"/>
      <c r="F95" s="2961"/>
      <c r="G95" s="2961"/>
      <c r="H95" s="2961"/>
    </row>
    <row r="96" spans="1:8" s="2669" customFormat="1">
      <c r="A96" s="2966"/>
      <c r="D96" s="2961"/>
      <c r="E96" s="2961"/>
      <c r="F96" s="2961"/>
      <c r="G96" s="2961"/>
      <c r="H96" s="2961"/>
    </row>
    <row r="97" spans="1:8" s="2669" customFormat="1">
      <c r="A97" s="2966"/>
      <c r="D97" s="2961"/>
      <c r="E97" s="2961"/>
      <c r="F97" s="2961"/>
      <c r="G97" s="2961"/>
      <c r="H97" s="2961"/>
    </row>
    <row r="98" spans="1:8" s="2669" customFormat="1">
      <c r="A98" s="2966"/>
      <c r="D98" s="2961"/>
      <c r="E98" s="2961"/>
      <c r="F98" s="2961"/>
      <c r="G98" s="2961"/>
      <c r="H98" s="2961"/>
    </row>
    <row r="99" spans="1:8" s="2669" customFormat="1">
      <c r="A99" s="2966"/>
      <c r="D99" s="2961"/>
      <c r="E99" s="2961"/>
      <c r="F99" s="2961"/>
      <c r="G99" s="2961"/>
      <c r="H99" s="2961"/>
    </row>
    <row r="100" spans="1:8" s="2669" customFormat="1">
      <c r="A100" s="2966"/>
      <c r="D100" s="2961"/>
      <c r="E100" s="2961"/>
      <c r="F100" s="2961"/>
      <c r="G100" s="2961"/>
      <c r="H100" s="2961"/>
    </row>
    <row r="101" spans="1:8" s="2669" customFormat="1">
      <c r="A101" s="2966"/>
      <c r="D101" s="2961"/>
      <c r="E101" s="2961"/>
      <c r="F101" s="2961"/>
      <c r="G101" s="2961"/>
      <c r="H101" s="2961"/>
    </row>
    <row r="102" spans="1:8" s="2669" customFormat="1">
      <c r="A102" s="2966"/>
      <c r="D102" s="2961"/>
      <c r="E102" s="2961"/>
      <c r="F102" s="2961"/>
      <c r="G102" s="2961"/>
      <c r="H102" s="2961"/>
    </row>
    <row r="103" spans="1:8" s="2669" customFormat="1">
      <c r="A103" s="2966"/>
      <c r="D103" s="2961"/>
      <c r="E103" s="2961"/>
      <c r="F103" s="2961"/>
      <c r="G103" s="2961"/>
      <c r="H103" s="2961"/>
    </row>
    <row r="104" spans="1:8" s="2669" customFormat="1">
      <c r="A104" s="2966"/>
      <c r="D104" s="2961"/>
      <c r="E104" s="2961"/>
      <c r="F104" s="2961"/>
      <c r="G104" s="2961"/>
      <c r="H104" s="2961"/>
    </row>
    <row r="105" spans="1:8" s="2669" customFormat="1">
      <c r="A105" s="2966"/>
      <c r="D105" s="2961"/>
      <c r="E105" s="2961"/>
      <c r="F105" s="2961"/>
      <c r="G105" s="2961"/>
      <c r="H105" s="2961"/>
    </row>
    <row r="106" spans="1:8" s="2669" customFormat="1">
      <c r="A106" s="2966"/>
      <c r="D106" s="2961"/>
      <c r="E106" s="2961"/>
      <c r="F106" s="2961"/>
      <c r="G106" s="2961"/>
      <c r="H106" s="2961"/>
    </row>
    <row r="107" spans="1:8" s="2669" customFormat="1">
      <c r="A107" s="2966"/>
      <c r="D107" s="2961"/>
      <c r="E107" s="2961"/>
      <c r="F107" s="2961"/>
      <c r="G107" s="2961"/>
      <c r="H107" s="2961"/>
    </row>
    <row r="108" spans="1:8" s="2669" customFormat="1">
      <c r="A108" s="2966"/>
      <c r="D108" s="2961"/>
      <c r="E108" s="2961"/>
      <c r="F108" s="2961"/>
      <c r="G108" s="2961"/>
      <c r="H108" s="2961"/>
    </row>
    <row r="109" spans="1:8" s="2669" customFormat="1">
      <c r="A109" s="2966"/>
      <c r="D109" s="2961"/>
      <c r="E109" s="2961"/>
      <c r="F109" s="2961"/>
      <c r="G109" s="2961"/>
      <c r="H109" s="2961"/>
    </row>
    <row r="110" spans="1:8" s="2669" customFormat="1">
      <c r="A110" s="2966"/>
      <c r="D110" s="2961"/>
      <c r="E110" s="2961"/>
      <c r="F110" s="2961"/>
      <c r="G110" s="2961"/>
      <c r="H110" s="2961"/>
    </row>
    <row r="111" spans="1:8" s="2669" customFormat="1">
      <c r="A111" s="2966"/>
      <c r="D111" s="2961"/>
      <c r="E111" s="2961"/>
      <c r="F111" s="2961"/>
      <c r="G111" s="2961"/>
      <c r="H111" s="2961"/>
    </row>
    <row r="112" spans="1:8" s="2669" customFormat="1">
      <c r="A112" s="2966"/>
      <c r="D112" s="2961"/>
      <c r="E112" s="2961"/>
      <c r="F112" s="2961"/>
      <c r="G112" s="2961"/>
      <c r="H112" s="2961"/>
    </row>
    <row r="113" spans="1:8" s="2669" customFormat="1">
      <c r="A113" s="2966"/>
      <c r="D113" s="2961"/>
      <c r="E113" s="2961"/>
      <c r="F113" s="2961"/>
      <c r="G113" s="2961"/>
      <c r="H113" s="2961"/>
    </row>
    <row r="114" spans="1:8" s="2669" customFormat="1">
      <c r="A114" s="2966"/>
      <c r="D114" s="2961"/>
      <c r="E114" s="2961"/>
      <c r="F114" s="2961"/>
      <c r="G114" s="2961"/>
      <c r="H114" s="2961"/>
    </row>
    <row r="115" spans="1:8" s="2669" customFormat="1">
      <c r="A115" s="2966"/>
      <c r="D115" s="2961"/>
      <c r="E115" s="2961"/>
      <c r="F115" s="2961"/>
      <c r="G115" s="2961"/>
      <c r="H115" s="2961"/>
    </row>
    <row r="116" spans="1:8" s="2669" customFormat="1">
      <c r="A116" s="2966"/>
      <c r="D116" s="2961"/>
      <c r="E116" s="2961"/>
      <c r="F116" s="2961"/>
      <c r="G116" s="2961"/>
      <c r="H116" s="2961"/>
    </row>
    <row r="117" spans="1:8" s="2669" customFormat="1">
      <c r="A117" s="2966"/>
      <c r="D117" s="2961"/>
      <c r="E117" s="2961"/>
      <c r="F117" s="2961"/>
      <c r="G117" s="2961"/>
      <c r="H117" s="2961"/>
    </row>
    <row r="118" spans="1:8" s="2669" customFormat="1">
      <c r="A118" s="2966"/>
      <c r="D118" s="2961"/>
      <c r="E118" s="2961"/>
      <c r="F118" s="2961"/>
      <c r="G118" s="2961"/>
      <c r="H118" s="2961"/>
    </row>
    <row r="119" spans="1:8" s="2669" customFormat="1">
      <c r="A119" s="2966"/>
      <c r="D119" s="2961"/>
      <c r="E119" s="2961"/>
      <c r="F119" s="2961"/>
      <c r="G119" s="2961"/>
      <c r="H119" s="2961"/>
    </row>
    <row r="120" spans="1:8" s="2669" customFormat="1">
      <c r="A120" s="2966"/>
      <c r="D120" s="2961"/>
      <c r="E120" s="2961"/>
      <c r="F120" s="2961"/>
      <c r="G120" s="2961"/>
      <c r="H120" s="2961"/>
    </row>
    <row r="121" spans="1:8" s="2669" customFormat="1">
      <c r="A121" s="2966"/>
      <c r="D121" s="2961"/>
      <c r="E121" s="2961"/>
      <c r="F121" s="2961"/>
      <c r="G121" s="2961"/>
      <c r="H121" s="2961"/>
    </row>
    <row r="122" spans="1:8" s="2669" customFormat="1">
      <c r="A122" s="2966"/>
      <c r="D122" s="2961"/>
      <c r="E122" s="2961"/>
      <c r="F122" s="2961"/>
      <c r="G122" s="2961"/>
      <c r="H122" s="2961"/>
    </row>
    <row r="123" spans="1:8" s="2669" customFormat="1">
      <c r="A123" s="2966"/>
      <c r="D123" s="2961"/>
      <c r="E123" s="2961"/>
      <c r="F123" s="2961"/>
      <c r="G123" s="2961"/>
      <c r="H123" s="2961"/>
    </row>
    <row r="124" spans="1:8" s="2669" customFormat="1">
      <c r="A124" s="2966"/>
      <c r="D124" s="2961"/>
      <c r="E124" s="2961"/>
      <c r="F124" s="2961"/>
      <c r="G124" s="2961"/>
      <c r="H124" s="2961"/>
    </row>
    <row r="125" spans="1:8" s="2669" customFormat="1">
      <c r="A125" s="2966"/>
      <c r="D125" s="2961"/>
      <c r="E125" s="2961"/>
      <c r="F125" s="2961"/>
      <c r="G125" s="2961"/>
      <c r="H125" s="2961"/>
    </row>
    <row r="126" spans="1:8" s="2669" customFormat="1">
      <c r="A126" s="2966"/>
      <c r="D126" s="2961"/>
      <c r="E126" s="2961"/>
      <c r="F126" s="2961"/>
      <c r="G126" s="2961"/>
      <c r="H126" s="2961"/>
    </row>
    <row r="127" spans="1:8" s="2669" customFormat="1">
      <c r="A127" s="2966"/>
      <c r="D127" s="2961"/>
      <c r="E127" s="2961"/>
      <c r="F127" s="2961"/>
      <c r="G127" s="2961"/>
      <c r="H127" s="2961"/>
    </row>
    <row r="128" spans="1:8" s="2669" customFormat="1">
      <c r="A128" s="2966"/>
      <c r="D128" s="2961"/>
      <c r="E128" s="2961"/>
      <c r="F128" s="2961"/>
      <c r="G128" s="2961"/>
      <c r="H128" s="2961"/>
    </row>
    <row r="129" spans="1:8" s="2669" customFormat="1">
      <c r="A129" s="2966"/>
      <c r="D129" s="2961"/>
      <c r="E129" s="2961"/>
      <c r="F129" s="2961"/>
      <c r="G129" s="2961"/>
      <c r="H129" s="2961"/>
    </row>
    <row r="130" spans="1:8" s="2669" customFormat="1">
      <c r="A130" s="2966"/>
      <c r="D130" s="2961"/>
      <c r="E130" s="2961"/>
      <c r="F130" s="2961"/>
      <c r="G130" s="2961"/>
      <c r="H130" s="2961"/>
    </row>
    <row r="131" spans="1:8" s="2669" customFormat="1">
      <c r="A131" s="2966"/>
      <c r="D131" s="2961"/>
      <c r="E131" s="2961"/>
      <c r="F131" s="2961"/>
      <c r="G131" s="2961"/>
      <c r="H131" s="2961"/>
    </row>
    <row r="132" spans="1:8" s="2669" customFormat="1">
      <c r="A132" s="2966"/>
      <c r="D132" s="2961"/>
      <c r="E132" s="2961"/>
      <c r="F132" s="2961"/>
      <c r="G132" s="2961"/>
      <c r="H132" s="2961"/>
    </row>
    <row r="133" spans="1:8" s="2669" customFormat="1">
      <c r="A133" s="2966"/>
      <c r="D133" s="2961"/>
      <c r="E133" s="2961"/>
      <c r="F133" s="2961"/>
      <c r="G133" s="2961"/>
      <c r="H133" s="2961"/>
    </row>
    <row r="134" spans="1:8" s="2669" customFormat="1">
      <c r="A134" s="2966"/>
      <c r="D134" s="2961"/>
      <c r="E134" s="2961"/>
      <c r="F134" s="2961"/>
      <c r="G134" s="2961"/>
      <c r="H134" s="2961"/>
    </row>
    <row r="135" spans="1:8" s="2669" customFormat="1">
      <c r="A135" s="2966"/>
      <c r="D135" s="2961"/>
      <c r="E135" s="2961"/>
      <c r="F135" s="2961"/>
      <c r="G135" s="2961"/>
      <c r="H135" s="2961"/>
    </row>
    <row r="136" spans="1:8" s="2669" customFormat="1">
      <c r="A136" s="2966"/>
      <c r="D136" s="2961"/>
      <c r="E136" s="2961"/>
      <c r="F136" s="2961"/>
      <c r="G136" s="2961"/>
      <c r="H136" s="2961"/>
    </row>
    <row r="137" spans="1:8" s="2669" customFormat="1">
      <c r="A137" s="2966"/>
      <c r="D137" s="2961"/>
      <c r="E137" s="2961"/>
      <c r="F137" s="2961"/>
      <c r="G137" s="2961"/>
      <c r="H137" s="2961"/>
    </row>
    <row r="138" spans="1:8" s="2669" customFormat="1">
      <c r="A138" s="2966"/>
      <c r="D138" s="2961"/>
      <c r="E138" s="2961"/>
      <c r="F138" s="2961"/>
      <c r="G138" s="2961"/>
      <c r="H138" s="2961"/>
    </row>
    <row r="139" spans="1:8" s="2669" customFormat="1">
      <c r="A139" s="2966"/>
      <c r="D139" s="2961"/>
      <c r="E139" s="2961"/>
      <c r="F139" s="2961"/>
      <c r="G139" s="2961"/>
      <c r="H139" s="2961"/>
    </row>
    <row r="140" spans="1:8" s="2669" customFormat="1">
      <c r="A140" s="2966"/>
      <c r="D140" s="2961"/>
      <c r="E140" s="2961"/>
      <c r="F140" s="2961"/>
      <c r="G140" s="2961"/>
      <c r="H140" s="2961"/>
    </row>
    <row r="141" spans="1:8" s="2669" customFormat="1">
      <c r="A141" s="2966"/>
      <c r="D141" s="2961"/>
      <c r="E141" s="2961"/>
      <c r="F141" s="2961"/>
      <c r="G141" s="2961"/>
      <c r="H141" s="2961"/>
    </row>
    <row r="142" spans="1:8" s="2669" customFormat="1">
      <c r="A142" s="2966"/>
      <c r="D142" s="2961"/>
      <c r="E142" s="2961"/>
      <c r="F142" s="2961"/>
      <c r="G142" s="2961"/>
      <c r="H142" s="2961"/>
    </row>
    <row r="143" spans="1:8" s="2669" customFormat="1">
      <c r="A143" s="2966"/>
      <c r="D143" s="2961"/>
      <c r="E143" s="2961"/>
      <c r="F143" s="2961"/>
      <c r="G143" s="2961"/>
      <c r="H143" s="2961"/>
    </row>
    <row r="144" spans="1:8" s="2669" customFormat="1">
      <c r="A144" s="2966"/>
      <c r="D144" s="2961"/>
      <c r="E144" s="2961"/>
      <c r="F144" s="2961"/>
      <c r="G144" s="2961"/>
      <c r="H144" s="2961"/>
    </row>
    <row r="145" spans="1:8" s="2669" customFormat="1">
      <c r="A145" s="2966"/>
      <c r="D145" s="2961"/>
      <c r="E145" s="2961"/>
      <c r="F145" s="2961"/>
      <c r="G145" s="2961"/>
      <c r="H145" s="2961"/>
    </row>
    <row r="146" spans="1:8" s="2669" customFormat="1">
      <c r="A146" s="2966"/>
      <c r="D146" s="2961"/>
      <c r="E146" s="2961"/>
      <c r="F146" s="2961"/>
      <c r="G146" s="2961"/>
      <c r="H146" s="2961"/>
    </row>
    <row r="147" spans="1:8" s="2669" customFormat="1">
      <c r="A147" s="2966"/>
      <c r="D147" s="2961"/>
      <c r="E147" s="2961"/>
      <c r="F147" s="2961"/>
      <c r="G147" s="2961"/>
      <c r="H147" s="2961"/>
    </row>
    <row r="148" spans="1:8" s="2669" customFormat="1">
      <c r="A148" s="2966"/>
      <c r="D148" s="2961"/>
      <c r="E148" s="2961"/>
      <c r="F148" s="2961"/>
      <c r="G148" s="2961"/>
      <c r="H148" s="2961"/>
    </row>
    <row r="149" spans="1:8" s="2669" customFormat="1">
      <c r="A149" s="2966"/>
      <c r="D149" s="2961"/>
      <c r="E149" s="2961"/>
      <c r="F149" s="2961"/>
      <c r="G149" s="2961"/>
      <c r="H149" s="2961"/>
    </row>
    <row r="150" spans="1:8" s="2669" customFormat="1">
      <c r="A150" s="2966"/>
      <c r="D150" s="2961"/>
      <c r="E150" s="2961"/>
      <c r="F150" s="2961"/>
      <c r="G150" s="2961"/>
      <c r="H150" s="2961"/>
    </row>
    <row r="151" spans="1:8" s="2669" customFormat="1">
      <c r="A151" s="2966"/>
      <c r="D151" s="2961"/>
      <c r="E151" s="2961"/>
      <c r="F151" s="2961"/>
      <c r="G151" s="2961"/>
      <c r="H151" s="2961"/>
    </row>
    <row r="152" spans="1:8" s="2669" customFormat="1">
      <c r="A152" s="2966"/>
      <c r="D152" s="2961"/>
      <c r="E152" s="2961"/>
      <c r="F152" s="2961"/>
      <c r="G152" s="2961"/>
      <c r="H152" s="2961"/>
    </row>
    <row r="153" spans="1:8" s="2669" customFormat="1">
      <c r="A153" s="2966"/>
      <c r="D153" s="2961"/>
      <c r="E153" s="2961"/>
      <c r="F153" s="2961"/>
      <c r="G153" s="2961"/>
      <c r="H153" s="2961"/>
    </row>
    <row r="154" spans="1:8" s="2669" customFormat="1">
      <c r="A154" s="2966"/>
      <c r="D154" s="2961"/>
      <c r="E154" s="2961"/>
      <c r="F154" s="2961"/>
      <c r="G154" s="2961"/>
      <c r="H154" s="2961"/>
    </row>
    <row r="155" spans="1:8" s="2669" customFormat="1">
      <c r="A155" s="2966"/>
      <c r="D155" s="2961"/>
      <c r="E155" s="2961"/>
      <c r="F155" s="2961"/>
      <c r="G155" s="2961"/>
      <c r="H155" s="2961"/>
    </row>
    <row r="156" spans="1:8" s="2669" customFormat="1">
      <c r="A156" s="2966"/>
      <c r="D156" s="2961"/>
      <c r="E156" s="2961"/>
      <c r="F156" s="2961"/>
      <c r="G156" s="2961"/>
      <c r="H156" s="2961"/>
    </row>
    <row r="157" spans="1:8" s="2669" customFormat="1">
      <c r="A157" s="2966"/>
      <c r="D157" s="2961"/>
      <c r="E157" s="2961"/>
      <c r="F157" s="2961"/>
      <c r="G157" s="2961"/>
      <c r="H157" s="2961"/>
    </row>
    <row r="158" spans="1:8">
      <c r="A158" s="2966"/>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B530" sqref="AB530"/>
      <selection pane="topRight" activeCell="AB530" sqref="AB530"/>
      <selection pane="bottomLeft" activeCell="AB530" sqref="AB530"/>
      <selection pane="bottomRight" activeCell="C10" sqref="C10"/>
    </sheetView>
  </sheetViews>
  <sheetFormatPr defaultColWidth="9" defaultRowHeight="14.25"/>
  <cols>
    <col min="1" max="1" width="14.75" style="2631" customWidth="1"/>
    <col min="2" max="2" width="24.5" style="2644" customWidth="1"/>
    <col min="3" max="3" width="28.375" style="2704" customWidth="1"/>
    <col min="4" max="4" width="2.625" style="2704" customWidth="1"/>
    <col min="5" max="5" width="5.875" style="2704" customWidth="1"/>
    <col min="6" max="6" width="27" style="2644"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1"/>
  </cols>
  <sheetData>
    <row r="1" spans="1:29" s="2689" customFormat="1" ht="19.5" thickBot="1">
      <c r="A1" s="3263" t="s">
        <v>1703</v>
      </c>
      <c r="B1" s="3264"/>
      <c r="C1" s="3264"/>
      <c r="D1" s="3264"/>
      <c r="E1" s="3264"/>
      <c r="F1" s="3264"/>
      <c r="G1" s="3264"/>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28" customFormat="1" ht="13.5" thickBot="1">
      <c r="A2" s="3092"/>
      <c r="B2" s="3093"/>
      <c r="C2" s="3094" t="s">
        <v>2845</v>
      </c>
      <c r="D2" s="3095"/>
      <c r="E2" s="3092"/>
      <c r="F2" s="3096"/>
      <c r="G2" s="3094" t="s">
        <v>2846</v>
      </c>
      <c r="H2" s="3097"/>
      <c r="I2" s="3097"/>
      <c r="J2" s="3097"/>
      <c r="K2" s="3097"/>
      <c r="L2" s="3097"/>
      <c r="M2" s="3097"/>
      <c r="N2" s="3097"/>
      <c r="O2" s="3097"/>
      <c r="P2" s="3097"/>
      <c r="Q2" s="3097"/>
      <c r="R2" s="3097"/>
      <c r="S2" s="3097"/>
      <c r="T2" s="3097"/>
      <c r="U2" s="3097"/>
      <c r="V2" s="3097"/>
      <c r="W2" s="3097"/>
      <c r="X2" s="3097"/>
      <c r="Y2" s="3097"/>
      <c r="Z2" s="3097"/>
      <c r="AA2" s="3097"/>
      <c r="AB2" s="3097"/>
      <c r="AC2" s="3097"/>
    </row>
    <row r="3" spans="1:29" s="2628" customFormat="1" ht="25.5">
      <c r="A3" s="3098" t="s">
        <v>2847</v>
      </c>
      <c r="B3" s="3099" t="s">
        <v>2848</v>
      </c>
      <c r="C3" s="3157" t="s">
        <v>2917</v>
      </c>
      <c r="D3" s="3100"/>
      <c r="E3" s="3101" t="s">
        <v>2847</v>
      </c>
      <c r="F3" s="3102" t="s">
        <v>2849</v>
      </c>
      <c r="G3" s="3103" t="s">
        <v>2850</v>
      </c>
      <c r="H3" s="3097"/>
      <c r="I3" s="3097"/>
      <c r="J3" s="3097"/>
      <c r="K3" s="3097"/>
      <c r="L3" s="3097"/>
      <c r="M3" s="3097"/>
      <c r="N3" s="3097"/>
      <c r="O3" s="3097"/>
      <c r="P3" s="3097"/>
      <c r="Q3" s="3097"/>
      <c r="R3" s="3097"/>
      <c r="S3" s="3097"/>
      <c r="T3" s="3097"/>
      <c r="U3" s="3097"/>
      <c r="V3" s="3097"/>
      <c r="W3" s="3097"/>
      <c r="X3" s="3097"/>
      <c r="Y3" s="3097"/>
      <c r="Z3" s="3097"/>
      <c r="AA3" s="3097"/>
      <c r="AB3" s="3097"/>
      <c r="AC3" s="3097"/>
    </row>
    <row r="4" spans="1:29" s="2628" customFormat="1" ht="24.75">
      <c r="A4" s="3101"/>
      <c r="B4" s="3086" t="s">
        <v>2851</v>
      </c>
      <c r="C4" s="3104" t="s">
        <v>2852</v>
      </c>
      <c r="D4" s="3100"/>
      <c r="E4" s="3105"/>
      <c r="F4" s="3088" t="s">
        <v>2853</v>
      </c>
      <c r="G4" s="3106" t="s">
        <v>2854</v>
      </c>
      <c r="H4" s="3097"/>
      <c r="I4" s="3097"/>
      <c r="J4" s="3097"/>
      <c r="K4" s="3097"/>
      <c r="L4" s="3097"/>
      <c r="M4" s="3097"/>
      <c r="N4" s="3097"/>
      <c r="O4" s="3097"/>
      <c r="P4" s="3097"/>
      <c r="Q4" s="3097"/>
      <c r="R4" s="3097"/>
      <c r="S4" s="3097"/>
      <c r="T4" s="3097"/>
      <c r="U4" s="3097"/>
      <c r="V4" s="3097"/>
      <c r="W4" s="3097"/>
      <c r="X4" s="3097"/>
      <c r="Y4" s="3097"/>
      <c r="Z4" s="3097"/>
      <c r="AA4" s="3097"/>
      <c r="AB4" s="3097"/>
      <c r="AC4" s="3097"/>
    </row>
    <row r="5" spans="1:29" s="2628" customFormat="1" ht="24.75">
      <c r="A5" s="3101"/>
      <c r="B5" s="3086" t="s">
        <v>2855</v>
      </c>
      <c r="C5" s="3104" t="s">
        <v>2856</v>
      </c>
      <c r="D5" s="3100"/>
      <c r="E5" s="3105"/>
      <c r="F5" s="3086" t="s">
        <v>2857</v>
      </c>
      <c r="G5" s="3106" t="s">
        <v>2858</v>
      </c>
      <c r="H5" s="3097"/>
      <c r="I5" s="3097"/>
      <c r="J5" s="3097"/>
      <c r="K5" s="3097"/>
      <c r="L5" s="3097"/>
      <c r="M5" s="3097"/>
      <c r="N5" s="3097"/>
      <c r="O5" s="3097"/>
      <c r="P5" s="3097"/>
      <c r="Q5" s="3097"/>
      <c r="R5" s="3097"/>
      <c r="S5" s="3097"/>
      <c r="T5" s="3097"/>
      <c r="U5" s="3097"/>
      <c r="V5" s="3097"/>
      <c r="W5" s="3097"/>
      <c r="X5" s="3097"/>
      <c r="Y5" s="3097"/>
      <c r="Z5" s="3097"/>
      <c r="AA5" s="3097"/>
      <c r="AB5" s="3097"/>
      <c r="AC5" s="3097"/>
    </row>
    <row r="6" spans="1:29" s="2628" customFormat="1" ht="12.75">
      <c r="A6" s="3101"/>
      <c r="B6" s="3086" t="s">
        <v>2859</v>
      </c>
      <c r="C6" s="3158" t="s">
        <v>2918</v>
      </c>
      <c r="D6" s="3100"/>
      <c r="E6" s="3105"/>
      <c r="F6" s="3086" t="s">
        <v>2860</v>
      </c>
      <c r="G6" s="3106" t="s">
        <v>2861</v>
      </c>
      <c r="H6" s="3097"/>
      <c r="I6" s="3097"/>
      <c r="J6" s="3097"/>
      <c r="K6" s="3097"/>
      <c r="L6" s="3097"/>
      <c r="M6" s="3097"/>
      <c r="N6" s="3097"/>
      <c r="O6" s="3097"/>
      <c r="P6" s="3097"/>
      <c r="Q6" s="3097"/>
      <c r="R6" s="3097"/>
      <c r="S6" s="3097"/>
      <c r="T6" s="3097"/>
      <c r="U6" s="3097"/>
      <c r="V6" s="3097"/>
      <c r="W6" s="3097"/>
      <c r="X6" s="3097"/>
      <c r="Y6" s="3097"/>
      <c r="Z6" s="3097"/>
      <c r="AA6" s="3097"/>
      <c r="AB6" s="3097"/>
      <c r="AC6" s="3097"/>
    </row>
    <row r="7" spans="1:29" s="2628" customFormat="1" ht="24.75" thickBot="1">
      <c r="A7" s="3101"/>
      <c r="B7" s="3086" t="s">
        <v>2857</v>
      </c>
      <c r="C7" s="3158" t="s">
        <v>2918</v>
      </c>
      <c r="D7" s="2975"/>
      <c r="E7" s="3107"/>
      <c r="F7" s="3108" t="s">
        <v>2862</v>
      </c>
      <c r="G7" s="3109" t="s">
        <v>2863</v>
      </c>
      <c r="H7" s="3097"/>
      <c r="I7" s="3097"/>
      <c r="J7" s="3097"/>
      <c r="K7" s="3097"/>
      <c r="L7" s="3097"/>
      <c r="M7" s="3097"/>
      <c r="N7" s="3097"/>
      <c r="O7" s="3097"/>
      <c r="P7" s="3097"/>
      <c r="Q7" s="3097"/>
      <c r="R7" s="3097"/>
      <c r="S7" s="3097"/>
      <c r="T7" s="3097"/>
      <c r="U7" s="3097"/>
      <c r="V7" s="3097"/>
      <c r="W7" s="3097"/>
      <c r="X7" s="3097"/>
      <c r="Y7" s="3097"/>
      <c r="Z7" s="3097"/>
      <c r="AA7" s="3097"/>
      <c r="AB7" s="3097"/>
      <c r="AC7" s="3097"/>
    </row>
    <row r="8" spans="1:29" s="2628" customFormat="1" ht="12.75">
      <c r="A8" s="3101"/>
      <c r="B8" s="3086" t="s">
        <v>2860</v>
      </c>
      <c r="C8" s="3158" t="s">
        <v>2920</v>
      </c>
      <c r="D8" s="2975"/>
      <c r="E8" s="2975"/>
      <c r="F8" s="2970"/>
      <c r="G8" s="2970"/>
      <c r="H8" s="3097"/>
      <c r="I8" s="3097"/>
      <c r="J8" s="3097"/>
      <c r="K8" s="3097"/>
      <c r="L8" s="3097"/>
      <c r="M8" s="3097"/>
      <c r="N8" s="3097"/>
      <c r="O8" s="3097"/>
      <c r="P8" s="3097"/>
      <c r="Q8" s="3097"/>
      <c r="R8" s="3097"/>
      <c r="S8" s="3097"/>
      <c r="T8" s="3097"/>
      <c r="U8" s="3097"/>
      <c r="V8" s="3097"/>
      <c r="W8" s="3097"/>
      <c r="X8" s="3097"/>
      <c r="Y8" s="3097"/>
      <c r="Z8" s="3097"/>
      <c r="AA8" s="3097"/>
      <c r="AB8" s="3097"/>
      <c r="AC8" s="3097"/>
    </row>
    <row r="9" spans="1:29" s="2628" customFormat="1" ht="12.75">
      <c r="A9" s="3101"/>
      <c r="B9" s="3086" t="s">
        <v>2864</v>
      </c>
      <c r="C9" s="3159" t="s">
        <v>2918</v>
      </c>
      <c r="D9" s="3100"/>
      <c r="E9" s="2975"/>
      <c r="F9" s="2970"/>
      <c r="G9" s="2970"/>
      <c r="H9" s="3097"/>
      <c r="I9" s="3097"/>
      <c r="J9" s="3097"/>
      <c r="K9" s="3097"/>
      <c r="L9" s="3097"/>
      <c r="M9" s="3097"/>
      <c r="N9" s="3097"/>
      <c r="O9" s="3097"/>
      <c r="P9" s="3097"/>
      <c r="Q9" s="3097"/>
      <c r="R9" s="3097"/>
      <c r="S9" s="3097"/>
      <c r="T9" s="3097"/>
      <c r="U9" s="3097"/>
      <c r="V9" s="3097"/>
      <c r="W9" s="3097"/>
      <c r="X9" s="3097"/>
      <c r="Y9" s="3097"/>
      <c r="Z9" s="3097"/>
      <c r="AA9" s="3097"/>
      <c r="AB9" s="3097"/>
      <c r="AC9" s="3097"/>
    </row>
    <row r="10" spans="1:29" s="2669" customFormat="1" ht="13.5" thickBot="1">
      <c r="A10" s="3110"/>
      <c r="B10" s="3090" t="s">
        <v>2865</v>
      </c>
      <c r="C10" s="3111"/>
      <c r="D10" s="3100"/>
      <c r="E10" s="3100"/>
      <c r="F10" s="2970"/>
      <c r="G10" s="2970"/>
      <c r="H10" s="1495"/>
      <c r="I10" s="3112"/>
      <c r="J10" s="3113"/>
      <c r="K10" s="1495"/>
      <c r="L10" s="3112"/>
      <c r="M10" s="3113"/>
      <c r="N10" s="1495"/>
      <c r="O10" s="3112"/>
      <c r="P10" s="3113"/>
      <c r="Q10" s="1495"/>
      <c r="R10" s="3112"/>
      <c r="S10" s="3097"/>
      <c r="T10" s="3097"/>
      <c r="U10" s="3097"/>
      <c r="V10" s="3097"/>
      <c r="W10" s="3097"/>
      <c r="X10" s="3097"/>
      <c r="Y10" s="3097"/>
      <c r="Z10" s="3097"/>
      <c r="AA10" s="3097"/>
      <c r="AB10" s="3097"/>
      <c r="AC10" s="3097"/>
    </row>
    <row r="11" spans="1:29" s="2669" customFormat="1" ht="12.75">
      <c r="A11" s="3114"/>
      <c r="B11" s="2975"/>
      <c r="C11" s="3100"/>
      <c r="D11" s="3100"/>
      <c r="E11" s="3100"/>
      <c r="F11" s="2975"/>
      <c r="G11" s="3115"/>
      <c r="H11" s="1495"/>
      <c r="I11" s="3112"/>
      <c r="J11" s="3113"/>
      <c r="K11" s="1495"/>
      <c r="L11" s="3112"/>
      <c r="M11" s="3113"/>
      <c r="N11" s="1495"/>
      <c r="O11" s="3112"/>
      <c r="P11" s="3113"/>
      <c r="Q11" s="1495"/>
      <c r="R11" s="3112"/>
      <c r="S11" s="3097"/>
      <c r="T11" s="3097"/>
      <c r="U11" s="3097"/>
      <c r="V11" s="3097"/>
      <c r="W11" s="3097"/>
      <c r="X11" s="3097"/>
      <c r="Y11" s="3097"/>
      <c r="Z11" s="3097"/>
      <c r="AA11" s="3097"/>
      <c r="AB11" s="3097"/>
      <c r="AC11" s="3097"/>
    </row>
    <row r="12" spans="1:29" s="2689" customFormat="1" ht="18">
      <c r="A12" s="2639"/>
      <c r="B12" s="2693"/>
      <c r="C12" s="2692"/>
      <c r="D12" s="2694"/>
      <c r="E12" s="2692"/>
      <c r="F12" s="2693"/>
      <c r="G12" s="1838"/>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1709</v>
      </c>
      <c r="B13" s="2694"/>
      <c r="C13" s="2694"/>
      <c r="D13" s="2690"/>
      <c r="E13" s="2694"/>
      <c r="F13" s="2694"/>
      <c r="G13" s="2694"/>
    </row>
    <row r="14" spans="1:29" s="2628" customFormat="1" ht="13.5" thickBot="1">
      <c r="A14" s="3116"/>
      <c r="B14" s="3116"/>
      <c r="C14" s="3117" t="s">
        <v>2866</v>
      </c>
      <c r="D14" s="3100"/>
      <c r="E14" s="3118"/>
      <c r="F14" s="3118"/>
      <c r="G14" s="3094" t="s">
        <v>2867</v>
      </c>
      <c r="H14" s="3119"/>
      <c r="I14" s="3120"/>
      <c r="J14" s="3119"/>
      <c r="K14" s="3119"/>
      <c r="L14" s="3120"/>
      <c r="M14" s="3119"/>
      <c r="N14" s="3119"/>
      <c r="O14" s="3120"/>
      <c r="P14" s="3119"/>
      <c r="Q14" s="3119"/>
      <c r="R14" s="3121"/>
      <c r="S14" s="3097"/>
      <c r="T14" s="3097"/>
      <c r="U14" s="3097"/>
      <c r="V14" s="3097"/>
      <c r="W14" s="3097"/>
      <c r="X14" s="3097"/>
      <c r="Y14" s="3097"/>
      <c r="Z14" s="3097"/>
      <c r="AA14" s="3097"/>
      <c r="AB14" s="3097"/>
      <c r="AC14" s="3097"/>
    </row>
    <row r="15" spans="1:29" s="2628" customFormat="1" ht="25.5">
      <c r="A15" s="3122" t="s">
        <v>2868</v>
      </c>
      <c r="B15" s="3123" t="s">
        <v>2848</v>
      </c>
      <c r="C15" s="3124" t="str">
        <f>C3</f>
        <v>较好</v>
      </c>
      <c r="D15" s="3100"/>
      <c r="E15" s="3125" t="s">
        <v>2869</v>
      </c>
      <c r="F15" s="3123" t="s">
        <v>2870</v>
      </c>
      <c r="G15" s="3126" t="str">
        <f>G3</f>
        <v>估价对象位于XX开发区，园区建设成熟度XX，产业集聚程度XX</v>
      </c>
      <c r="H15" s="3119"/>
      <c r="I15" s="3120"/>
      <c r="J15" s="3119"/>
      <c r="K15" s="3119"/>
      <c r="L15" s="3120"/>
      <c r="M15" s="3119"/>
      <c r="N15" s="3119"/>
      <c r="O15" s="3120"/>
      <c r="P15" s="3119"/>
      <c r="Q15" s="3119"/>
      <c r="R15" s="3121"/>
      <c r="S15" s="3097"/>
      <c r="T15" s="3097"/>
      <c r="U15" s="3097"/>
      <c r="V15" s="3097"/>
      <c r="W15" s="3097"/>
      <c r="X15" s="3097"/>
      <c r="Y15" s="3097"/>
      <c r="Z15" s="3097"/>
      <c r="AA15" s="3097"/>
      <c r="AB15" s="3097"/>
      <c r="AC15" s="3097"/>
    </row>
    <row r="16" spans="1:29" s="2628" customFormat="1" ht="25.5">
      <c r="A16" s="3127"/>
      <c r="B16" s="2569" t="s">
        <v>2851</v>
      </c>
      <c r="C16" s="3128" t="str">
        <f>C4</f>
        <v>估价对象位于XX商圈，周边商业氛围成熟，人流量大，商业繁华度好</v>
      </c>
      <c r="D16" s="3100"/>
      <c r="E16" s="3129"/>
      <c r="F16" s="3087" t="s">
        <v>2853</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7"/>
      <c r="T16" s="3097"/>
      <c r="U16" s="3097"/>
      <c r="V16" s="3097"/>
      <c r="W16" s="3097"/>
      <c r="X16" s="3097"/>
      <c r="Y16" s="3097"/>
      <c r="Z16" s="3097"/>
      <c r="AA16" s="3097"/>
      <c r="AB16" s="3097"/>
      <c r="AC16" s="3097"/>
    </row>
    <row r="17" spans="1:29" s="2628" customFormat="1" ht="25.5">
      <c r="A17" s="3127"/>
      <c r="B17" s="2569" t="s">
        <v>2855</v>
      </c>
      <c r="C17" s="3128" t="str">
        <f>C5</f>
        <v>估价对象位于XX商圈，周边办公楼项目较多，入驻率高，办公集聚程度较好</v>
      </c>
      <c r="D17" s="2975"/>
      <c r="E17" s="3129"/>
      <c r="F17" s="3087" t="s">
        <v>2871</v>
      </c>
      <c r="G17" s="3131"/>
      <c r="H17" s="3119"/>
      <c r="I17" s="3120"/>
      <c r="J17" s="3119"/>
      <c r="K17" s="3119"/>
      <c r="L17" s="3120"/>
      <c r="M17" s="3119"/>
      <c r="N17" s="3119"/>
      <c r="O17" s="3120"/>
      <c r="P17" s="3119"/>
      <c r="Q17" s="3119"/>
      <c r="R17" s="3121"/>
      <c r="S17" s="3097"/>
      <c r="T17" s="3097"/>
      <c r="U17" s="3097"/>
      <c r="V17" s="3097"/>
      <c r="W17" s="3097"/>
      <c r="X17" s="3097"/>
      <c r="Y17" s="3097"/>
      <c r="Z17" s="3097"/>
      <c r="AA17" s="3097"/>
      <c r="AB17" s="3097"/>
      <c r="AC17" s="3097"/>
    </row>
    <row r="18" spans="1:29" s="2628" customFormat="1" ht="25.5">
      <c r="A18" s="3127"/>
      <c r="B18" s="3087" t="s">
        <v>2859</v>
      </c>
      <c r="C18" s="3130" t="str">
        <f>C6</f>
        <v>较好</v>
      </c>
      <c r="D18" s="2975"/>
      <c r="E18" s="3129"/>
      <c r="F18" s="3087" t="s">
        <v>2862</v>
      </c>
      <c r="G18" s="3130" t="str">
        <f>G7</f>
        <v>该园区内是否有污染型企业，绿化情况，卫生条件，整体环境状况判断</v>
      </c>
      <c r="H18" s="3119"/>
      <c r="I18" s="3120"/>
      <c r="J18" s="3119"/>
      <c r="K18" s="3119"/>
      <c r="L18" s="3120"/>
      <c r="M18" s="3119"/>
      <c r="N18" s="3119"/>
      <c r="O18" s="3120"/>
      <c r="P18" s="3119"/>
      <c r="Q18" s="3119"/>
      <c r="R18" s="3121"/>
      <c r="S18" s="3097"/>
      <c r="T18" s="3097"/>
      <c r="U18" s="3097"/>
      <c r="V18" s="3097"/>
      <c r="W18" s="3097"/>
      <c r="X18" s="3097"/>
      <c r="Y18" s="3097"/>
      <c r="Z18" s="3097"/>
      <c r="AA18" s="3097"/>
      <c r="AB18" s="3097"/>
      <c r="AC18" s="3097"/>
    </row>
    <row r="19" spans="1:29" s="2628" customFormat="1" ht="12.75">
      <c r="A19" s="3127"/>
      <c r="B19" s="3087" t="s">
        <v>2872</v>
      </c>
      <c r="C19" s="3131"/>
      <c r="D19" s="3100"/>
      <c r="E19" s="3129"/>
      <c r="F19" s="3086" t="s">
        <v>2857</v>
      </c>
      <c r="G19" s="3130" t="str">
        <f>G5</f>
        <v>估价对象所在区域公共配套设施齐备情况</v>
      </c>
      <c r="H19" s="3119"/>
      <c r="I19" s="3120"/>
      <c r="J19" s="3119"/>
      <c r="K19" s="3119"/>
      <c r="L19" s="3120"/>
      <c r="M19" s="3119"/>
      <c r="N19" s="3119"/>
      <c r="O19" s="3120"/>
      <c r="P19" s="3119"/>
      <c r="Q19" s="3119"/>
      <c r="R19" s="3121"/>
      <c r="S19" s="3097"/>
      <c r="T19" s="3097"/>
      <c r="U19" s="3097"/>
      <c r="V19" s="3097"/>
      <c r="W19" s="3097"/>
      <c r="X19" s="3097"/>
      <c r="Y19" s="3097"/>
      <c r="Z19" s="3097"/>
      <c r="AA19" s="3097"/>
      <c r="AB19" s="3097"/>
      <c r="AC19" s="3097"/>
    </row>
    <row r="20" spans="1:29" s="2628" customFormat="1" ht="12.75">
      <c r="A20" s="3127"/>
      <c r="B20" s="3087" t="s">
        <v>2873</v>
      </c>
      <c r="C20" s="3128" t="str">
        <f>C9</f>
        <v>较好</v>
      </c>
      <c r="D20" s="2975"/>
      <c r="E20" s="3129"/>
      <c r="F20" s="3086" t="s">
        <v>2860</v>
      </c>
      <c r="G20" s="3130" t="str">
        <f>G6</f>
        <v>估价对象所在区域基础设施水平</v>
      </c>
      <c r="H20" s="3119"/>
      <c r="I20" s="3120"/>
      <c r="J20" s="3119"/>
      <c r="K20" s="3119"/>
      <c r="L20" s="3120"/>
      <c r="M20" s="3119"/>
      <c r="N20" s="3119"/>
      <c r="O20" s="3120"/>
      <c r="P20" s="3119"/>
      <c r="Q20" s="3119"/>
      <c r="R20" s="3121"/>
      <c r="S20" s="3097"/>
      <c r="T20" s="3097"/>
      <c r="U20" s="3097"/>
      <c r="V20" s="3097"/>
      <c r="W20" s="3097"/>
      <c r="X20" s="3097"/>
      <c r="Y20" s="3097"/>
      <c r="Z20" s="3097"/>
      <c r="AA20" s="3097"/>
      <c r="AB20" s="3097"/>
      <c r="AC20" s="3097"/>
    </row>
    <row r="21" spans="1:29" s="2628" customFormat="1" ht="12.75">
      <c r="A21" s="3127"/>
      <c r="B21" s="3086" t="s">
        <v>2857</v>
      </c>
      <c r="C21" s="3130" t="str">
        <f>C7</f>
        <v>较好</v>
      </c>
      <c r="D21" s="3100"/>
      <c r="E21" s="3129"/>
      <c r="F21" s="3087" t="s">
        <v>2874</v>
      </c>
      <c r="G21" s="3132"/>
      <c r="H21" s="3119"/>
      <c r="I21" s="3120"/>
      <c r="J21" s="3119"/>
      <c r="K21" s="3119"/>
      <c r="L21" s="3120"/>
      <c r="M21" s="3119"/>
      <c r="N21" s="3119"/>
      <c r="O21" s="3120"/>
      <c r="P21" s="3119"/>
      <c r="Q21" s="3119"/>
      <c r="R21" s="3121"/>
      <c r="S21" s="3097"/>
      <c r="T21" s="3097"/>
      <c r="U21" s="3097"/>
      <c r="V21" s="3097"/>
      <c r="W21" s="3097"/>
      <c r="X21" s="3097"/>
      <c r="Y21" s="3097"/>
      <c r="Z21" s="3097"/>
      <c r="AA21" s="3097"/>
      <c r="AB21" s="3097"/>
      <c r="AC21" s="3097"/>
    </row>
    <row r="22" spans="1:29" s="2628" customFormat="1" ht="12.75">
      <c r="A22" s="3127"/>
      <c r="B22" s="3086" t="s">
        <v>2860</v>
      </c>
      <c r="C22" s="3130" t="str">
        <f>C8</f>
        <v>七通</v>
      </c>
      <c r="D22" s="3100"/>
      <c r="E22" s="3129"/>
      <c r="F22" s="3087" t="s">
        <v>2865</v>
      </c>
      <c r="G22" s="3133"/>
      <c r="H22" s="3119"/>
      <c r="I22" s="3120"/>
      <c r="J22" s="3119"/>
      <c r="K22" s="3119"/>
      <c r="L22" s="3120"/>
      <c r="M22" s="3119"/>
      <c r="N22" s="3119"/>
      <c r="O22" s="3120"/>
      <c r="P22" s="3119"/>
      <c r="Q22" s="3119"/>
      <c r="R22" s="3121"/>
      <c r="S22" s="3097"/>
      <c r="T22" s="3097"/>
      <c r="U22" s="3097"/>
      <c r="V22" s="3097"/>
      <c r="W22" s="3097"/>
      <c r="X22" s="3097"/>
      <c r="Y22" s="3097"/>
      <c r="Z22" s="3097"/>
      <c r="AA22" s="3097"/>
      <c r="AB22" s="3097"/>
      <c r="AC22" s="3097"/>
    </row>
    <row r="23" spans="1:29" s="3097" customFormat="1" ht="13.5" thickBot="1">
      <c r="A23" s="3127"/>
      <c r="B23" s="3087" t="s">
        <v>2874</v>
      </c>
      <c r="C23" s="3132"/>
      <c r="D23" s="3119"/>
      <c r="E23" s="3134"/>
      <c r="F23" s="3089" t="s">
        <v>2875</v>
      </c>
      <c r="G23" s="3135"/>
      <c r="H23" s="3119"/>
      <c r="I23" s="3120"/>
      <c r="J23" s="3119"/>
      <c r="K23" s="3119"/>
      <c r="L23" s="3120"/>
      <c r="M23" s="3119"/>
      <c r="N23" s="3119"/>
      <c r="O23" s="3120"/>
      <c r="P23" s="3119"/>
      <c r="Q23" s="3119"/>
      <c r="R23" s="3121"/>
    </row>
    <row r="24" spans="1:29" s="3097" customFormat="1" ht="13.5" thickBot="1">
      <c r="A24" s="3136"/>
      <c r="B24" s="3089" t="s">
        <v>2876</v>
      </c>
      <c r="C24" s="3137">
        <f>C10</f>
        <v>0</v>
      </c>
      <c r="D24" s="3119"/>
      <c r="E24" s="3138"/>
      <c r="F24" s="3138"/>
      <c r="G24" s="3139"/>
      <c r="H24" s="3119"/>
      <c r="I24" s="3120"/>
      <c r="J24" s="3119"/>
      <c r="K24" s="3119"/>
      <c r="L24" s="3120"/>
      <c r="M24" s="3119"/>
      <c r="N24" s="3119"/>
      <c r="O24" s="3120"/>
      <c r="P24" s="3119"/>
      <c r="Q24" s="3119"/>
      <c r="R24" s="3121"/>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AB530" sqref="AB530"/>
    </sheetView>
  </sheetViews>
  <sheetFormatPr defaultColWidth="14.625" defaultRowHeight="13.5"/>
  <cols>
    <col min="1" max="1" width="24.375" style="2578" customWidth="1"/>
    <col min="2" max="16384" width="14.625" style="2578"/>
  </cols>
  <sheetData>
    <row r="1" spans="1:9" ht="16.5">
      <c r="A1" s="2576" t="s">
        <v>1212</v>
      </c>
      <c r="B1" s="2576">
        <f>SUM(B14:B23)</f>
        <v>82.35</v>
      </c>
      <c r="C1" s="1631"/>
      <c r="D1" s="1631"/>
      <c r="E1" s="1631"/>
      <c r="F1" s="1631"/>
      <c r="G1" s="2577"/>
    </row>
    <row r="2" spans="1:9" ht="16.5">
      <c r="A2" s="2576" t="s">
        <v>1213</v>
      </c>
      <c r="B2" s="2576">
        <f>SUM(C14:C23)</f>
        <v>0</v>
      </c>
      <c r="C2" s="1631"/>
      <c r="D2" s="1631"/>
      <c r="E2" s="1631"/>
      <c r="F2" s="1631"/>
      <c r="G2" s="2577"/>
    </row>
    <row r="3" spans="1:9" ht="16.5">
      <c r="A3" s="2576" t="s">
        <v>1214</v>
      </c>
      <c r="B3" s="2579">
        <f>项目基本情况!D2</f>
        <v>44296</v>
      </c>
      <c r="C3" s="1631"/>
      <c r="D3" s="1631"/>
      <c r="E3" s="1631"/>
      <c r="F3" s="1631"/>
      <c r="G3" s="2577"/>
    </row>
    <row r="4" spans="1:9" ht="33">
      <c r="A4" s="2576" t="s">
        <v>1215</v>
      </c>
      <c r="B4" s="2576" t="s">
        <v>1216</v>
      </c>
      <c r="C4" s="2576" t="s">
        <v>1217</v>
      </c>
      <c r="D4" s="2576" t="s">
        <v>1218</v>
      </c>
      <c r="E4" s="1631"/>
      <c r="F4" s="2577"/>
      <c r="G4" s="2577"/>
    </row>
    <row r="5" spans="1:9" ht="16.5">
      <c r="A5" s="2576" t="s">
        <v>1219</v>
      </c>
      <c r="B5" s="2576">
        <f ca="1">SUM(D14:D23)</f>
        <v>269.23759999999999</v>
      </c>
      <c r="C5" s="2576">
        <f ca="1">ROUND(B5*10000/$B$1,0)</f>
        <v>32694</v>
      </c>
      <c r="D5" s="2576" t="e">
        <f ca="1">ROUND(B5*10000/$B$2,0)</f>
        <v>#DIV/0!</v>
      </c>
      <c r="E5" s="1631"/>
      <c r="F5" s="2577"/>
      <c r="G5" s="2577"/>
    </row>
    <row r="6" spans="1:9" ht="16.5">
      <c r="A6" s="2576" t="s">
        <v>1220</v>
      </c>
      <c r="B6" s="2576">
        <f ca="1">SUM(G14:G23)</f>
        <v>269.23759999999999</v>
      </c>
      <c r="C6" s="2576">
        <f t="shared" ref="C6:C8" ca="1" si="0">ROUND(B6*10000/$B$1,0)</f>
        <v>32694</v>
      </c>
      <c r="D6" s="2576" t="e">
        <f t="shared" ref="D6:D8" ca="1" si="1">ROUND(B6*10000/$B$2,0)</f>
        <v>#DIV/0!</v>
      </c>
      <c r="E6" s="1631"/>
      <c r="F6" s="2577"/>
      <c r="G6" s="2577"/>
    </row>
    <row r="7" spans="1:9" ht="16.5">
      <c r="A7" s="2576" t="s">
        <v>1221</v>
      </c>
      <c r="B7" s="2576" t="e">
        <f>SUM(H14:H23)</f>
        <v>#VALUE!</v>
      </c>
      <c r="C7" s="2576" t="e">
        <f>ROUND(B7*10000/$B$1,0)</f>
        <v>#VALUE!</v>
      </c>
      <c r="D7" s="2576" t="e">
        <f t="shared" si="1"/>
        <v>#VALUE!</v>
      </c>
      <c r="E7" s="1631"/>
      <c r="F7" s="2577"/>
      <c r="G7" s="2577"/>
    </row>
    <row r="8" spans="1:9" ht="16.5">
      <c r="A8" s="2576" t="s">
        <v>1222</v>
      </c>
      <c r="B8" s="2576" t="e">
        <f>SUM(I14:I23)</f>
        <v>#VALUE!</v>
      </c>
      <c r="C8" s="2576" t="e">
        <f t="shared" si="0"/>
        <v>#VALUE!</v>
      </c>
      <c r="D8" s="2576" t="e">
        <f t="shared" si="1"/>
        <v>#VALUE!</v>
      </c>
      <c r="E8" s="1631"/>
      <c r="F8" s="2577"/>
      <c r="G8" s="2577"/>
    </row>
    <row r="9" spans="1:9" ht="16.5">
      <c r="A9" s="2576" t="s">
        <v>1223</v>
      </c>
      <c r="B9" s="2580"/>
      <c r="C9" s="1631"/>
      <c r="D9" s="1631"/>
      <c r="E9" s="1631"/>
      <c r="F9" s="2577"/>
      <c r="G9" s="2577"/>
    </row>
    <row r="10" spans="1:9" ht="16.5">
      <c r="A10" s="2576" t="s">
        <v>1224</v>
      </c>
      <c r="B10" s="2580"/>
      <c r="C10" s="1631"/>
      <c r="D10" s="1631"/>
      <c r="E10" s="1631"/>
      <c r="F10" s="2577"/>
      <c r="G10" s="2577"/>
    </row>
    <row r="11" spans="1:9" ht="16.5">
      <c r="A11" s="2576" t="s">
        <v>1240</v>
      </c>
      <c r="B11" s="2580"/>
      <c r="C11" s="1631"/>
      <c r="D11" s="1631"/>
      <c r="E11" s="1631"/>
      <c r="F11" s="2577"/>
      <c r="G11" s="2577"/>
    </row>
    <row r="12" spans="1:9" ht="16.5">
      <c r="A12" s="1631"/>
      <c r="B12" s="1631"/>
      <c r="C12" s="1631"/>
      <c r="D12" s="1631"/>
      <c r="E12" s="1631"/>
      <c r="F12" s="2577"/>
      <c r="G12" s="2577"/>
    </row>
    <row r="13" spans="1:9" ht="33">
      <c r="A13" s="2581" t="s">
        <v>1239</v>
      </c>
      <c r="B13" s="2582" t="s">
        <v>1212</v>
      </c>
      <c r="C13" s="2582" t="s">
        <v>1213</v>
      </c>
      <c r="D13" s="2582" t="s">
        <v>1225</v>
      </c>
      <c r="E13" s="2576" t="s">
        <v>1217</v>
      </c>
      <c r="F13" s="2576" t="s">
        <v>1218</v>
      </c>
      <c r="G13" s="2582" t="s">
        <v>1226</v>
      </c>
      <c r="H13" s="2582" t="s">
        <v>1227</v>
      </c>
      <c r="I13" s="2582" t="s">
        <v>1228</v>
      </c>
    </row>
    <row r="14" spans="1:9" ht="16.5">
      <c r="A14" s="2880" t="s">
        <v>1238</v>
      </c>
      <c r="B14" s="2910">
        <f>项目基本情况!C12</f>
        <v>82.35</v>
      </c>
      <c r="C14" s="2910">
        <f>项目基本情况!C13</f>
        <v>0</v>
      </c>
      <c r="D14" s="2910">
        <f ca="1">IF('数据-取费表'!B3="万元",IF(A14="估价对象1（结果表）",结果表!H121,'结果表 (1修多)'!H125),IF(A14="估价对象1（结果表）",结果表!H121,'结果表 (1修多)'!H125)/10000)</f>
        <v>269.23759999999999</v>
      </c>
      <c r="E14" s="2910">
        <f ca="1">ROUND(D14*10000/B14,0)</f>
        <v>32694</v>
      </c>
      <c r="F14" s="2910" t="e">
        <f ca="1">ROUND(D14*10000/C14,0)</f>
        <v>#DIV/0!</v>
      </c>
      <c r="G14" s="2910">
        <f ca="1">IF('数据-取费表'!B3="万元",IF(A14="估价对象1（结果表）",结果表!D125,'结果表 (1修多)'!D129),IF(A14="估价对象1（结果表）",结果表!D125,'结果表 (1修多)'!D129)/10000)</f>
        <v>269.23759999999999</v>
      </c>
      <c r="H14" s="2910" t="e">
        <f>IF('数据-取费表'!B3="万元",IF(A14="估价对象1（结果表）",结果表!D127,'结果表 (1修多)'!D131),IF(A14="估价对象1（结果表）",结果表!D127,'结果表 (1修多)'!D131)/10000)</f>
        <v>#VALUE!</v>
      </c>
      <c r="I14" s="2910" t="e">
        <f>IF('数据-取费表'!B3="万元",IF(A14="估价对象1（结果表）",结果表!D129,'结果表 (1修多)'!D133),IF(A14="估价对象1（结果表）",结果表!D129,'结果表 (1修多)'!D133)/10000)</f>
        <v>#VALUE!</v>
      </c>
    </row>
    <row r="15" spans="1:9" ht="16.5">
      <c r="A15" s="2583" t="s">
        <v>1229</v>
      </c>
      <c r="B15" s="2584"/>
      <c r="C15" s="2584"/>
      <c r="D15" s="2584"/>
      <c r="E15" s="2910" t="e">
        <f t="shared" ref="E15:E23" si="2">ROUND(D15*10000/B15,0)</f>
        <v>#DIV/0!</v>
      </c>
      <c r="F15" s="2910" t="e">
        <f t="shared" ref="F15:F23" si="3">ROUND(D15*10000/C15,0)</f>
        <v>#DIV/0!</v>
      </c>
      <c r="G15" s="1304"/>
      <c r="H15" s="1304"/>
      <c r="I15" s="2584"/>
    </row>
    <row r="16" spans="1:9" ht="16.5">
      <c r="A16" s="2583" t="s">
        <v>1230</v>
      </c>
      <c r="B16" s="2584"/>
      <c r="C16" s="2584"/>
      <c r="D16" s="2584"/>
      <c r="E16" s="2910" t="e">
        <f t="shared" si="2"/>
        <v>#DIV/0!</v>
      </c>
      <c r="F16" s="2910" t="e">
        <f t="shared" si="3"/>
        <v>#DIV/0!</v>
      </c>
      <c r="G16" s="1304"/>
      <c r="H16" s="1304"/>
      <c r="I16" s="2584"/>
    </row>
    <row r="17" spans="1:9" ht="16.5">
      <c r="A17" s="2583" t="s">
        <v>1231</v>
      </c>
      <c r="B17" s="2584"/>
      <c r="C17" s="2584"/>
      <c r="D17" s="2584"/>
      <c r="E17" s="2910" t="e">
        <f t="shared" si="2"/>
        <v>#DIV/0!</v>
      </c>
      <c r="F17" s="2910" t="e">
        <f t="shared" si="3"/>
        <v>#DIV/0!</v>
      </c>
      <c r="G17" s="1304"/>
      <c r="H17" s="1304"/>
      <c r="I17" s="2584"/>
    </row>
    <row r="18" spans="1:9" ht="16.5">
      <c r="A18" s="2583" t="s">
        <v>1232</v>
      </c>
      <c r="B18" s="2584"/>
      <c r="C18" s="2584"/>
      <c r="D18" s="2584"/>
      <c r="E18" s="2910" t="e">
        <f t="shared" si="2"/>
        <v>#DIV/0!</v>
      </c>
      <c r="F18" s="2910" t="e">
        <f t="shared" si="3"/>
        <v>#DIV/0!</v>
      </c>
      <c r="G18" s="2584"/>
      <c r="H18" s="2584"/>
      <c r="I18" s="2584"/>
    </row>
    <row r="19" spans="1:9" ht="16.5">
      <c r="A19" s="2583" t="s">
        <v>1233</v>
      </c>
      <c r="B19" s="2584"/>
      <c r="C19" s="2584"/>
      <c r="D19" s="2584"/>
      <c r="E19" s="2910" t="e">
        <f t="shared" si="2"/>
        <v>#DIV/0!</v>
      </c>
      <c r="F19" s="2910" t="e">
        <f t="shared" si="3"/>
        <v>#DIV/0!</v>
      </c>
      <c r="G19" s="2584"/>
      <c r="H19" s="2584"/>
      <c r="I19" s="2584"/>
    </row>
    <row r="20" spans="1:9" ht="16.5">
      <c r="A20" s="2583" t="s">
        <v>1234</v>
      </c>
      <c r="B20" s="2584"/>
      <c r="C20" s="2584"/>
      <c r="D20" s="2584"/>
      <c r="E20" s="2910" t="e">
        <f t="shared" si="2"/>
        <v>#DIV/0!</v>
      </c>
      <c r="F20" s="2910" t="e">
        <f t="shared" si="3"/>
        <v>#DIV/0!</v>
      </c>
      <c r="G20" s="2584"/>
      <c r="H20" s="2584"/>
      <c r="I20" s="2584"/>
    </row>
    <row r="21" spans="1:9" ht="16.5">
      <c r="A21" s="2583" t="s">
        <v>1235</v>
      </c>
      <c r="B21" s="2584"/>
      <c r="C21" s="2584"/>
      <c r="D21" s="2584"/>
      <c r="E21" s="2910" t="e">
        <f t="shared" si="2"/>
        <v>#DIV/0!</v>
      </c>
      <c r="F21" s="2910" t="e">
        <f t="shared" si="3"/>
        <v>#DIV/0!</v>
      </c>
      <c r="G21" s="2584"/>
      <c r="H21" s="2584"/>
      <c r="I21" s="2584"/>
    </row>
    <row r="22" spans="1:9" ht="16.5">
      <c r="A22" s="2583" t="s">
        <v>1236</v>
      </c>
      <c r="B22" s="2584"/>
      <c r="C22" s="2584"/>
      <c r="D22" s="2584"/>
      <c r="E22" s="2910" t="e">
        <f t="shared" si="2"/>
        <v>#DIV/0!</v>
      </c>
      <c r="F22" s="2910" t="e">
        <f t="shared" si="3"/>
        <v>#DIV/0!</v>
      </c>
      <c r="G22" s="2584"/>
      <c r="H22" s="2584"/>
      <c r="I22" s="2584"/>
    </row>
    <row r="23" spans="1:9" ht="16.5">
      <c r="A23" s="2583" t="s">
        <v>1237</v>
      </c>
      <c r="B23" s="2584"/>
      <c r="C23" s="2584"/>
      <c r="D23" s="2584"/>
      <c r="E23" s="2911" t="e">
        <f t="shared" si="2"/>
        <v>#DIV/0!</v>
      </c>
      <c r="F23" s="2911"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59"/>
    <col min="3" max="4" width="12.625" style="1459" customWidth="1"/>
    <col min="5" max="9" width="12.625" style="1459"/>
    <col min="10" max="10" width="3.625" style="2836" customWidth="1"/>
    <col min="11" max="12" width="12.625" style="658" customWidth="1"/>
    <col min="13" max="13" width="12.625" style="658"/>
    <col min="14" max="14" width="14.125" style="658" bestFit="1" customWidth="1"/>
    <col min="15" max="27" width="12.625" style="658"/>
    <col min="28" max="36" width="12.625" style="1307"/>
    <col min="37" max="16384" width="12.625" style="1459"/>
  </cols>
  <sheetData>
    <row r="1" spans="1:15" ht="21.75" customHeight="1">
      <c r="A1" s="1457" t="s">
        <v>1710</v>
      </c>
      <c r="B1" s="1458"/>
      <c r="C1" s="1458"/>
      <c r="D1" s="1458"/>
      <c r="E1" s="1458"/>
      <c r="F1" s="1458"/>
      <c r="G1" s="1458"/>
      <c r="H1" s="1458"/>
      <c r="I1" s="1458"/>
    </row>
    <row r="2" spans="1:15" ht="21.75" customHeight="1">
      <c r="A2" s="3336" t="str">
        <f>项目基本情况!B1</f>
        <v>吉林省长春市房地产市场价值预评估</v>
      </c>
      <c r="B2" s="3336"/>
      <c r="C2" s="3336"/>
      <c r="D2" s="3336"/>
      <c r="E2" s="3336"/>
      <c r="F2" s="3336"/>
      <c r="G2" s="3336"/>
      <c r="H2" s="3336"/>
      <c r="I2" s="3336"/>
      <c r="J2" s="2837"/>
    </row>
    <row r="3" spans="1:15" ht="12.75">
      <c r="A3" s="3341" t="s">
        <v>1711</v>
      </c>
      <c r="B3" s="3342"/>
      <c r="C3" s="3342"/>
      <c r="D3" s="3342"/>
      <c r="E3" s="3342"/>
      <c r="F3" s="3342"/>
      <c r="G3" s="3342"/>
      <c r="H3" s="3342"/>
      <c r="I3" s="3342"/>
      <c r="J3" s="2838"/>
    </row>
    <row r="4" spans="1:15" ht="14.25">
      <c r="A4" s="2706" t="s">
        <v>1712</v>
      </c>
      <c r="B4" s="2706" t="s">
        <v>1713</v>
      </c>
      <c r="C4" s="2707"/>
      <c r="D4" s="2707"/>
      <c r="E4" s="3338" t="s">
        <v>1714</v>
      </c>
      <c r="F4" s="3326"/>
      <c r="G4" s="3326"/>
      <c r="H4" s="3326"/>
      <c r="I4" s="3327"/>
      <c r="J4" s="2839"/>
      <c r="L4" s="1458" t="str">
        <f>IF(ISNUMBER(FIND("比较法",结果表!C4)),"比较法",IF(ISNUMBER(FIND("成本法",结果表!C4)),"成本法",IF(ISNUMBER(FIND("假设开发法",结果表!C4)),"假设开发法",IF(ISNUMBER(FIND("收益法",结果表!C4)),"收益法","基准地价系数修正法"))))</f>
        <v>基准地价系数修正法</v>
      </c>
      <c r="M4" s="1458" t="str">
        <f>IF(ISNUMBER(FIND("比较法",结果表!D4)),"比较法",IF(ISNUMBER(FIND("成本法",结果表!D4)),"成本法",IF(ISNUMBER(FIND("假设开发法",结果表!D4)),"假设开发法",IF(ISNUMBER(FIND("收益法",结果表!D4)),"收益法","基准地价系数修正法"))))</f>
        <v>基准地价系数修正法</v>
      </c>
      <c r="N4" s="1458"/>
      <c r="O4" s="1458"/>
    </row>
    <row r="5" spans="1:15" ht="12.75">
      <c r="A5" s="3337" t="s">
        <v>1715</v>
      </c>
      <c r="B5" s="3337">
        <v>25</v>
      </c>
      <c r="C5" s="3343"/>
      <c r="D5" s="3340"/>
      <c r="E5" s="12" t="s">
        <v>1716</v>
      </c>
      <c r="F5" s="2084"/>
      <c r="G5" s="2084"/>
      <c r="H5" s="2084"/>
      <c r="I5" s="2079"/>
      <c r="J5" s="2839"/>
    </row>
    <row r="6" spans="1:15" ht="12.75">
      <c r="A6" s="3337"/>
      <c r="B6" s="3337"/>
      <c r="C6" s="3344"/>
      <c r="D6" s="3340"/>
      <c r="E6" s="12" t="s">
        <v>1717</v>
      </c>
      <c r="F6" s="2084"/>
      <c r="G6" s="2084"/>
      <c r="H6" s="2084"/>
      <c r="I6" s="2079"/>
      <c r="J6" s="2839"/>
    </row>
    <row r="7" spans="1:15" ht="12.75">
      <c r="A7" s="3337"/>
      <c r="B7" s="3337"/>
      <c r="C7" s="3345"/>
      <c r="D7" s="3340"/>
      <c r="E7" s="12" t="s">
        <v>1718</v>
      </c>
      <c r="F7" s="2084"/>
      <c r="G7" s="2084"/>
      <c r="H7" s="2084"/>
      <c r="I7" s="2079"/>
      <c r="J7" s="2839"/>
    </row>
    <row r="8" spans="1:15" ht="12.75">
      <c r="A8" s="3337" t="s">
        <v>1719</v>
      </c>
      <c r="B8" s="3337">
        <v>15</v>
      </c>
      <c r="C8" s="3343"/>
      <c r="D8" s="3340"/>
      <c r="E8" s="12" t="s">
        <v>1720</v>
      </c>
      <c r="F8" s="2084"/>
      <c r="G8" s="2084"/>
      <c r="H8" s="2084"/>
      <c r="I8" s="2079"/>
      <c r="J8" s="2839"/>
    </row>
    <row r="9" spans="1:15" ht="12.75">
      <c r="A9" s="3337"/>
      <c r="B9" s="3337"/>
      <c r="C9" s="3345"/>
      <c r="D9" s="3340"/>
      <c r="E9" s="12" t="s">
        <v>1721</v>
      </c>
      <c r="F9" s="2084"/>
      <c r="G9" s="2084"/>
      <c r="H9" s="2084"/>
      <c r="I9" s="2079"/>
      <c r="J9" s="2839"/>
    </row>
    <row r="10" spans="1:15" ht="12.75">
      <c r="A10" s="3337" t="s">
        <v>1722</v>
      </c>
      <c r="B10" s="3337">
        <v>15</v>
      </c>
      <c r="C10" s="3343"/>
      <c r="D10" s="3340"/>
      <c r="E10" s="12" t="s">
        <v>1723</v>
      </c>
      <c r="F10" s="2084"/>
      <c r="G10" s="2084"/>
      <c r="H10" s="2084"/>
      <c r="I10" s="2079"/>
      <c r="J10" s="2839"/>
    </row>
    <row r="11" spans="1:15" ht="12.75">
      <c r="A11" s="3337"/>
      <c r="B11" s="3337"/>
      <c r="C11" s="3345"/>
      <c r="D11" s="3340"/>
      <c r="E11" s="12" t="s">
        <v>1724</v>
      </c>
      <c r="F11" s="2084"/>
      <c r="G11" s="2084"/>
      <c r="H11" s="2084"/>
      <c r="I11" s="2079"/>
      <c r="J11" s="2839"/>
    </row>
    <row r="12" spans="1:15" ht="12.75">
      <c r="A12" s="3337" t="s">
        <v>1725</v>
      </c>
      <c r="B12" s="3337">
        <v>15</v>
      </c>
      <c r="C12" s="3343"/>
      <c r="D12" s="3340"/>
      <c r="E12" s="12" t="s">
        <v>1726</v>
      </c>
      <c r="F12" s="2084"/>
      <c r="G12" s="2084"/>
      <c r="H12" s="2084"/>
      <c r="I12" s="2079"/>
      <c r="J12" s="2839"/>
    </row>
    <row r="13" spans="1:15" ht="12.75">
      <c r="A13" s="3337"/>
      <c r="B13" s="3337"/>
      <c r="C13" s="3345"/>
      <c r="D13" s="3340"/>
      <c r="E13" s="12" t="s">
        <v>1727</v>
      </c>
      <c r="F13" s="2084"/>
      <c r="G13" s="2084"/>
      <c r="H13" s="2084"/>
      <c r="I13" s="2079"/>
      <c r="J13" s="2839"/>
    </row>
    <row r="14" spans="1:15" ht="12.75">
      <c r="A14" s="3337" t="s">
        <v>1728</v>
      </c>
      <c r="B14" s="3337">
        <v>30</v>
      </c>
      <c r="C14" s="3343"/>
      <c r="D14" s="3340"/>
      <c r="E14" s="12" t="s">
        <v>1729</v>
      </c>
      <c r="F14" s="2084"/>
      <c r="G14" s="2084"/>
      <c r="H14" s="2084"/>
      <c r="I14" s="2079"/>
      <c r="J14" s="2839"/>
    </row>
    <row r="15" spans="1:15" ht="12.75">
      <c r="A15" s="3337"/>
      <c r="B15" s="3337"/>
      <c r="C15" s="3344"/>
      <c r="D15" s="3340"/>
      <c r="E15" s="12" t="s">
        <v>1730</v>
      </c>
      <c r="F15" s="2084"/>
      <c r="G15" s="2084"/>
      <c r="H15" s="2084"/>
      <c r="I15" s="2079"/>
      <c r="J15" s="2839"/>
    </row>
    <row r="16" spans="1:15" ht="12.75">
      <c r="A16" s="3337"/>
      <c r="B16" s="3337"/>
      <c r="C16" s="3345"/>
      <c r="D16" s="3340"/>
      <c r="E16" s="12" t="s">
        <v>1731</v>
      </c>
      <c r="F16" s="2084"/>
      <c r="G16" s="2084"/>
      <c r="H16" s="2084"/>
      <c r="I16" s="2079"/>
      <c r="J16" s="2839"/>
    </row>
    <row r="17" spans="1:36" ht="15">
      <c r="A17" s="2708" t="s">
        <v>1732</v>
      </c>
      <c r="B17" s="2089"/>
      <c r="C17" s="2709">
        <f>SUM(C5:C16)</f>
        <v>0</v>
      </c>
      <c r="D17" s="2709">
        <f>SUM(D5:D16)</f>
        <v>0</v>
      </c>
      <c r="E17" s="2558"/>
      <c r="F17" s="2558"/>
      <c r="G17" s="2558"/>
      <c r="H17" s="2558"/>
      <c r="I17" s="2558"/>
      <c r="J17" s="2840"/>
    </row>
    <row r="18" spans="1:36" ht="30" customHeight="1" thickBot="1">
      <c r="A18" s="2710" t="s">
        <v>1733</v>
      </c>
      <c r="B18" s="2711"/>
      <c r="C18" s="2712" t="e">
        <f>ROUND(C17/SUM(C17:D17),2)</f>
        <v>#DIV/0!</v>
      </c>
      <c r="D18" s="2712" t="e">
        <f>1-C18</f>
        <v>#DIV/0!</v>
      </c>
      <c r="E18" s="3357" t="s">
        <v>2813</v>
      </c>
      <c r="F18" s="3358"/>
      <c r="G18" s="3358"/>
      <c r="H18" s="3358"/>
      <c r="I18" s="3358"/>
      <c r="J18" s="2840"/>
    </row>
    <row r="19" spans="1:36" ht="15">
      <c r="A19" s="2713" t="s">
        <v>1734</v>
      </c>
      <c r="B19" s="2714" t="s">
        <v>1735</v>
      </c>
      <c r="C19" s="2715" t="e">
        <f ca="1">SUMIF(INDIRECT("'"&amp;C4&amp;"'"&amp;"!A:A"),结果表!B19,INDIRECT("'"&amp;C4&amp;"'"&amp;"!B:B"))</f>
        <v>#REF!</v>
      </c>
      <c r="D19" s="2716" t="e">
        <f ca="1">SUMIF(INDIRECT("'"&amp;D4&amp;"'"&amp;"!A:A"),结果表!B19,INDIRECT("'"&amp;D4&amp;"'"&amp;"!B:B"))</f>
        <v>#REF!</v>
      </c>
      <c r="E19" s="2713" t="s">
        <v>1736</v>
      </c>
      <c r="F19" s="2714" t="s">
        <v>1735</v>
      </c>
      <c r="G19" s="2717" t="e">
        <f ca="1">ROUND(C19*$C$18+D19*$D$18,0)</f>
        <v>#REF!</v>
      </c>
      <c r="H19" s="2718" t="str">
        <f>'数据-取费表'!B3</f>
        <v>元</v>
      </c>
      <c r="I19" s="2766"/>
      <c r="J19" s="2841"/>
    </row>
    <row r="20" spans="1:36" ht="15">
      <c r="A20" s="2719"/>
      <c r="B20" s="1690" t="s">
        <v>1737</v>
      </c>
      <c r="C20" s="1914" t="e">
        <f ca="1">SUMIF(INDIRECT("'"&amp;C4&amp;"'"&amp;"!A:A"),结果表!B20,INDIRECT("'"&amp;C4&amp;"'"&amp;"!B:B"))</f>
        <v>#REF!</v>
      </c>
      <c r="D20" s="1917" t="e">
        <f ca="1">SUMIF(INDIRECT("'"&amp;D4&amp;"'"&amp;"!A:A"),结果表!B20,INDIRECT("'"&amp;D4&amp;"'"&amp;"!B:B"))</f>
        <v>#REF!</v>
      </c>
      <c r="E20" s="2719"/>
      <c r="F20" s="1690" t="s">
        <v>1737</v>
      </c>
      <c r="G20" s="2088" t="e">
        <f ca="1">ROUND(C20*$C$18+D20*$D$18,0)</f>
        <v>#REF!</v>
      </c>
      <c r="H20" s="2720" t="s">
        <v>1738</v>
      </c>
      <c r="I20" s="2558"/>
      <c r="J20" s="2840"/>
    </row>
    <row r="21" spans="1:36" ht="15" customHeight="1" thickBot="1">
      <c r="A21" s="2721"/>
      <c r="B21" s="2722"/>
      <c r="C21" s="2722"/>
      <c r="D21" s="2723"/>
      <c r="E21" s="2721"/>
      <c r="F21" s="2722"/>
      <c r="G21" s="2724"/>
      <c r="H21" s="2725"/>
      <c r="I21" s="2558"/>
      <c r="J21" s="2840"/>
    </row>
    <row r="22" spans="1:36" ht="15" thickBot="1">
      <c r="A22" s="2726" t="s">
        <v>1739</v>
      </c>
      <c r="B22" s="2727"/>
      <c r="C22" s="2641"/>
      <c r="D22" s="2728" t="e">
        <f ca="1">IF(C19&lt;D19,D19/C19-1,C19/D19-1)</f>
        <v>#REF!</v>
      </c>
      <c r="E22" s="946"/>
      <c r="F22" s="946"/>
      <c r="G22" s="946"/>
      <c r="H22" s="946"/>
      <c r="I22" s="946"/>
      <c r="J22" s="2840"/>
    </row>
    <row r="23" spans="1:36" ht="13.5" thickBot="1">
      <c r="A23" s="2558"/>
      <c r="B23" s="2558"/>
      <c r="C23" s="2558"/>
      <c r="D23" s="2558"/>
      <c r="E23" s="946"/>
      <c r="F23" s="946"/>
      <c r="G23" s="946"/>
      <c r="H23" s="946"/>
      <c r="I23" s="946"/>
      <c r="J23" s="2840"/>
    </row>
    <row r="24" spans="1:36" ht="21.75" customHeight="1">
      <c r="A24" s="3346" t="s">
        <v>1740</v>
      </c>
      <c r="B24" s="2714" t="s">
        <v>1735</v>
      </c>
      <c r="C24" s="2717">
        <f>D30</f>
        <v>0</v>
      </c>
      <c r="D24" s="2670"/>
      <c r="E24" s="946"/>
      <c r="F24" s="946"/>
      <c r="G24" s="946"/>
      <c r="H24" s="946"/>
      <c r="I24" s="946"/>
      <c r="J24" s="2840"/>
    </row>
    <row r="25" spans="1:36" ht="21.75" customHeight="1">
      <c r="A25" s="3347"/>
      <c r="B25" s="1690" t="s">
        <v>1737</v>
      </c>
      <c r="C25" s="2729">
        <f>IF(B30=0,0,C30)</f>
        <v>0</v>
      </c>
      <c r="D25" s="2730"/>
      <c r="E25" s="946"/>
      <c r="F25" s="946"/>
      <c r="G25" s="946"/>
      <c r="H25" s="946"/>
      <c r="I25" s="946"/>
      <c r="J25" s="2840"/>
    </row>
    <row r="26" spans="1:36" ht="13.5" customHeight="1">
      <c r="A26" s="2731" t="s">
        <v>1741</v>
      </c>
      <c r="B26" s="2732" t="s">
        <v>1742</v>
      </c>
      <c r="C26" s="2732" t="s">
        <v>1743</v>
      </c>
      <c r="D26" s="2733" t="s">
        <v>1744</v>
      </c>
      <c r="E26" s="946"/>
      <c r="F26" s="946"/>
      <c r="G26" s="946"/>
      <c r="H26" s="946"/>
      <c r="I26" s="946"/>
      <c r="J26" s="2840"/>
    </row>
    <row r="27" spans="1:36" ht="14.25">
      <c r="A27" s="2734"/>
      <c r="B27" s="2732">
        <v>0</v>
      </c>
      <c r="C27" s="2732">
        <v>0</v>
      </c>
      <c r="D27" s="2733">
        <f>ROUND(C27*B27/10000,0)</f>
        <v>0</v>
      </c>
      <c r="E27" s="946"/>
      <c r="F27" s="946"/>
      <c r="G27" s="946"/>
      <c r="H27" s="946"/>
      <c r="I27" s="946"/>
      <c r="J27" s="2840"/>
    </row>
    <row r="28" spans="1:36" ht="14.25">
      <c r="A28" s="2731"/>
      <c r="B28" s="2732"/>
      <c r="C28" s="2732"/>
      <c r="D28" s="2733">
        <f t="shared" ref="D28:D29" si="0">ROUND(C28*B28/10000,0)</f>
        <v>0</v>
      </c>
      <c r="E28" s="946"/>
      <c r="F28" s="946"/>
      <c r="G28" s="946"/>
      <c r="H28" s="946"/>
      <c r="I28" s="946"/>
      <c r="J28" s="2840"/>
    </row>
    <row r="29" spans="1:36" ht="14.25">
      <c r="A29" s="2731"/>
      <c r="B29" s="2732"/>
      <c r="C29" s="2732"/>
      <c r="D29" s="2733">
        <f t="shared" si="0"/>
        <v>0</v>
      </c>
      <c r="E29" s="946"/>
      <c r="F29" s="946"/>
      <c r="G29" s="946"/>
      <c r="H29" s="946"/>
      <c r="I29" s="946"/>
      <c r="J29" s="2840"/>
    </row>
    <row r="30" spans="1:36" ht="15" thickBot="1">
      <c r="A30" s="2768" t="s">
        <v>1745</v>
      </c>
      <c r="B30" s="2768"/>
      <c r="C30" s="2768"/>
      <c r="D30" s="2768"/>
      <c r="E30" s="2735" t="s">
        <v>2817</v>
      </c>
      <c r="F30" s="2558"/>
      <c r="G30" s="2558"/>
      <c r="H30" s="2558"/>
      <c r="I30" s="2558"/>
      <c r="J30" s="2840"/>
    </row>
    <row r="31" spans="1:36" s="2833" customFormat="1" ht="26.45" customHeight="1" thickTop="1" thickBot="1">
      <c r="A31" s="2828"/>
      <c r="B31" s="2829"/>
      <c r="C31" s="2829"/>
      <c r="D31" s="2829"/>
      <c r="E31" s="2829"/>
      <c r="F31" s="2829"/>
      <c r="G31" s="2829"/>
      <c r="H31" s="2829"/>
      <c r="I31" s="2830" t="s">
        <v>2818</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1746</v>
      </c>
      <c r="B32" s="2822" t="str">
        <f>'数据-取费表'!B4</f>
        <v>楼面单价</v>
      </c>
      <c r="C32" s="2823" t="e">
        <f ca="1">IF(B32="总价",G19-C24,G20-C25)</f>
        <v>#REF!</v>
      </c>
      <c r="D32" s="2824" t="str">
        <f>IF(B32="楼面单价","元/平方米",H19)</f>
        <v>元/平方米</v>
      </c>
      <c r="E32" s="2971"/>
      <c r="F32" s="2971"/>
      <c r="G32" s="2971"/>
      <c r="H32" s="2971"/>
      <c r="I32" s="2971"/>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1747</v>
      </c>
      <c r="B33" s="255"/>
      <c r="C33" s="2737"/>
      <c r="D33" s="2738"/>
      <c r="E33" s="2739" t="s">
        <v>1748</v>
      </c>
      <c r="F33" s="2740" t="str">
        <f>IF(B32="楼面单价","取值（单价）","取值（总价）")</f>
        <v>取值（单价）</v>
      </c>
      <c r="G33" s="946"/>
      <c r="H33" s="946"/>
      <c r="I33" s="946"/>
      <c r="J33" s="2840"/>
    </row>
    <row r="34" spans="1:17" ht="15">
      <c r="A34" s="1463"/>
      <c r="B34" s="2741" t="s">
        <v>1749</v>
      </c>
      <c r="C34" s="2742" t="e">
        <f ca="1">IF(D33="自定义",F34,C32-C35)</f>
        <v>#REF!</v>
      </c>
      <c r="D34" s="2743">
        <f ca="1">IF(D33="自定义",ROUND(C34/C32,3),1-D35)</f>
        <v>0.253</v>
      </c>
      <c r="E34" s="1433" t="s">
        <v>1750</v>
      </c>
      <c r="F34" s="2744">
        <v>2000</v>
      </c>
      <c r="G34" s="946"/>
      <c r="H34" s="946"/>
      <c r="I34" s="946"/>
      <c r="J34" s="2840"/>
    </row>
    <row r="35" spans="1:17" ht="15.75" thickBot="1">
      <c r="A35" s="1464"/>
      <c r="B35" s="2745" t="s">
        <v>1751</v>
      </c>
      <c r="C35" s="2746" t="e">
        <f ca="1">IF(D33="自定义",F35,ROUND(C32*D35,0))</f>
        <v>#REF!</v>
      </c>
      <c r="D35" s="2747">
        <f ca="1">IF(D33="自定义",ROUND(C35/C32,3),IF(D33="成本法成本比率",成本法!C56,IF(D33="收益法收益比率",收益法!J38,收益法!J41)))</f>
        <v>0.747</v>
      </c>
      <c r="E35" s="2748" t="s">
        <v>1752</v>
      </c>
      <c r="F35" s="2749">
        <v>4460</v>
      </c>
      <c r="G35" s="946"/>
      <c r="H35" s="946"/>
      <c r="I35" s="946"/>
      <c r="J35" s="2840"/>
    </row>
    <row r="36" spans="1:17" ht="15.75" thickBot="1">
      <c r="A36" s="3346" t="s">
        <v>1753</v>
      </c>
      <c r="B36" s="1465" t="s">
        <v>1754</v>
      </c>
      <c r="C36" s="2750">
        <v>0</v>
      </c>
      <c r="D36" s="2751"/>
      <c r="E36" s="1677"/>
      <c r="F36" s="1677"/>
      <c r="G36" s="946"/>
      <c r="H36" s="946"/>
      <c r="I36" s="946"/>
      <c r="J36" s="2840"/>
    </row>
    <row r="37" spans="1:17" ht="15.75" thickBot="1">
      <c r="A37" s="3351"/>
      <c r="B37" s="2089" t="s">
        <v>1755</v>
      </c>
      <c r="C37" s="2752">
        <v>0</v>
      </c>
      <c r="D37" s="1310"/>
      <c r="E37" s="1310"/>
      <c r="F37" s="1677"/>
      <c r="G37" s="1310"/>
      <c r="H37" s="1310"/>
      <c r="I37" s="1310"/>
      <c r="J37" s="2844"/>
    </row>
    <row r="38" spans="1:17" ht="15.75" thickBot="1">
      <c r="A38" s="3352"/>
      <c r="B38" s="1466" t="s">
        <v>1756</v>
      </c>
      <c r="C38" s="2753">
        <v>0</v>
      </c>
      <c r="D38" s="2754" t="s">
        <v>1757</v>
      </c>
      <c r="E38" s="1310"/>
      <c r="F38" s="1677"/>
      <c r="G38" s="1310"/>
      <c r="H38" s="1310"/>
      <c r="I38" s="1310"/>
      <c r="J38" s="2844"/>
    </row>
    <row r="39" spans="1:17" ht="15">
      <c r="A39" s="2719" t="s">
        <v>1758</v>
      </c>
      <c r="B39" s="2755" t="s">
        <v>1742</v>
      </c>
      <c r="C39" s="2756" t="s">
        <v>1743</v>
      </c>
      <c r="D39" s="2756" t="s">
        <v>1759</v>
      </c>
      <c r="E39" s="2757" t="s">
        <v>1744</v>
      </c>
      <c r="F39" s="1677"/>
      <c r="G39" s="1310"/>
      <c r="H39" s="1310"/>
      <c r="I39" s="1310"/>
      <c r="J39" s="2844"/>
    </row>
    <row r="40" spans="1:17" ht="14.25">
      <c r="A40" s="2758" t="s">
        <v>1760</v>
      </c>
      <c r="B40" s="2759"/>
      <c r="C40" s="2760"/>
      <c r="D40" s="2760"/>
      <c r="E40" s="2761"/>
      <c r="F40" s="1677"/>
      <c r="G40" s="1310"/>
      <c r="H40" s="1310"/>
      <c r="I40" s="1310"/>
      <c r="J40" s="2844"/>
    </row>
    <row r="41" spans="1:17" ht="14.25">
      <c r="A41" s="2758" t="s">
        <v>1761</v>
      </c>
      <c r="B41" s="2759"/>
      <c r="C41" s="2760"/>
      <c r="D41" s="2760"/>
      <c r="E41" s="2761"/>
      <c r="F41" s="1677"/>
      <c r="G41" s="1310"/>
      <c r="H41" s="1310"/>
      <c r="I41" s="1310"/>
      <c r="J41" s="2844"/>
    </row>
    <row r="42" spans="1:17" ht="15" thickBot="1">
      <c r="A42" s="2762"/>
      <c r="B42" s="2763"/>
      <c r="C42" s="2764"/>
      <c r="D42" s="2764"/>
      <c r="E42" s="2749"/>
      <c r="F42" s="1677"/>
      <c r="G42" s="1310"/>
      <c r="H42" s="1310"/>
      <c r="I42" s="1310"/>
      <c r="J42" s="2844"/>
    </row>
    <row r="43" spans="1:17" ht="12.75">
      <c r="A43" s="2970"/>
      <c r="B43" s="2970"/>
      <c r="C43" s="2970"/>
      <c r="D43" s="2970"/>
      <c r="E43" s="2970"/>
      <c r="F43" s="2969"/>
      <c r="G43" s="2969"/>
      <c r="H43" s="2969"/>
      <c r="I43" s="2657"/>
      <c r="J43" s="2845"/>
    </row>
    <row r="44" spans="1:17" ht="18.75">
      <c r="A44" s="1468" t="s">
        <v>1762</v>
      </c>
      <c r="B44" s="1469"/>
      <c r="C44" s="1469"/>
      <c r="D44" s="1470"/>
      <c r="E44" s="1470"/>
      <c r="F44" s="1471"/>
      <c r="G44" s="1471"/>
      <c r="H44" s="1471"/>
      <c r="I44" s="2834" t="s">
        <v>2812</v>
      </c>
      <c r="J44" s="2846"/>
      <c r="K44" s="1472" t="s">
        <v>1763</v>
      </c>
      <c r="L44" s="1473"/>
      <c r="M44" s="1473"/>
      <c r="N44" s="1473"/>
      <c r="O44" s="1473"/>
      <c r="P44" s="1473"/>
      <c r="Q44" s="1307"/>
    </row>
    <row r="45" spans="1:17" ht="14.25" customHeight="1" thickBot="1">
      <c r="A45" s="3271" t="s">
        <v>1764</v>
      </c>
      <c r="B45" s="3272"/>
      <c r="C45" s="3282"/>
      <c r="D45" s="246" t="e">
        <f ca="1">ROUND(I102*F45,0)</f>
        <v>#REF!</v>
      </c>
      <c r="E45" s="1539" t="s">
        <v>1765</v>
      </c>
      <c r="F45" s="2556">
        <v>1</v>
      </c>
      <c r="G45" s="2557" t="s">
        <v>1766</v>
      </c>
      <c r="H45" s="946"/>
      <c r="I45" s="946"/>
      <c r="J45" s="2840"/>
      <c r="K45" s="3277" t="s">
        <v>2742</v>
      </c>
      <c r="L45" s="3277"/>
      <c r="M45" s="3277"/>
      <c r="N45" s="3277"/>
      <c r="O45" s="3277"/>
      <c r="P45" s="3277"/>
      <c r="Q45" s="1307"/>
    </row>
    <row r="46" spans="1:17" ht="14.25" customHeight="1">
      <c r="A46" s="3348" t="s">
        <v>1768</v>
      </c>
      <c r="B46" s="3349"/>
      <c r="C46" s="3349"/>
      <c r="D46" s="3349"/>
      <c r="E46" s="3349"/>
      <c r="F46" s="3349"/>
      <c r="G46" s="3350"/>
      <c r="H46" s="2972"/>
      <c r="I46" s="946"/>
      <c r="J46" s="2840"/>
      <c r="K46" s="2531">
        <v>1</v>
      </c>
      <c r="L46" s="3278" t="s">
        <v>2743</v>
      </c>
      <c r="M46" s="3278"/>
      <c r="N46" s="3279" t="str">
        <f>项目基本情况!B1</f>
        <v>吉林省长春市房地产市场价值预评估</v>
      </c>
      <c r="O46" s="3279"/>
      <c r="P46" s="3279"/>
      <c r="Q46" s="1307"/>
    </row>
    <row r="47" spans="1:17" ht="12" customHeight="1">
      <c r="A47" s="38" t="s">
        <v>1770</v>
      </c>
      <c r="B47" s="39"/>
      <c r="C47" s="40"/>
      <c r="D47" s="1098" t="s">
        <v>1771</v>
      </c>
      <c r="E47" s="235" t="s">
        <v>1772</v>
      </c>
      <c r="F47" s="41" t="s">
        <v>1773</v>
      </c>
      <c r="G47" s="2559" t="s">
        <v>1774</v>
      </c>
      <c r="H47" s="2972"/>
      <c r="I47" s="946"/>
      <c r="J47" s="2840"/>
      <c r="K47" s="2531">
        <v>2</v>
      </c>
      <c r="L47" s="3278" t="s">
        <v>2744</v>
      </c>
      <c r="M47" s="3278"/>
      <c r="N47" s="3280">
        <f>'数据-取费表'!B2</f>
        <v>44296</v>
      </c>
      <c r="O47" s="3280"/>
      <c r="P47" s="3280"/>
      <c r="Q47" s="1307"/>
    </row>
    <row r="48" spans="1:17" ht="25.5">
      <c r="A48" s="3353" t="s">
        <v>1776</v>
      </c>
      <c r="B48" s="3287"/>
      <c r="C48" s="3287"/>
      <c r="D48" s="12" t="e">
        <f ca="1">IF(H48="情况1",0,IF(H48="情况2",D52,IF(H48="情况3",D53,IF(H48="情况4",D54))))</f>
        <v>#REF!</v>
      </c>
      <c r="E48" s="2087" t="str">
        <f>IF(H48="情况4","(销售额-原购置价)×税（费）率","销售额×税（费）率")</f>
        <v>销售额×税（费）率</v>
      </c>
      <c r="F48" s="2560">
        <f>IF(H48="情况1","免征",'数据-取费表'!E29)</f>
        <v>5.6000000000000001E-2</v>
      </c>
      <c r="G48" s="2561" t="s">
        <v>1777</v>
      </c>
      <c r="H48" s="2562" t="s">
        <v>1778</v>
      </c>
      <c r="I48" s="2972"/>
      <c r="J48" s="2847"/>
      <c r="K48" s="2531">
        <v>3</v>
      </c>
      <c r="L48" s="3278" t="s">
        <v>2745</v>
      </c>
      <c r="M48" s="3278"/>
      <c r="N48" s="3279" t="e">
        <f ca="1">I102</f>
        <v>#REF!</v>
      </c>
      <c r="O48" s="3279"/>
      <c r="P48" s="3279"/>
      <c r="Q48" s="1307"/>
    </row>
    <row r="49" spans="1:17" ht="25.5" customHeight="1">
      <c r="A49" s="2086" t="s">
        <v>1780</v>
      </c>
      <c r="B49" s="3326" t="s">
        <v>1781</v>
      </c>
      <c r="C49" s="3326"/>
      <c r="D49" s="2563">
        <v>0</v>
      </c>
      <c r="E49" s="261" t="s">
        <v>1782</v>
      </c>
      <c r="F49" s="2564" t="s">
        <v>48</v>
      </c>
      <c r="G49" s="3268"/>
      <c r="H49" s="2565" t="s">
        <v>2819</v>
      </c>
      <c r="I49" s="2566"/>
      <c r="J49" s="2848"/>
      <c r="K49" s="2531">
        <v>4</v>
      </c>
      <c r="L49" s="3278" t="str">
        <f>IF(项目基本情况!F5="房地产抵押价值","房地产抵押价值","抵押担保权已注销时的房地产抵押价值")</f>
        <v>抵押担保权已注销时的房地产抵押价值</v>
      </c>
      <c r="M49" s="3278"/>
      <c r="N49" s="3279" t="str">
        <f>IF(项目基本情况!F5="房地产抵押价值",I110,I112)</f>
        <v>——</v>
      </c>
      <c r="O49" s="3279"/>
      <c r="P49" s="3279"/>
      <c r="Q49" s="1307"/>
    </row>
    <row r="50" spans="1:17" ht="25.5" customHeight="1">
      <c r="A50" s="2076"/>
      <c r="B50" s="3326" t="s">
        <v>1783</v>
      </c>
      <c r="C50" s="3326"/>
      <c r="D50" s="2567"/>
      <c r="E50" s="269"/>
      <c r="F50" s="2564"/>
      <c r="G50" s="3269"/>
      <c r="H50" s="2568" t="s">
        <v>2738</v>
      </c>
      <c r="I50" s="2566"/>
      <c r="J50" s="2848"/>
      <c r="K50" s="3278" t="s">
        <v>2746</v>
      </c>
      <c r="L50" s="3278"/>
      <c r="M50" s="3278"/>
      <c r="N50" s="3278"/>
      <c r="O50" s="3278"/>
      <c r="P50" s="3278"/>
      <c r="Q50" s="1307"/>
    </row>
    <row r="51" spans="1:17" ht="20.45" customHeight="1">
      <c r="A51" s="2569"/>
      <c r="B51" s="3326" t="s">
        <v>1785</v>
      </c>
      <c r="C51" s="3326"/>
      <c r="D51" s="1098"/>
      <c r="E51" s="264"/>
      <c r="F51" s="2564"/>
      <c r="G51" s="3270"/>
      <c r="H51" s="2568" t="s">
        <v>2739</v>
      </c>
      <c r="I51" s="2566"/>
      <c r="J51" s="2848"/>
      <c r="K51" s="2532" t="s">
        <v>2747</v>
      </c>
      <c r="L51" s="3278" t="s">
        <v>2748</v>
      </c>
      <c r="M51" s="3278"/>
      <c r="N51" s="2532" t="s">
        <v>2749</v>
      </c>
      <c r="O51" s="2532" t="s">
        <v>2750</v>
      </c>
      <c r="P51" s="2532" t="s">
        <v>2751</v>
      </c>
      <c r="Q51" s="1307"/>
    </row>
    <row r="52" spans="1:17" ht="24" customHeight="1">
      <c r="A52" s="2077" t="s">
        <v>1791</v>
      </c>
      <c r="B52" s="3326" t="s">
        <v>1792</v>
      </c>
      <c r="C52" s="3326"/>
      <c r="D52" s="1098" t="e">
        <f ca="1">ROUND(D45*'数据-取费表'!E29/(1+'数据-取费表'!F30),0)</f>
        <v>#REF!</v>
      </c>
      <c r="E52" s="2087" t="s">
        <v>1793</v>
      </c>
      <c r="F52" s="2570">
        <f>'数据-取费表'!E29</f>
        <v>5.6000000000000001E-2</v>
      </c>
      <c r="G52" s="2571"/>
      <c r="H52" s="946"/>
      <c r="I52" s="2973"/>
      <c r="J52" s="2848"/>
      <c r="K52" s="2531">
        <v>1</v>
      </c>
      <c r="L52" s="3267" t="s">
        <v>2752</v>
      </c>
      <c r="M52" s="3267"/>
      <c r="N52" s="2533" t="e">
        <f ca="1">D48</f>
        <v>#REF!</v>
      </c>
      <c r="O52" s="2531" t="str">
        <f>E48</f>
        <v>销售额×税（费）率</v>
      </c>
      <c r="P52" s="2534">
        <f>F48</f>
        <v>5.6000000000000001E-2</v>
      </c>
      <c r="Q52" s="1307"/>
    </row>
    <row r="53" spans="1:17" ht="12" customHeight="1">
      <c r="A53" s="2077" t="s">
        <v>1795</v>
      </c>
      <c r="B53" s="3338" t="s">
        <v>2831</v>
      </c>
      <c r="C53" s="3327"/>
      <c r="D53" s="1098" t="e">
        <f ca="1">ROUND(D45*'数据-取费表'!E29/(1+'数据-取费表'!F30),0)</f>
        <v>#REF!</v>
      </c>
      <c r="E53" s="2087" t="s">
        <v>1793</v>
      </c>
      <c r="F53" s="2570">
        <f>'数据-取费表'!E29</f>
        <v>5.6000000000000001E-2</v>
      </c>
      <c r="G53" s="2571"/>
      <c r="H53" s="946"/>
      <c r="I53" s="2973"/>
      <c r="J53" s="2848"/>
      <c r="K53" s="2531">
        <v>2</v>
      </c>
      <c r="L53" s="3267" t="s">
        <v>2753</v>
      </c>
      <c r="M53" s="3267"/>
      <c r="N53" s="2533">
        <f t="shared" ref="N53:P54" si="1">D55</f>
        <v>0</v>
      </c>
      <c r="O53" s="2531" t="str">
        <f t="shared" si="1"/>
        <v>销售额×税（费）率</v>
      </c>
      <c r="P53" s="2534" t="str">
        <f t="shared" si="1"/>
        <v>免征</v>
      </c>
      <c r="Q53" s="1307"/>
    </row>
    <row r="54" spans="1:17" ht="12" customHeight="1">
      <c r="A54" s="2077" t="s">
        <v>1797</v>
      </c>
      <c r="B54" s="3338" t="s">
        <v>2832</v>
      </c>
      <c r="C54" s="3327"/>
      <c r="D54" s="1098" t="e">
        <f ca="1">C68</f>
        <v>#REF!</v>
      </c>
      <c r="E54" s="264" t="s">
        <v>1798</v>
      </c>
      <c r="F54" s="2570">
        <f>'数据-取费表'!E29</f>
        <v>5.6000000000000001E-2</v>
      </c>
      <c r="G54" s="2571"/>
      <c r="H54" s="2974"/>
      <c r="I54" s="2973"/>
      <c r="J54" s="2848"/>
      <c r="K54" s="2531">
        <v>3</v>
      </c>
      <c r="L54" s="3267" t="s">
        <v>2754</v>
      </c>
      <c r="M54" s="3267"/>
      <c r="N54" s="2533">
        <f t="shared" si="1"/>
        <v>0</v>
      </c>
      <c r="O54" s="2531" t="str">
        <f t="shared" si="1"/>
        <v>增值额×税（费）率</v>
      </c>
      <c r="P54" s="2535" t="str">
        <f t="shared" si="1"/>
        <v>免征</v>
      </c>
      <c r="Q54" s="1307"/>
    </row>
    <row r="55" spans="1:17" ht="24" customHeight="1">
      <c r="A55" s="3291" t="s">
        <v>1800</v>
      </c>
      <c r="B55" s="3287"/>
      <c r="C55" s="3287"/>
      <c r="D55" s="12">
        <f>IF(H55="个人住宅",0,ROUND(D45*I55,0))</f>
        <v>0</v>
      </c>
      <c r="E55" s="2087" t="s">
        <v>1801</v>
      </c>
      <c r="F55" s="2570" t="str">
        <f>IF(H55="正常",I55,"免征")</f>
        <v>免征</v>
      </c>
      <c r="G55" s="2571"/>
      <c r="H55" s="2562" t="s">
        <v>2735</v>
      </c>
      <c r="I55" s="74">
        <f>'数据-取费表'!E37</f>
        <v>5.0000000000000001E-4</v>
      </c>
      <c r="J55" s="2848"/>
      <c r="K55" s="2531" t="str">
        <f>IF(H59="非个人房产","",4)</f>
        <v/>
      </c>
      <c r="L55" s="3267" t="str">
        <f>IF(H59="非个人房产","——","个人所得税")</f>
        <v>——</v>
      </c>
      <c r="M55" s="3267"/>
      <c r="N55" s="2536" t="str">
        <f>D59</f>
        <v>——</v>
      </c>
      <c r="O55" s="2537" t="str">
        <f>E59</f>
        <v>——</v>
      </c>
      <c r="P55" s="2538" t="str">
        <f>F59</f>
        <v>——</v>
      </c>
      <c r="Q55" s="1307"/>
    </row>
    <row r="56" spans="1:17" ht="24.75">
      <c r="A56" s="3291" t="s">
        <v>1803</v>
      </c>
      <c r="B56" s="3287"/>
      <c r="C56" s="3287"/>
      <c r="D56" s="12">
        <f>IF(H56="个人住宅",D57,D58)</f>
        <v>0</v>
      </c>
      <c r="E56" s="2087" t="s">
        <v>1804</v>
      </c>
      <c r="F56" s="2570" t="str">
        <f>IF(H56="正常",F58,"免征")</f>
        <v>免征</v>
      </c>
      <c r="G56" s="2572" t="s">
        <v>1805</v>
      </c>
      <c r="H56" s="2573" t="s">
        <v>2735</v>
      </c>
      <c r="I56" s="2975"/>
      <c r="J56" s="2848"/>
      <c r="K56" s="2531" t="str">
        <f>IF(项目基本情况!I6="上海银行",IF(K55="",4,K55+1),"")</f>
        <v/>
      </c>
      <c r="L56" s="3265" t="str">
        <f>IF(项目基本情况!I6="上海银行","其他处置费用","")</f>
        <v/>
      </c>
      <c r="M56" s="3285"/>
      <c r="N56" s="2533" t="str">
        <f>IF(项目基本情况!I6="上海银行",N69,"")</f>
        <v/>
      </c>
      <c r="O56" s="3265" t="str">
        <f>IF(项目基本情况!I6="上海银行","包含处置中涉及的律师、诉讼、拍卖、评估等费用","")</f>
        <v/>
      </c>
      <c r="P56" s="3266"/>
      <c r="Q56" s="1307"/>
    </row>
    <row r="57" spans="1:17" ht="12.75">
      <c r="A57" s="2077" t="s">
        <v>1780</v>
      </c>
      <c r="B57" s="3338" t="s">
        <v>1806</v>
      </c>
      <c r="C57" s="3327"/>
      <c r="D57" s="2563">
        <v>0</v>
      </c>
      <c r="E57" s="261" t="s">
        <v>1782</v>
      </c>
      <c r="F57" s="235"/>
      <c r="G57" s="2571"/>
      <c r="H57" s="2975"/>
      <c r="I57" s="2975"/>
      <c r="J57" s="2848"/>
      <c r="K57" s="3267">
        <f>IF(AND(K55="",K56=""),4,IF(项目基本情况!I6="上海银行",K56+1,K55+1))</f>
        <v>4</v>
      </c>
      <c r="L57" s="3267" t="s">
        <v>2755</v>
      </c>
      <c r="M57" s="2539" t="s">
        <v>2756</v>
      </c>
      <c r="N57" s="2540"/>
      <c r="O57" s="2541">
        <f ca="1">SUMIF(N52:N56,"&lt;9e307")</f>
        <v>0</v>
      </c>
      <c r="P57" s="2542"/>
      <c r="Q57" s="1305" t="e">
        <f ca="1">O57/N49</f>
        <v>#VALUE!</v>
      </c>
    </row>
    <row r="58" spans="1:17" ht="24.75">
      <c r="A58" s="2077" t="s">
        <v>1791</v>
      </c>
      <c r="B58" s="3338" t="s">
        <v>1809</v>
      </c>
      <c r="C58" s="3326"/>
      <c r="D58" s="12" t="e">
        <f ca="1">IF(H58="转让取得",C81,C97)</f>
        <v>#REF!</v>
      </c>
      <c r="E58" s="2087" t="s">
        <v>1804</v>
      </c>
      <c r="F58" s="235" t="s">
        <v>48</v>
      </c>
      <c r="G58" s="2571"/>
      <c r="H58" s="2573" t="s">
        <v>1810</v>
      </c>
      <c r="I58" s="2975"/>
      <c r="J58" s="2848"/>
      <c r="K58" s="3267"/>
      <c r="L58" s="3267"/>
      <c r="M58" s="2539" t="s">
        <v>2757</v>
      </c>
      <c r="N58" s="2543"/>
      <c r="O58" s="2544" t="str">
        <f ca="1">IF(H19="元",NUMBERSTRING(INT(O57),2)&amp;"元整",NUMBERSTRING(INT(O57*10000),2)&amp;"元整")</f>
        <v>零元整</v>
      </c>
      <c r="P58" s="2545"/>
      <c r="Q58" s="1307"/>
    </row>
    <row r="59" spans="1:17" ht="24.75" thickBot="1">
      <c r="A59" s="3354" t="s">
        <v>1812</v>
      </c>
      <c r="B59" s="3355"/>
      <c r="C59" s="3355"/>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8" t="s">
        <v>2810</v>
      </c>
      <c r="H59" s="2091" t="s">
        <v>2820</v>
      </c>
      <c r="I59" s="2877" t="s">
        <v>2821</v>
      </c>
      <c r="J59" s="2848"/>
      <c r="K59" s="3320">
        <f>K57+1</f>
        <v>5</v>
      </c>
      <c r="L59" s="3267" t="s">
        <v>2758</v>
      </c>
      <c r="M59" s="2531" t="s">
        <v>2756</v>
      </c>
      <c r="N59" s="2546"/>
      <c r="O59" s="2547" t="e">
        <f ca="1">N49-O57</f>
        <v>#VALUE!</v>
      </c>
      <c r="P59" s="2548"/>
      <c r="Q59" s="1307"/>
    </row>
    <row r="60" spans="1:17" ht="12" customHeight="1">
      <c r="A60" s="1454"/>
      <c r="B60" s="1458"/>
      <c r="C60" s="1458"/>
      <c r="D60" s="1458"/>
      <c r="E60" s="811"/>
      <c r="F60" s="2976"/>
      <c r="G60" s="2976"/>
      <c r="H60" s="2977"/>
      <c r="I60" s="31"/>
      <c r="K60" s="3321"/>
      <c r="L60" s="3267"/>
      <c r="M60" s="2539" t="s">
        <v>2757</v>
      </c>
      <c r="N60" s="2543"/>
      <c r="O60" s="2544" t="e">
        <f ca="1">IF(H19="元",NUMBERSTRING(INT(O59),2)&amp;"元整",NUMBERSTRING(INT(O59*10000),2)&amp;"元整")</f>
        <v>#VALUE!</v>
      </c>
      <c r="P60" s="2545"/>
      <c r="Q60" s="1307"/>
    </row>
    <row r="61" spans="1:17" ht="13.5" thickBot="1">
      <c r="A61" s="3356" t="s">
        <v>1814</v>
      </c>
      <c r="B61" s="3356"/>
      <c r="C61" s="3356"/>
      <c r="D61" s="3356"/>
      <c r="E61" s="3356"/>
      <c r="F61" s="2976"/>
      <c r="G61" s="2976"/>
      <c r="H61" s="2978"/>
      <c r="I61" s="31"/>
      <c r="K61" s="2531">
        <f>K59+1</f>
        <v>6</v>
      </c>
      <c r="L61" s="3267" t="s">
        <v>2759</v>
      </c>
      <c r="M61" s="3267"/>
      <c r="N61" s="2549"/>
      <c r="O61" s="2550" t="e">
        <f ca="1">IF(H19="元",ROUND(O59/项目基本情况!C12,0),ROUND(O59*10000/项目基本情况!C12,0))</f>
        <v>#VALUE!</v>
      </c>
      <c r="P61" s="2551"/>
      <c r="Q61" s="1307"/>
    </row>
    <row r="62" spans="1:17" ht="12.75">
      <c r="A62" s="3305" t="s">
        <v>1816</v>
      </c>
      <c r="B62" s="3306"/>
      <c r="C62" s="1604"/>
      <c r="D62" s="1604" t="s">
        <v>1817</v>
      </c>
      <c r="E62" s="45" t="s">
        <v>1818</v>
      </c>
      <c r="F62" s="2976"/>
      <c r="G62" s="2976"/>
      <c r="H62" s="2978"/>
      <c r="I62" s="31"/>
      <c r="K62" s="2552"/>
      <c r="L62" s="2552"/>
      <c r="M62" s="2552"/>
      <c r="N62" s="2552"/>
      <c r="O62" s="2552"/>
      <c r="P62" s="2552"/>
      <c r="Q62" s="1307"/>
    </row>
    <row r="63" spans="1:17" ht="12.75">
      <c r="A63" s="46">
        <v>1</v>
      </c>
      <c r="B63" s="47" t="s">
        <v>1819</v>
      </c>
      <c r="C63" s="2779" t="e">
        <f ca="1">ROUND((C64+C65)/(1+'数据-取费表'!F30),0)</f>
        <v>#REF!</v>
      </c>
      <c r="D63" s="47"/>
      <c r="E63" s="48"/>
      <c r="F63" s="2976"/>
      <c r="G63" s="2976"/>
      <c r="H63" s="2978"/>
      <c r="I63" s="31"/>
      <c r="K63" s="3286" t="s">
        <v>2760</v>
      </c>
      <c r="L63" s="2553" t="s">
        <v>2761</v>
      </c>
      <c r="M63" s="2553" t="e">
        <f>IF(N49&gt;10000,N49*0.5%,IF(AND(N49&gt;1000,N49&lt;=10000),N49*1%,IF(AND(N49&gt;100,N49&lt;=1000),N49*3%,IF(AND(N49&gt;10,N49&lt;=100),N49*5%,N49*8%))))</f>
        <v>#VALUE!</v>
      </c>
      <c r="N63" s="2554" t="e">
        <f>ROUND(M63,1)</f>
        <v>#VALUE!</v>
      </c>
      <c r="O63" s="2552"/>
      <c r="P63" s="2552"/>
      <c r="Q63" s="1307"/>
    </row>
    <row r="64" spans="1:17" ht="12.75">
      <c r="A64" s="49" t="s">
        <v>71</v>
      </c>
      <c r="B64" s="50" t="s">
        <v>1822</v>
      </c>
      <c r="C64" s="2780" t="e">
        <f ca="1">D45</f>
        <v>#REF!</v>
      </c>
      <c r="D64" s="50" t="s">
        <v>41</v>
      </c>
      <c r="E64" s="52"/>
      <c r="F64" s="2976"/>
      <c r="G64" s="2976"/>
      <c r="H64" s="2978"/>
      <c r="I64" s="31"/>
      <c r="K64" s="3286"/>
      <c r="L64" s="2553" t="s">
        <v>2762</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2763</v>
      </c>
      <c r="P64" s="2552"/>
      <c r="Q64" s="1307"/>
    </row>
    <row r="65" spans="1:36" ht="12.75">
      <c r="A65" s="49" t="s">
        <v>72</v>
      </c>
      <c r="B65" s="50" t="s">
        <v>1825</v>
      </c>
      <c r="C65" s="2781"/>
      <c r="D65" s="50"/>
      <c r="E65" s="52"/>
      <c r="F65" s="2976"/>
      <c r="G65" s="2976"/>
      <c r="H65" s="2978"/>
      <c r="I65" s="31"/>
      <c r="K65" s="3286"/>
      <c r="L65" s="2553" t="s">
        <v>2764</v>
      </c>
      <c r="M65" s="2553" t="e">
        <f>IF(N49&gt;1000,N49*0.1%,IF(AND(N49&gt;500,N49&lt;=1000),N49*0.5%,IF(AND(N49&gt;50,N49&lt;=500),N49*1%,IF(AND(N49&gt;1,N49&lt;=50),N49*1.5%))))</f>
        <v>#VALUE!</v>
      </c>
      <c r="N65" s="2554" t="e">
        <f t="shared" si="2"/>
        <v>#VALUE!</v>
      </c>
      <c r="O65" s="2552" t="s">
        <v>2763</v>
      </c>
      <c r="P65" s="2552"/>
      <c r="Q65" s="1307"/>
    </row>
    <row r="66" spans="1:36" ht="12.75">
      <c r="A66" s="53" t="s">
        <v>47</v>
      </c>
      <c r="B66" s="54" t="s">
        <v>1827</v>
      </c>
      <c r="C66" s="2782"/>
      <c r="D66" s="54" t="s">
        <v>41</v>
      </c>
      <c r="E66" s="1315" t="s">
        <v>1828</v>
      </c>
      <c r="F66" s="2976"/>
      <c r="G66" s="2976"/>
      <c r="H66" s="2978"/>
      <c r="I66" s="31"/>
      <c r="K66" s="3286"/>
      <c r="L66" s="2553" t="s">
        <v>2765</v>
      </c>
      <c r="M66" s="2553" t="e">
        <f>N49*0.5%</f>
        <v>#VALUE!</v>
      </c>
      <c r="N66" s="2554" t="e">
        <f>IF(M66&gt;0.5,0.5,ROUND(M66,0))</f>
        <v>#VALUE!</v>
      </c>
      <c r="O66" s="2552" t="s">
        <v>2766</v>
      </c>
      <c r="P66" s="2552"/>
      <c r="Q66" s="1307"/>
    </row>
    <row r="67" spans="1:36" ht="12.75">
      <c r="A67" s="53" t="s">
        <v>42</v>
      </c>
      <c r="B67" s="54" t="s">
        <v>1831</v>
      </c>
      <c r="C67" s="2783" t="e">
        <f ca="1">C63-C66</f>
        <v>#REF!</v>
      </c>
      <c r="D67" s="50" t="s">
        <v>41</v>
      </c>
      <c r="E67" s="52"/>
      <c r="F67" s="2976"/>
      <c r="G67" s="2976"/>
      <c r="H67" s="2978"/>
      <c r="I67" s="31"/>
      <c r="K67" s="3286"/>
      <c r="L67" s="2553" t="s">
        <v>2767</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7"/>
    </row>
    <row r="68" spans="1:36" ht="13.5" thickBot="1">
      <c r="A68" s="55" t="s">
        <v>46</v>
      </c>
      <c r="B68" s="56" t="s">
        <v>1833</v>
      </c>
      <c r="C68" s="2784" t="e">
        <f ca="1">IF(C67&lt;=0,0,ROUND(C67*D68,0))</f>
        <v>#REF!</v>
      </c>
      <c r="D68" s="2237">
        <f>'数据-取费表'!E29</f>
        <v>5.6000000000000001E-2</v>
      </c>
      <c r="E68" s="57"/>
      <c r="F68" s="2976"/>
      <c r="G68" s="2976"/>
      <c r="H68" s="2978"/>
      <c r="I68" s="31"/>
      <c r="K68" s="3286"/>
      <c r="L68" s="2553" t="s">
        <v>2768</v>
      </c>
      <c r="M68" s="2553" t="e">
        <f>IF(N49&gt;10000,N49*0.5%,IF(AND(N49&gt;5000,N49&lt;=10000),N49*1%,IF(AND(N49&gt;1000,N49&lt;=5000),N49*2%,IF(AND(N49&gt;200,N49&lt;=1000),N49*3%,N49*5%))))</f>
        <v>#VALUE!</v>
      </c>
      <c r="N68" s="2554" t="e">
        <f>ROUND(M68,1)</f>
        <v>#VALUE!</v>
      </c>
      <c r="O68" s="2552"/>
      <c r="P68" s="2552"/>
      <c r="Q68" s="1307"/>
    </row>
    <row r="69" spans="1:36" s="1462" customFormat="1" ht="7.5" customHeight="1">
      <c r="A69" s="1474"/>
      <c r="B69" s="1475"/>
      <c r="C69" s="1476"/>
      <c r="D69" s="1477"/>
      <c r="E69" s="1478"/>
      <c r="F69" s="811"/>
      <c r="G69" s="811"/>
      <c r="H69" s="1467"/>
      <c r="I69" s="1458"/>
      <c r="J69" s="2836"/>
      <c r="K69" s="3286"/>
      <c r="L69" s="2553" t="s">
        <v>54</v>
      </c>
      <c r="M69" s="2553"/>
      <c r="N69" s="2554" t="e">
        <f>ROUND(SUM(N63:N68),0)</f>
        <v>#VALUE!</v>
      </c>
      <c r="O69" s="2555" t="e">
        <f>N69/N49</f>
        <v>#VALUE!</v>
      </c>
      <c r="P69" s="2552"/>
      <c r="Q69" s="1307"/>
      <c r="R69" s="658"/>
      <c r="S69" s="658"/>
      <c r="T69" s="658"/>
      <c r="U69" s="658"/>
      <c r="V69" s="658"/>
      <c r="W69" s="658"/>
      <c r="X69" s="658"/>
      <c r="Y69" s="658"/>
      <c r="Z69" s="658"/>
      <c r="AA69" s="658"/>
      <c r="AB69" s="1307"/>
      <c r="AC69" s="1307"/>
      <c r="AD69" s="1307"/>
      <c r="AE69" s="1307"/>
      <c r="AF69" s="1307"/>
      <c r="AG69" s="1307"/>
      <c r="AH69" s="1307"/>
      <c r="AI69" s="1307"/>
      <c r="AJ69" s="1307"/>
    </row>
    <row r="70" spans="1:36" s="1480" customFormat="1" ht="15" thickBot="1">
      <c r="A70" s="3307" t="s">
        <v>1836</v>
      </c>
      <c r="B70" s="3308"/>
      <c r="C70" s="3308"/>
      <c r="D70" s="3308"/>
      <c r="E70" s="3308"/>
      <c r="F70" s="3308"/>
      <c r="G70" s="3308"/>
      <c r="H70" s="3308"/>
      <c r="I70" s="1479"/>
      <c r="J70" s="2849"/>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305" t="s">
        <v>1816</v>
      </c>
      <c r="B71" s="3306"/>
      <c r="C71" s="1604"/>
      <c r="D71" s="1604" t="s">
        <v>1817</v>
      </c>
      <c r="E71" s="58" t="s">
        <v>1818</v>
      </c>
      <c r="F71" s="59"/>
      <c r="G71" s="59"/>
      <c r="H71" s="60"/>
      <c r="I71" s="1482"/>
      <c r="J71" s="2850"/>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1837</v>
      </c>
      <c r="C72" s="2783" t="e">
        <f ca="1">ROUND(D45/(1+'数据-取费表'!F30),0)</f>
        <v>#REF!</v>
      </c>
      <c r="D72" s="50" t="s">
        <v>41</v>
      </c>
      <c r="E72" s="12" t="s">
        <v>1838</v>
      </c>
      <c r="F72" s="2084"/>
      <c r="G72" s="2084"/>
      <c r="H72" s="62"/>
      <c r="I72" s="1482"/>
      <c r="J72" s="2850"/>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1839</v>
      </c>
      <c r="C73" s="2783" t="e">
        <f ca="1">C74+C78</f>
        <v>#REF!</v>
      </c>
      <c r="D73" s="50" t="s">
        <v>41</v>
      </c>
      <c r="E73" s="2083"/>
      <c r="F73" s="2084"/>
      <c r="G73" s="2084"/>
      <c r="H73" s="62"/>
      <c r="I73" s="1482"/>
      <c r="J73" s="2850"/>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1840</v>
      </c>
      <c r="C74" s="50">
        <f>ROUND(IF(G77="2016年5月1日后购买",C75/(1+'数据-取费表'!F30)+C76+C77,C75+C76+C77),0)</f>
        <v>0</v>
      </c>
      <c r="D74" s="50" t="s">
        <v>41</v>
      </c>
      <c r="E74" s="2083"/>
      <c r="F74" s="2084"/>
      <c r="G74" s="2084"/>
      <c r="H74" s="62"/>
      <c r="I74" s="1482"/>
      <c r="J74" s="2850"/>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1841</v>
      </c>
      <c r="C75" s="2263"/>
      <c r="D75" s="50" t="s">
        <v>41</v>
      </c>
      <c r="E75" s="64" t="s">
        <v>1842</v>
      </c>
      <c r="F75" s="2787" t="s">
        <v>1843</v>
      </c>
      <c r="G75" s="64" t="s">
        <v>1844</v>
      </c>
      <c r="H75" s="2788"/>
      <c r="I75" s="9"/>
      <c r="J75" s="2851"/>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1845</v>
      </c>
      <c r="C76" s="50">
        <f>IF(F75="购房发票",ROUND(C75*H75*D76,0),0)</f>
        <v>0</v>
      </c>
      <c r="D76" s="2789">
        <v>0.05</v>
      </c>
      <c r="E76" s="3338" t="s">
        <v>1846</v>
      </c>
      <c r="F76" s="3326"/>
      <c r="G76" s="3326"/>
      <c r="H76" s="3339"/>
      <c r="I76" s="1482"/>
      <c r="J76" s="2850"/>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1847</v>
      </c>
      <c r="C77" s="50">
        <f>ROUND(IF(G77="个人住宅",0,IF(G77="2016年5月1日前购买",C75*D77,C75*D77/(1+'数据-取费表'!F30))),0)</f>
        <v>0</v>
      </c>
      <c r="D77" s="2790">
        <f>'数据-取费表'!E36+'数据-取费表'!E37</f>
        <v>5.0500000000000003E-2</v>
      </c>
      <c r="E77" s="12" t="s">
        <v>1848</v>
      </c>
      <c r="F77" s="2090"/>
      <c r="G77" s="1483" t="s">
        <v>1849</v>
      </c>
      <c r="H77" s="2085" t="str">
        <f>IF(G77="个人买卖住房","免征印花税"," ")</f>
        <v xml:space="preserve"> </v>
      </c>
      <c r="I77" s="1482"/>
      <c r="J77" s="2850"/>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1850</v>
      </c>
      <c r="C78" s="2791" t="e">
        <f ca="1">ROUND(D45*D78/(1+'数据-取费表'!F30),0)</f>
        <v>#REF!</v>
      </c>
      <c r="D78" s="2792">
        <f>'数据-取费表'!E31</f>
        <v>6.000000000000001E-3</v>
      </c>
      <c r="E78" s="3274" t="s">
        <v>1851</v>
      </c>
      <c r="F78" s="3275"/>
      <c r="G78" s="3275"/>
      <c r="H78" s="3295"/>
      <c r="I78" s="1484"/>
      <c r="J78" s="2852"/>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1852</v>
      </c>
      <c r="C79" s="2783" t="e">
        <f ca="1">C72-C73</f>
        <v>#REF!</v>
      </c>
      <c r="D79" s="50" t="s">
        <v>41</v>
      </c>
      <c r="E79" s="2083"/>
      <c r="F79" s="2084"/>
      <c r="G79" s="2084"/>
      <c r="H79" s="62"/>
      <c r="I79" s="1482"/>
      <c r="J79" s="2850"/>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1853</v>
      </c>
      <c r="C80" s="2793"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4"/>
      <c r="G80" s="2084"/>
      <c r="H80" s="62"/>
      <c r="I80" s="1482"/>
      <c r="J80" s="2850"/>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1854</v>
      </c>
      <c r="C81" s="2794" t="e">
        <f ca="1">ROUND(IF(C79&lt;=0,0,IF(C80&gt;=200%,C79*60%-C73*35%,IF(C80&gt;=100%,C79*50%-C73*15%,IF(C80&gt;=50%,C79*40%-C73*5%,IF(C80&lt;50%,C79*30%,0))))),0)</f>
        <v>#REF!</v>
      </c>
      <c r="D81" s="2167"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2"/>
      <c r="J81" s="2850"/>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52"/>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307" t="s">
        <v>1855</v>
      </c>
      <c r="B83" s="3308"/>
      <c r="C83" s="3308"/>
      <c r="D83" s="3308"/>
      <c r="E83" s="3308"/>
      <c r="F83" s="3308"/>
      <c r="G83" s="3308"/>
      <c r="H83" s="3308"/>
      <c r="I83" s="9"/>
      <c r="J83" s="2851"/>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305" t="s">
        <v>1816</v>
      </c>
      <c r="B84" s="3306"/>
      <c r="C84" s="1604"/>
      <c r="D84" s="1604" t="s">
        <v>1817</v>
      </c>
      <c r="E84" s="58" t="s">
        <v>1818</v>
      </c>
      <c r="F84" s="59"/>
      <c r="G84" s="59"/>
      <c r="H84" s="72"/>
      <c r="I84" s="9"/>
      <c r="J84" s="2851"/>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1837</v>
      </c>
      <c r="C85" s="2783" t="e">
        <f ca="1">ROUND(D45/(1+'数据-取费表'!F30),0)</f>
        <v>#REF!</v>
      </c>
      <c r="D85" s="50" t="s">
        <v>41</v>
      </c>
      <c r="E85" s="2083" t="s">
        <v>1838</v>
      </c>
      <c r="F85" s="2084"/>
      <c r="G85" s="2084"/>
      <c r="H85" s="73"/>
      <c r="I85" s="9"/>
      <c r="J85" s="2851"/>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1839</v>
      </c>
      <c r="C86" s="2783" t="e">
        <f ca="1">IF(H88="仅含出让金",C87+C90+C91+C92+C93+C94,C87+C91+C92+C93+C94)</f>
        <v>#REF!</v>
      </c>
      <c r="D86" s="2795"/>
      <c r="E86" s="2083"/>
      <c r="F86" s="2084"/>
      <c r="G86" s="2084"/>
      <c r="H86" s="73"/>
      <c r="I86" s="9"/>
      <c r="J86" s="2851"/>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1856</v>
      </c>
      <c r="C87" s="2791">
        <f>C88+C89</f>
        <v>0</v>
      </c>
      <c r="D87" s="2792"/>
      <c r="E87" s="2080"/>
      <c r="F87" s="2081"/>
      <c r="G87" s="2081"/>
      <c r="H87" s="2082"/>
      <c r="I87" s="9"/>
      <c r="J87" s="2851"/>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1857</v>
      </c>
      <c r="C88" s="2796"/>
      <c r="D88" s="2792"/>
      <c r="E88" s="74" t="s">
        <v>1858</v>
      </c>
      <c r="F88" s="2081"/>
      <c r="G88" s="75" t="s">
        <v>1859</v>
      </c>
      <c r="H88" s="1485"/>
      <c r="I88" s="9"/>
      <c r="J88" s="2851"/>
      <c r="K88" s="2967" t="s">
        <v>2814</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1847</v>
      </c>
      <c r="C89" s="2791">
        <f>ROUND(C88*D89,0)</f>
        <v>0</v>
      </c>
      <c r="D89" s="2792">
        <f>'数据-取费表'!E36+'数据-取费表'!E37</f>
        <v>5.0500000000000003E-2</v>
      </c>
      <c r="E89" s="74" t="s">
        <v>1860</v>
      </c>
      <c r="F89" s="2081"/>
      <c r="G89" s="2081"/>
      <c r="H89" s="2082"/>
      <c r="I89" s="9"/>
      <c r="J89" s="2851"/>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1861</v>
      </c>
      <c r="C90" s="2796"/>
      <c r="D90" s="2792"/>
      <c r="E90" s="74" t="str">
        <f>IF(H88="-","土地取得成本中已包含该笔费用"," ")</f>
        <v xml:space="preserve"> </v>
      </c>
      <c r="F90" s="2081"/>
      <c r="G90" s="3314" t="s">
        <v>2730</v>
      </c>
      <c r="H90" s="3314"/>
      <c r="I90" s="9"/>
      <c r="J90" s="2851"/>
      <c r="K90" s="2967" t="s">
        <v>2815</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1862</v>
      </c>
      <c r="C91" s="2791">
        <f>IF(H91="——",成本法!C33,I91)</f>
        <v>0</v>
      </c>
      <c r="D91" s="2792"/>
      <c r="E91" s="3274" t="s">
        <v>1863</v>
      </c>
      <c r="F91" s="3275"/>
      <c r="G91" s="3275"/>
      <c r="H91" s="1486" t="s">
        <v>1864</v>
      </c>
      <c r="I91" s="1487"/>
      <c r="J91" s="2853"/>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1865</v>
      </c>
      <c r="C92" s="2791">
        <f>ROUND((C87+C90+C91)*D92,0)</f>
        <v>0</v>
      </c>
      <c r="D92" s="2835">
        <v>0.1</v>
      </c>
      <c r="E92" s="3274" t="s">
        <v>1866</v>
      </c>
      <c r="F92" s="3275"/>
      <c r="G92" s="3275"/>
      <c r="H92" s="3295"/>
      <c r="I92" s="9"/>
      <c r="J92" s="2851"/>
      <c r="K92" s="2968" t="s">
        <v>2816</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1850</v>
      </c>
      <c r="C93" s="2791" t="e">
        <f ca="1">ROUND(D45*D93/(1+'数据-取费表'!F30),0)</f>
        <v>#REF!</v>
      </c>
      <c r="D93" s="2792">
        <f>'数据-取费表'!E31</f>
        <v>6.000000000000001E-3</v>
      </c>
      <c r="E93" s="3274" t="s">
        <v>1851</v>
      </c>
      <c r="F93" s="3275"/>
      <c r="G93" s="3275"/>
      <c r="H93" s="3295"/>
      <c r="I93" s="9"/>
      <c r="J93" s="2851"/>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1867</v>
      </c>
      <c r="C94" s="2791">
        <f>ROUND((C87+C90+C91)*D94,0)</f>
        <v>0</v>
      </c>
      <c r="D94" s="2792">
        <v>0.2</v>
      </c>
      <c r="E94" s="3274" t="s">
        <v>1868</v>
      </c>
      <c r="F94" s="3275"/>
      <c r="G94" s="3275"/>
      <c r="H94" s="3295"/>
      <c r="I94" s="9"/>
      <c r="J94" s="2851"/>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1852</v>
      </c>
      <c r="C95" s="2783" t="e">
        <f ca="1">ROUND(C85-C86,0)</f>
        <v>#REF!</v>
      </c>
      <c r="D95" s="50" t="s">
        <v>41</v>
      </c>
      <c r="E95" s="2083"/>
      <c r="F95" s="2084"/>
      <c r="G95" s="2084"/>
      <c r="H95" s="73"/>
      <c r="I95" s="9"/>
      <c r="J95" s="2851"/>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1853</v>
      </c>
      <c r="C96" s="2793"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4"/>
      <c r="G96" s="2084"/>
      <c r="H96" s="73"/>
      <c r="I96" s="9"/>
      <c r="J96" s="2851"/>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1854</v>
      </c>
      <c r="C97" s="2794" t="e">
        <f ca="1">ROUND(IF(C95&lt;=0,0,IF(C96&gt;=200%,C95*60%-C86*35%,IF(C96&gt;=100%,C95*50%-C86*15%,IF(C96&gt;=50%,C95*40%-C86*5%,IF(C96&lt;50%,C95*30%,0))))),0)</f>
        <v>#REF!</v>
      </c>
      <c r="D97" s="2167"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1"/>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1869</v>
      </c>
      <c r="B98" s="1458"/>
      <c r="C98" s="1458"/>
      <c r="D98" s="1458"/>
      <c r="E98" s="811"/>
      <c r="F98" s="811"/>
      <c r="G98" s="811"/>
      <c r="H98" s="1467"/>
      <c r="I98" s="1458"/>
    </row>
    <row r="99" spans="1:36" ht="15.75">
      <c r="A99" s="3292" t="s">
        <v>1870</v>
      </c>
      <c r="B99" s="3293"/>
      <c r="C99" s="3293"/>
      <c r="D99" s="3294"/>
      <c r="E99" s="1458"/>
      <c r="F99" s="3302" t="s">
        <v>1871</v>
      </c>
      <c r="G99" s="3303"/>
      <c r="H99" s="3303"/>
      <c r="I99" s="3304"/>
      <c r="J99" s="2854"/>
    </row>
    <row r="100" spans="1:36" ht="15">
      <c r="A100" s="3309" t="s">
        <v>1872</v>
      </c>
      <c r="B100" s="3310"/>
      <c r="C100" s="1306">
        <f>C4</f>
        <v>0</v>
      </c>
      <c r="D100" s="2802">
        <f>D4</f>
        <v>0</v>
      </c>
      <c r="E100" s="1458"/>
      <c r="F100" s="3311" t="s">
        <v>2774</v>
      </c>
      <c r="G100" s="3313"/>
      <c r="H100" s="3311" t="s">
        <v>2775</v>
      </c>
      <c r="I100" s="3312"/>
      <c r="J100" s="2855"/>
    </row>
    <row r="101" spans="1:36" ht="12.75">
      <c r="A101" s="3328" t="s">
        <v>2807</v>
      </c>
      <c r="B101" s="2302" t="str">
        <f>IF(H19="元","总价（元）","总价（万元）")</f>
        <v>总价（元）</v>
      </c>
      <c r="C101" s="1306" t="e">
        <f ca="1">C19</f>
        <v>#REF!</v>
      </c>
      <c r="D101" s="2802" t="e">
        <f ca="1">D19</f>
        <v>#REF!</v>
      </c>
      <c r="E101" s="1458"/>
      <c r="F101" s="3311" t="str">
        <f>项目基本情况!I1</f>
        <v>吉林省长春市房地产</v>
      </c>
      <c r="G101" s="3313"/>
      <c r="H101" s="3315">
        <f>项目基本情况!C12</f>
        <v>82.35</v>
      </c>
      <c r="I101" s="3312"/>
      <c r="J101" s="2855"/>
    </row>
    <row r="102" spans="1:36" ht="12.75">
      <c r="A102" s="3328"/>
      <c r="B102" s="2302" t="s">
        <v>2808</v>
      </c>
      <c r="C102" s="2803" t="e">
        <f ca="1">C20</f>
        <v>#REF!</v>
      </c>
      <c r="D102" s="2804" t="e">
        <f ca="1">D20</f>
        <v>#REF!</v>
      </c>
      <c r="E102" s="1458"/>
      <c r="F102" s="3298" t="s">
        <v>2804</v>
      </c>
      <c r="G102" s="3299"/>
      <c r="H102" s="2812" t="str">
        <f>C106</f>
        <v>总价（元）</v>
      </c>
      <c r="I102" s="2813" t="e">
        <f ca="1">H121</f>
        <v>#REF!</v>
      </c>
      <c r="J102" s="2855"/>
    </row>
    <row r="103" spans="1:36" ht="12.75">
      <c r="A103" s="3328" t="s">
        <v>2809</v>
      </c>
      <c r="B103" s="2240" t="str">
        <f>B101</f>
        <v>总价（元）</v>
      </c>
      <c r="C103" s="2807" t="e">
        <f ca="1">H121</f>
        <v>#REF!</v>
      </c>
      <c r="D103" s="2805"/>
      <c r="E103" s="1458"/>
      <c r="F103" s="3298"/>
      <c r="G103" s="3299"/>
      <c r="H103" s="2812" t="s">
        <v>2777</v>
      </c>
      <c r="I103" s="52" t="e">
        <f ca="1">I121</f>
        <v>#REF!</v>
      </c>
      <c r="J103" s="2839"/>
    </row>
    <row r="104" spans="1:36" ht="13.5" thickBot="1">
      <c r="A104" s="3329"/>
      <c r="B104" s="2809" t="s">
        <v>2808</v>
      </c>
      <c r="C104" s="2810" t="e">
        <f ca="1">I121</f>
        <v>#REF!</v>
      </c>
      <c r="D104" s="2811"/>
      <c r="E104" s="1458"/>
      <c r="F104" s="3298"/>
      <c r="G104" s="3299"/>
      <c r="H104" s="3330"/>
      <c r="I104" s="3331"/>
      <c r="J104" s="2856"/>
    </row>
    <row r="105" spans="1:36" ht="15">
      <c r="A105" s="3292" t="s">
        <v>1873</v>
      </c>
      <c r="B105" s="3293"/>
      <c r="C105" s="3293"/>
      <c r="D105" s="3294"/>
      <c r="E105" s="1458"/>
      <c r="F105" s="3334" t="s">
        <v>2778</v>
      </c>
      <c r="G105" s="3335"/>
      <c r="H105" s="2814" t="str">
        <f>C108</f>
        <v>总额（元）</v>
      </c>
      <c r="I105" s="2813">
        <f>SUMIF(I106:I108,"&lt;9E307")</f>
        <v>0</v>
      </c>
      <c r="J105" s="2855"/>
    </row>
    <row r="106" spans="1:36" ht="14.25">
      <c r="A106" s="3298" t="s">
        <v>2801</v>
      </c>
      <c r="B106" s="3299"/>
      <c r="C106" s="2812" t="str">
        <f>B101</f>
        <v>总价（元）</v>
      </c>
      <c r="D106" s="2813" t="e">
        <f ca="1">H121</f>
        <v>#REF!</v>
      </c>
      <c r="E106" s="1458"/>
      <c r="F106" s="3300" t="s">
        <v>2779</v>
      </c>
      <c r="G106" s="3301"/>
      <c r="H106" s="2814" t="str">
        <f>C109</f>
        <v>总额（元）</v>
      </c>
      <c r="I106" s="2815">
        <f>IF(D36="同一抵押权人同一抵押物续贷",C36&amp;"（续贷，未扣减，详见特别提示）",C36)</f>
        <v>0</v>
      </c>
      <c r="J106" s="2839"/>
      <c r="L106" s="1461" t="str">
        <f>IF(D123=0,"本次评估不存在"&amp;A123&amp;"。","本次评估"&amp;A123&amp;"为"&amp;D123&amp;"元人民币。")</f>
        <v>本次评估不存在——。</v>
      </c>
      <c r="M106" s="1458"/>
      <c r="N106" s="1458"/>
      <c r="O106" s="1458"/>
      <c r="P106" s="1458"/>
      <c r="Q106" s="1458"/>
    </row>
    <row r="107" spans="1:36" ht="12.75">
      <c r="A107" s="3298"/>
      <c r="B107" s="3299"/>
      <c r="C107" s="2812" t="s">
        <v>2802</v>
      </c>
      <c r="D107" s="52" t="e">
        <f ca="1">I121</f>
        <v>#REF!</v>
      </c>
      <c r="E107" s="1458"/>
      <c r="F107" s="3300" t="s">
        <v>2780</v>
      </c>
      <c r="G107" s="3301"/>
      <c r="H107" s="2814" t="str">
        <f>C110</f>
        <v>总额（元）</v>
      </c>
      <c r="I107" s="52">
        <f>C37</f>
        <v>0</v>
      </c>
      <c r="J107" s="2839"/>
    </row>
    <row r="108" spans="1:36" ht="12.75">
      <c r="A108" s="3369" t="s">
        <v>2778</v>
      </c>
      <c r="B108" s="3370"/>
      <c r="C108" s="2814" t="str">
        <f>IF(H19="元","总额（元）","总额（万元）")</f>
        <v>总额（元）</v>
      </c>
      <c r="D108" s="2813">
        <f>IF(D36="正常操作",I106+I107+I108,I107+I108)</f>
        <v>0</v>
      </c>
      <c r="E108" s="1458"/>
      <c r="F108" s="3300" t="s">
        <v>2805</v>
      </c>
      <c r="G108" s="3301"/>
      <c r="H108" s="2814" t="str">
        <f>C111</f>
        <v>总额（元）</v>
      </c>
      <c r="I108" s="52">
        <f>C38</f>
        <v>0</v>
      </c>
      <c r="J108" s="2839"/>
    </row>
    <row r="109" spans="1:36" ht="12.75">
      <c r="A109" s="3300" t="s">
        <v>2779</v>
      </c>
      <c r="B109" s="3301"/>
      <c r="C109" s="2814" t="str">
        <f>C108</f>
        <v>总额（元）</v>
      </c>
      <c r="D109" s="52">
        <f>IF(D36="同一抵押权人同一抵押物续贷",C36&amp;"（未扣减，详见特别提示）",C36)</f>
        <v>0</v>
      </c>
      <c r="E109" s="1458"/>
      <c r="F109" s="3298"/>
      <c r="G109" s="3299"/>
      <c r="H109" s="3332"/>
      <c r="I109" s="3333"/>
      <c r="J109" s="2857"/>
    </row>
    <row r="110" spans="1:36" ht="28.5" customHeight="1">
      <c r="A110" s="3300" t="s">
        <v>2803</v>
      </c>
      <c r="B110" s="3301"/>
      <c r="C110" s="2814" t="str">
        <f>C108</f>
        <v>总额（元）</v>
      </c>
      <c r="D110" s="52">
        <f>C37</f>
        <v>0</v>
      </c>
      <c r="E110" s="1458"/>
      <c r="F110" s="3281" t="str">
        <f>IF(项目基本情况!F5="已注销","——","3.房地产抵押价值")</f>
        <v>3.房地产抵押价值</v>
      </c>
      <c r="G110" s="3282"/>
      <c r="H110" s="2800" t="str">
        <f>C112</f>
        <v>总价（元）</v>
      </c>
      <c r="I110" s="2813" t="e">
        <f ca="1">IF(F110="——","——",I102-I105)</f>
        <v>#REF!</v>
      </c>
      <c r="J110" s="2855"/>
    </row>
    <row r="111" spans="1:36" ht="12.75">
      <c r="A111" s="3300" t="s">
        <v>2782</v>
      </c>
      <c r="B111" s="3301"/>
      <c r="C111" s="2814" t="str">
        <f>C108</f>
        <v>总额（元）</v>
      </c>
      <c r="D111" s="52">
        <f>C38</f>
        <v>0</v>
      </c>
      <c r="E111" s="1458"/>
      <c r="F111" s="3283"/>
      <c r="G111" s="3284"/>
      <c r="H111" s="2812" t="s">
        <v>2777</v>
      </c>
      <c r="I111" s="2816" t="e">
        <f ca="1">D113</f>
        <v>#REF!</v>
      </c>
      <c r="J111" s="2858"/>
    </row>
    <row r="112" spans="1:36" ht="26.25" customHeight="1">
      <c r="A112" s="3298" t="str">
        <f>IF(项目基本情况!F5="已注销","——","3.房地产抵押价值")</f>
        <v>3.房地产抵押价值</v>
      </c>
      <c r="B112" s="3299"/>
      <c r="C112" s="2812" t="str">
        <f>B101</f>
        <v>总价（元）</v>
      </c>
      <c r="D112" s="2813" t="e">
        <f ca="1">IF(A112="——","——",D106-D108)</f>
        <v>#REF!</v>
      </c>
      <c r="E112" s="1458"/>
      <c r="F112" s="3281" t="str">
        <f>IF(项目基本情况!F5="已注销及未注销","4.抵押担保权已注销时的房地产抵押价值",IF(项目基本情况!F5="已注销","3.抵押担保权已注销时的房地产抵押价值","——"))</f>
        <v>——</v>
      </c>
      <c r="G112" s="3282"/>
      <c r="H112" s="2800" t="str">
        <f>C114</f>
        <v>总价（元）</v>
      </c>
      <c r="I112" s="2813" t="str">
        <f>IF(F112="——","——",I102-I107-I108)</f>
        <v>——</v>
      </c>
      <c r="J112" s="2855"/>
    </row>
    <row r="113" spans="1:16" ht="12.75">
      <c r="A113" s="3298"/>
      <c r="B113" s="3299"/>
      <c r="C113" s="2812" t="s">
        <v>2770</v>
      </c>
      <c r="D113" s="52" t="e">
        <f ca="1">ROUND(IF(D112=D106,D107,IF(H19="元",D112/项目基本情况!C12,D112*10000/项目基本情况!C12)),0)</f>
        <v>#REF!</v>
      </c>
      <c r="E113" s="1458"/>
      <c r="F113" s="3283"/>
      <c r="G113" s="3284"/>
      <c r="H113" s="2812" t="s">
        <v>2806</v>
      </c>
      <c r="I113" s="52" t="str">
        <f>D115</f>
        <v>——</v>
      </c>
      <c r="J113" s="2839"/>
    </row>
    <row r="114" spans="1:16" ht="12.75">
      <c r="A114" s="3298" t="str">
        <f>IF(项目基本情况!F5="已注销及未注销","4.抵押担保权已注销时的房地产抵押价值",IF(项目基本情况!F5="已注销","3.抵押担保权已注销时的房地产抵押价值","——"))</f>
        <v>——</v>
      </c>
      <c r="B114" s="3299"/>
      <c r="C114" s="2812" t="str">
        <f>B101</f>
        <v>总价（元）</v>
      </c>
      <c r="D114" s="2813" t="str">
        <f>IF(A114="——","——",D106-D110-D111)</f>
        <v>——</v>
      </c>
      <c r="E114" s="1458"/>
      <c r="F114" s="3281" t="str">
        <f>IF(项目基本情况!G5="抵押净值",IF(OR(项目基本情况!F5="已注销",项目基本情况!F5="房地产抵押价值"),"4.抵押净值","5.抵押净值"),"——")</f>
        <v>——</v>
      </c>
      <c r="G114" s="3282"/>
      <c r="H114" s="2812" t="str">
        <f>C116</f>
        <v>总价（元）</v>
      </c>
      <c r="I114" s="2813" t="str">
        <f>IF(F114="——","——",O59)</f>
        <v>——</v>
      </c>
      <c r="J114" s="2855"/>
    </row>
    <row r="115" spans="1:16" ht="13.5" thickBot="1">
      <c r="A115" s="3298"/>
      <c r="B115" s="3299"/>
      <c r="C115" s="2812" t="s">
        <v>2770</v>
      </c>
      <c r="D115" s="52" t="str">
        <f>IF(A114="——","——",ROUND(IF(D114=D106,D107,IF(H19="元",D114/项目基本情况!C12,D114*10000/项目基本情况!C12)),0))</f>
        <v>——</v>
      </c>
      <c r="E115" s="1458"/>
      <c r="F115" s="3361"/>
      <c r="G115" s="3362"/>
      <c r="H115" s="2817" t="s">
        <v>2770</v>
      </c>
      <c r="I115" s="2801" t="e">
        <f ca="1">D117</f>
        <v>#REF!</v>
      </c>
      <c r="J115" s="2839"/>
    </row>
    <row r="116" spans="1:16" ht="15.75">
      <c r="A116" s="3298" t="str">
        <f>IF(项目基本情况!G5="抵押净值",IF(OR(项目基本情况!F5="已注销",项目基本情况!F5="房地产抵押价值"),"4.抵押净值","5.抵押净值"),"——")</f>
        <v>——</v>
      </c>
      <c r="B116" s="3299"/>
      <c r="C116" s="2812" t="str">
        <f>B101</f>
        <v>总价（元）</v>
      </c>
      <c r="D116" s="2813" t="str">
        <f>IF(A116="——","——",O59)</f>
        <v>——</v>
      </c>
      <c r="E116" s="1458"/>
      <c r="F116" s="3276"/>
      <c r="G116" s="3276"/>
      <c r="H116" s="3317"/>
      <c r="I116" s="3317"/>
      <c r="J116" s="2859"/>
      <c r="O116" s="32"/>
      <c r="P116" s="32"/>
    </row>
    <row r="117" spans="1:16" ht="13.5" thickBot="1">
      <c r="A117" s="3367"/>
      <c r="B117" s="3368"/>
      <c r="C117" s="2817" t="s">
        <v>2770</v>
      </c>
      <c r="D117" s="2801" t="e">
        <f ca="1">IF(D116=D112,D113,IF(A116="——","——",O61))</f>
        <v>#REF!</v>
      </c>
      <c r="E117" s="1458"/>
      <c r="F117" s="3360" t="str">
        <f>IF(B32="总价","（以上估价结果中单价为总价除以建筑面积得出）","（以上估价结果中总价为楼面单价乘以建筑面积得出）")</f>
        <v>（以上估价结果中总价为楼面单价乘以建筑面积得出）</v>
      </c>
      <c r="G117" s="3360"/>
      <c r="H117" s="3360"/>
      <c r="I117" s="3360"/>
      <c r="J117" s="2860"/>
      <c r="O117" s="32"/>
      <c r="P117" s="32"/>
    </row>
    <row r="118" spans="1:16" ht="15">
      <c r="A118" s="3318" t="s">
        <v>1874</v>
      </c>
      <c r="B118" s="3319"/>
      <c r="C118" s="3319"/>
      <c r="D118" s="3319"/>
      <c r="E118" s="3319"/>
      <c r="F118" s="3319"/>
      <c r="G118" s="3319"/>
      <c r="H118" s="3319"/>
      <c r="I118" s="3319"/>
      <c r="J118" s="2861"/>
    </row>
    <row r="119" spans="1:16" ht="12.75">
      <c r="A119" s="3291" t="s">
        <v>2788</v>
      </c>
      <c r="B119" s="3289" t="s">
        <v>2798</v>
      </c>
      <c r="C119" s="3289" t="s">
        <v>2799</v>
      </c>
      <c r="D119" s="3296" t="s">
        <v>2790</v>
      </c>
      <c r="E119" s="3297"/>
      <c r="F119" s="3287" t="s">
        <v>2800</v>
      </c>
      <c r="G119" s="3287"/>
      <c r="H119" s="3287" t="s">
        <v>2791</v>
      </c>
      <c r="I119" s="3288"/>
      <c r="J119" s="2839"/>
    </row>
    <row r="120" spans="1:16" ht="12.75">
      <c r="A120" s="3291"/>
      <c r="B120" s="3290"/>
      <c r="C120" s="3290"/>
      <c r="D120" s="2087" t="s">
        <v>2792</v>
      </c>
      <c r="E120" s="2087" t="s">
        <v>2797</v>
      </c>
      <c r="F120" s="2087" t="s">
        <v>2792</v>
      </c>
      <c r="G120" s="2087" t="s">
        <v>2793</v>
      </c>
      <c r="H120" s="2087" t="s">
        <v>2792</v>
      </c>
      <c r="I120" s="52" t="s">
        <v>2793</v>
      </c>
      <c r="J120" s="2839"/>
    </row>
    <row r="121" spans="1:16" ht="25.5">
      <c r="A121" s="2077" t="str">
        <f>项目基本情况!I1</f>
        <v>吉林省长春市房地产</v>
      </c>
      <c r="B121" s="2087">
        <f>项目基本情况!C12</f>
        <v>82.35</v>
      </c>
      <c r="C121" s="2087">
        <f>项目基本情况!C13</f>
        <v>0</v>
      </c>
      <c r="D121" s="2087" t="e">
        <f ca="1">ROUND(IF(B32="总价",C34,IF('数据-取费表'!B3="万元",E121*B121/10000,E121*B121)),0)</f>
        <v>#REF!</v>
      </c>
      <c r="E121" s="2087" t="e">
        <f ca="1">ROUND(IF(B32="楼面单价",C34,IF(H19="元",D121/B121,D121*10000/B121)),0)</f>
        <v>#REF!</v>
      </c>
      <c r="F121" s="2087" t="e">
        <f ca="1">ROUND(IF(B32="总价",C35,IF('数据-取费表'!B3="万元",G121*B121/10000,G121*B121)),0)</f>
        <v>#REF!</v>
      </c>
      <c r="G121" s="2087" t="e">
        <f ca="1">ROUND(IF(B32="楼面单价",C35,IF(H19="元",F121/B121,F121*10000/B121)),0)</f>
        <v>#REF!</v>
      </c>
      <c r="H121" s="2087" t="e">
        <f ca="1">ROUND(IF(B32="总价",C32,IF('数据-取费表'!B3="万元",I121*B121/10000,I121*B121)),0)</f>
        <v>#REF!</v>
      </c>
      <c r="I121" s="52" t="e">
        <f ca="1">ROUND(IF(B32="楼面单价",C32,IF(H19="元",H121/B121,H121*10000/B121)),0)</f>
        <v>#REF!</v>
      </c>
      <c r="J121" s="2839"/>
    </row>
    <row r="122" spans="1:16" ht="12.75">
      <c r="A122" s="3291" t="s">
        <v>2794</v>
      </c>
      <c r="B122" s="3287"/>
      <c r="C122" s="3287"/>
      <c r="D122" s="3322" t="e">
        <f ca="1">IF(H19="元",NUMBERSTRING(INT(D121),2)&amp;"元整",NUMBERSTRING(INT(D121*10000),2)&amp;"元整")</f>
        <v>#REF!</v>
      </c>
      <c r="E122" s="3323"/>
      <c r="F122" s="3322" t="e">
        <f ca="1">IF(H19="元",NUMBERSTRING(INT(F121),2)&amp;"元整",NUMBERSTRING(INT(F121*10000),2)&amp;"元整")</f>
        <v>#REF!</v>
      </c>
      <c r="G122" s="3323"/>
      <c r="H122" s="3322" t="e">
        <f ca="1">IF(H19="元",NUMBERSTRING(INT(H121),2)&amp;"元整",NUMBERSTRING(INT(H121*10000),2)&amp;"元整")</f>
        <v>#REF!</v>
      </c>
      <c r="I122" s="3371"/>
      <c r="J122" s="2862"/>
    </row>
    <row r="123" spans="1:16" ht="12.75">
      <c r="A123" s="3311" t="str">
        <f>IF(项目基本情况!D5="房地产市场价值","——",MID(A108,3,LEN(A108)-2))</f>
        <v>——</v>
      </c>
      <c r="B123" s="3324"/>
      <c r="C123" s="3313"/>
      <c r="D123" s="3315">
        <f>I105</f>
        <v>0</v>
      </c>
      <c r="E123" s="3324"/>
      <c r="F123" s="3324"/>
      <c r="G123" s="3324"/>
      <c r="H123" s="3324"/>
      <c r="I123" s="3312"/>
      <c r="J123" s="2855"/>
    </row>
    <row r="124" spans="1:16" ht="12.75">
      <c r="A124" s="3325" t="s">
        <v>2794</v>
      </c>
      <c r="B124" s="3326"/>
      <c r="C124" s="3327"/>
      <c r="D124" s="3363">
        <f>H109</f>
        <v>0</v>
      </c>
      <c r="E124" s="3364"/>
      <c r="F124" s="3364"/>
      <c r="G124" s="3364"/>
      <c r="H124" s="3364"/>
      <c r="I124" s="3365"/>
      <c r="J124" s="2863"/>
    </row>
    <row r="125" spans="1:16" ht="12.75">
      <c r="A125" s="3298" t="str">
        <f>IF(项目基本情况!D5="房地产市场价值","——",MID(A112,3,LEN(A112)-2))</f>
        <v>——</v>
      </c>
      <c r="B125" s="3299"/>
      <c r="C125" s="3299"/>
      <c r="D125" s="3315" t="e">
        <f ca="1">I110</f>
        <v>#REF!</v>
      </c>
      <c r="E125" s="3324"/>
      <c r="F125" s="3324"/>
      <c r="G125" s="3324"/>
      <c r="H125" s="3324"/>
      <c r="I125" s="3312"/>
      <c r="J125" s="2855"/>
    </row>
    <row r="126" spans="1:16" ht="12.75">
      <c r="A126" s="3291" t="s">
        <v>2794</v>
      </c>
      <c r="B126" s="3287"/>
      <c r="C126" s="3287"/>
      <c r="D126" s="3363" t="e">
        <f ca="1">I111</f>
        <v>#REF!</v>
      </c>
      <c r="E126" s="3364"/>
      <c r="F126" s="3364"/>
      <c r="G126" s="3364"/>
      <c r="H126" s="3364"/>
      <c r="I126" s="3365"/>
      <c r="J126" s="2863"/>
    </row>
    <row r="127" spans="1:16" ht="13.5" thickBot="1">
      <c r="A127" s="3298" t="str">
        <f>IF(项目基本情况!D5="房地产市场价值","——",MID(A114,3,LEN(A114)-2))</f>
        <v>——</v>
      </c>
      <c r="B127" s="3299"/>
      <c r="C127" s="3299"/>
      <c r="D127" s="3271" t="str">
        <f>I112</f>
        <v>——</v>
      </c>
      <c r="E127" s="3272"/>
      <c r="F127" s="3272"/>
      <c r="G127" s="3272"/>
      <c r="H127" s="3272"/>
      <c r="I127" s="3273"/>
      <c r="J127" s="2855"/>
    </row>
    <row r="128" spans="1:16" ht="14.25" thickTop="1" thickBot="1">
      <c r="A128" s="3291" t="s">
        <v>2794</v>
      </c>
      <c r="B128" s="3287"/>
      <c r="C128" s="3338"/>
      <c r="D128" s="3316" t="str">
        <f>I113</f>
        <v>——</v>
      </c>
      <c r="E128" s="3316"/>
      <c r="F128" s="3316"/>
      <c r="G128" s="3316"/>
      <c r="H128" s="3316"/>
      <c r="I128" s="3316"/>
      <c r="J128" s="2863"/>
    </row>
    <row r="129" spans="1:10" ht="14.25" thickTop="1" thickBot="1">
      <c r="A129" s="3298" t="str">
        <f>IF(项目基本情况!D5="房地产市场价值","——",MID(F114,3,LEN(F114)-2))</f>
        <v>——</v>
      </c>
      <c r="B129" s="3299"/>
      <c r="C129" s="3315"/>
      <c r="D129" s="3366" t="str">
        <f>I114</f>
        <v>——</v>
      </c>
      <c r="E129" s="3366"/>
      <c r="F129" s="3366"/>
      <c r="G129" s="3366"/>
      <c r="H129" s="3366"/>
      <c r="I129" s="3366"/>
      <c r="J129" s="2855"/>
    </row>
    <row r="130" spans="1:10" ht="14.25" thickTop="1" thickBot="1">
      <c r="A130" s="3354" t="s">
        <v>2794</v>
      </c>
      <c r="B130" s="3355"/>
      <c r="C130" s="3355"/>
      <c r="D130" s="3372">
        <f>H116</f>
        <v>0</v>
      </c>
      <c r="E130" s="3373"/>
      <c r="F130" s="3373"/>
      <c r="G130" s="3373"/>
      <c r="H130" s="3373"/>
      <c r="I130" s="3374"/>
      <c r="J130" s="2863"/>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4"/>
    </row>
    <row r="132" spans="1:10" ht="13.5" thickBot="1">
      <c r="A132" s="3359" t="str">
        <f>IF(B32="总价","（以上估价结果中楼面单价为总价除以建筑面积得出）","（以上估价结果中总价为楼面单价乘以建筑面积得出）")</f>
        <v>（以上估价结果中总价为楼面单价乘以建筑面积得出）</v>
      </c>
      <c r="B132" s="3359"/>
      <c r="C132" s="3359"/>
      <c r="D132" s="3359"/>
      <c r="E132" s="3359"/>
      <c r="F132" s="3359"/>
      <c r="G132" s="3359"/>
      <c r="H132" s="3359"/>
      <c r="I132" s="3359"/>
      <c r="J132" s="2857"/>
    </row>
    <row r="133" spans="1:10" ht="21.75" customHeight="1">
      <c r="A133" s="1488" t="s">
        <v>1875</v>
      </c>
      <c r="B133" s="1489"/>
      <c r="C133" s="1490" t="s">
        <v>1876</v>
      </c>
      <c r="D133" s="1491"/>
      <c r="E133" s="1491"/>
      <c r="F133" s="1491"/>
      <c r="G133" s="1491"/>
      <c r="H133" s="1492"/>
      <c r="I133" s="1493"/>
      <c r="J133" s="2865"/>
    </row>
    <row r="134" spans="1:10" ht="21.75" customHeight="1">
      <c r="A134" s="1494">
        <v>1</v>
      </c>
      <c r="B134" s="1495"/>
      <c r="C134" s="1495"/>
      <c r="D134" s="1491"/>
      <c r="E134" s="1491"/>
      <c r="F134" s="1491"/>
      <c r="G134" s="1491"/>
      <c r="H134" s="1492"/>
      <c r="I134" s="1493"/>
      <c r="J134" s="2865"/>
    </row>
    <row r="135" spans="1:10" ht="21.75" customHeight="1">
      <c r="A135" s="1494">
        <v>2</v>
      </c>
      <c r="B135" s="1495"/>
      <c r="C135" s="1495"/>
      <c r="D135" s="1491"/>
      <c r="E135" s="1491"/>
      <c r="F135" s="1491"/>
      <c r="G135" s="1491"/>
      <c r="H135" s="1492"/>
      <c r="I135" s="1493"/>
      <c r="J135" s="2865"/>
    </row>
    <row r="136" spans="1:10" ht="21.75" customHeight="1">
      <c r="A136" s="1494">
        <v>3</v>
      </c>
      <c r="B136" s="1495"/>
      <c r="C136" s="1495"/>
      <c r="D136" s="1491"/>
      <c r="E136" s="1491"/>
      <c r="F136" s="32"/>
      <c r="G136" s="32"/>
      <c r="H136" s="32"/>
      <c r="I136" s="32"/>
      <c r="J136" s="2866"/>
    </row>
    <row r="137" spans="1:10" ht="21.75" customHeight="1">
      <c r="A137" s="1496"/>
      <c r="B137" s="1497"/>
      <c r="C137" s="1497"/>
      <c r="D137" s="1498"/>
      <c r="E137" s="1498"/>
      <c r="F137" s="1498"/>
      <c r="G137" s="1498"/>
      <c r="H137" s="1499"/>
      <c r="I137" s="1500"/>
      <c r="J137" s="2865"/>
    </row>
    <row r="138" spans="1:10" ht="21.75" customHeight="1">
      <c r="A138" s="1495"/>
      <c r="B138" s="1495"/>
      <c r="C138" s="1495"/>
      <c r="D138" s="1491"/>
      <c r="E138" s="1491"/>
      <c r="F138" s="1491"/>
      <c r="G138" s="1491"/>
      <c r="H138" s="1492"/>
      <c r="I138" s="658"/>
      <c r="J138" s="2866"/>
    </row>
    <row r="139" spans="1:10" ht="21.75" customHeight="1">
      <c r="A139" s="658"/>
      <c r="B139" s="658"/>
      <c r="C139" s="658"/>
      <c r="D139" s="658"/>
      <c r="E139" s="658"/>
      <c r="F139" s="1501" t="s">
        <v>1877</v>
      </c>
      <c r="G139" s="1502"/>
      <c r="H139" s="1502"/>
      <c r="I139" s="1503" t="s">
        <v>1878</v>
      </c>
      <c r="J139" s="2867"/>
    </row>
    <row r="140" spans="1:10" ht="21.75" customHeight="1">
      <c r="A140" s="658"/>
      <c r="B140" s="1504" t="s">
        <v>1879</v>
      </c>
      <c r="C140" s="658"/>
      <c r="D140" s="658"/>
      <c r="E140" s="658"/>
      <c r="F140" s="658"/>
      <c r="G140" s="658"/>
      <c r="H140" s="658"/>
      <c r="I140" s="658"/>
      <c r="J140" s="2866"/>
    </row>
    <row r="141" spans="1:10" ht="21.75" customHeight="1">
      <c r="A141" s="658"/>
      <c r="B141" s="658"/>
      <c r="C141" s="658"/>
      <c r="D141" s="658"/>
      <c r="E141" s="658"/>
      <c r="F141" s="658"/>
      <c r="G141" s="658"/>
      <c r="H141" s="658"/>
      <c r="I141" s="658"/>
      <c r="J141" s="2866"/>
    </row>
    <row r="142" spans="1:10" ht="21.75" customHeight="1">
      <c r="A142" s="658"/>
      <c r="B142" s="1502"/>
      <c r="C142" s="1502"/>
      <c r="D142" s="1502"/>
      <c r="E142" s="1502"/>
      <c r="F142" s="1502"/>
      <c r="G142" s="1502"/>
      <c r="H142" s="1502"/>
      <c r="I142" s="1503" t="s">
        <v>1880</v>
      </c>
      <c r="J142" s="2867"/>
    </row>
    <row r="143" spans="1:10" ht="21.75" customHeight="1">
      <c r="A143" s="658"/>
      <c r="B143" s="1504" t="s">
        <v>1881</v>
      </c>
      <c r="C143" s="658"/>
      <c r="D143" s="658"/>
      <c r="E143" s="658"/>
      <c r="F143" s="658"/>
      <c r="G143" s="658"/>
      <c r="H143" s="658"/>
      <c r="I143" s="658"/>
      <c r="J143" s="2866"/>
    </row>
    <row r="144" spans="1:10" ht="21.75" customHeight="1">
      <c r="A144" s="658"/>
      <c r="B144" s="1504"/>
      <c r="C144" s="658"/>
      <c r="D144" s="658"/>
      <c r="E144" s="658"/>
      <c r="F144" s="658"/>
      <c r="G144" s="658"/>
      <c r="H144" s="658"/>
      <c r="I144" s="658"/>
      <c r="J144" s="2866"/>
    </row>
    <row r="145" spans="1:36" ht="21.75" customHeight="1">
      <c r="A145" s="658"/>
      <c r="B145" s="1502"/>
      <c r="C145" s="1502"/>
      <c r="D145" s="1502"/>
      <c r="E145" s="1502"/>
      <c r="F145" s="1502"/>
      <c r="G145" s="1502"/>
      <c r="H145" s="1502"/>
      <c r="I145" s="1503" t="s">
        <v>1880</v>
      </c>
      <c r="J145" s="2867"/>
    </row>
    <row r="146" spans="1:36" ht="21.75" customHeight="1">
      <c r="A146" s="658"/>
      <c r="B146" s="1504"/>
      <c r="C146" s="1505"/>
      <c r="D146" s="1506"/>
      <c r="E146" s="1506"/>
      <c r="F146" s="1507"/>
      <c r="G146" s="658"/>
      <c r="H146" s="658"/>
      <c r="I146" s="658"/>
      <c r="J146" s="2866"/>
    </row>
    <row r="147" spans="1:36" s="32" customFormat="1" ht="21.75" customHeight="1">
      <c r="A147" s="658"/>
      <c r="B147" s="1504"/>
      <c r="C147" s="1505"/>
      <c r="D147" s="1506"/>
      <c r="E147" s="1506"/>
      <c r="F147" s="658"/>
      <c r="G147" s="658"/>
      <c r="H147" s="658"/>
      <c r="I147" s="658"/>
      <c r="J147" s="2866"/>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6"/>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6"/>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6"/>
    </row>
    <row r="151" spans="1:36" s="658" customFormat="1" ht="21.75" customHeight="1">
      <c r="J151" s="2866"/>
    </row>
    <row r="152" spans="1:36" s="658" customFormat="1" ht="21.75" customHeight="1">
      <c r="J152" s="2866"/>
    </row>
    <row r="153" spans="1:36" s="658" customFormat="1" ht="21.75" customHeight="1">
      <c r="J153" s="2866"/>
    </row>
    <row r="154" spans="1:36" s="658" customFormat="1" ht="21.75" customHeight="1">
      <c r="J154" s="2866"/>
    </row>
    <row r="155" spans="1:36" s="658" customFormat="1" ht="21.75" customHeight="1">
      <c r="J155" s="2866"/>
    </row>
    <row r="156" spans="1:36" s="658" customFormat="1" ht="21.75" customHeight="1">
      <c r="J156" s="2866"/>
    </row>
    <row r="157" spans="1:36" s="658" customFormat="1" ht="21.75" customHeight="1">
      <c r="J157" s="2866"/>
    </row>
    <row r="158" spans="1:36" s="658" customFormat="1" ht="21.75" customHeight="1">
      <c r="J158" s="2866"/>
    </row>
    <row r="159" spans="1:36" s="658" customFormat="1" ht="21.75" customHeight="1">
      <c r="J159" s="2866"/>
    </row>
    <row r="160" spans="1:36" s="658" customFormat="1" ht="21.75" customHeight="1">
      <c r="J160" s="2866"/>
    </row>
    <row r="161" spans="10:10" s="658" customFormat="1" ht="21.75" customHeight="1">
      <c r="J161" s="2866"/>
    </row>
    <row r="162" spans="10:10" s="658" customFormat="1" ht="21.75" customHeight="1">
      <c r="J162" s="2866"/>
    </row>
    <row r="163" spans="10:10" s="658" customFormat="1" ht="21.75" customHeight="1">
      <c r="J163" s="2866"/>
    </row>
    <row r="164" spans="10:10" s="658" customFormat="1" ht="21.75" customHeight="1">
      <c r="J164" s="2866"/>
    </row>
    <row r="165" spans="10:10" s="658" customFormat="1" ht="21.75" customHeight="1">
      <c r="J165" s="2866"/>
    </row>
    <row r="166" spans="10:10" s="658" customFormat="1" ht="21.75" customHeight="1">
      <c r="J166" s="2866"/>
    </row>
    <row r="167" spans="10:10" s="658" customFormat="1" ht="21.75" customHeight="1">
      <c r="J167" s="2866"/>
    </row>
    <row r="168" spans="10:10" s="658" customFormat="1" ht="21.75" customHeight="1">
      <c r="J168" s="2866"/>
    </row>
    <row r="169" spans="10:10" s="658" customFormat="1" ht="21.75" customHeight="1">
      <c r="J169" s="2866"/>
    </row>
    <row r="170" spans="10:10" s="658" customFormat="1" ht="21.75" customHeight="1">
      <c r="J170" s="2866"/>
    </row>
    <row r="171" spans="10:10" s="658" customFormat="1" ht="21.75" customHeight="1">
      <c r="J171" s="2866"/>
    </row>
    <row r="172" spans="10:10" s="658" customFormat="1" ht="21.75" customHeight="1">
      <c r="J172" s="2866"/>
    </row>
    <row r="173" spans="10:10" s="658" customFormat="1" ht="21.75" customHeight="1">
      <c r="J173" s="2866"/>
    </row>
    <row r="174" spans="10:10" s="658" customFormat="1" ht="21.75" customHeight="1">
      <c r="J174" s="2866"/>
    </row>
    <row r="175" spans="10:10" s="658" customFormat="1" ht="21.75" customHeight="1">
      <c r="J175" s="2866"/>
    </row>
    <row r="176" spans="10:10" s="658" customFormat="1" ht="21.75" customHeight="1">
      <c r="J176" s="2866"/>
    </row>
    <row r="177" spans="10:10" s="658" customFormat="1" ht="21.75" customHeight="1">
      <c r="J177" s="2866"/>
    </row>
    <row r="178" spans="10:10" s="658" customFormat="1" ht="21.75" customHeight="1">
      <c r="J178" s="2866"/>
    </row>
    <row r="179" spans="10:10" s="658" customFormat="1" ht="21.75" customHeight="1">
      <c r="J179" s="2866"/>
    </row>
    <row r="180" spans="10:10" s="658" customFormat="1" ht="21.75" customHeight="1">
      <c r="J180" s="2866"/>
    </row>
    <row r="181" spans="10:10" s="658" customFormat="1" ht="21.75" customHeight="1">
      <c r="J181" s="2866"/>
    </row>
    <row r="182" spans="10:10" s="658" customFormat="1" ht="21.75" customHeight="1">
      <c r="J182" s="2866"/>
    </row>
    <row r="183" spans="10:10" s="658" customFormat="1" ht="21.75" customHeight="1">
      <c r="J183" s="2866"/>
    </row>
    <row r="184" spans="10:10" s="658" customFormat="1" ht="21.75" customHeight="1">
      <c r="J184" s="2866"/>
    </row>
    <row r="185" spans="10:10" s="658" customFormat="1" ht="21.75" customHeight="1">
      <c r="J185" s="2866"/>
    </row>
    <row r="186" spans="10:10" s="658" customFormat="1" ht="21.75" customHeight="1">
      <c r="J186" s="2866"/>
    </row>
    <row r="187" spans="10:10" s="658" customFormat="1" ht="21.75" customHeight="1">
      <c r="J187" s="2866"/>
    </row>
    <row r="188" spans="10:10" s="658" customFormat="1" ht="21.75" customHeight="1">
      <c r="J188" s="2866"/>
    </row>
    <row r="189" spans="10:10" s="658" customFormat="1" ht="21.75" customHeight="1">
      <c r="J189" s="2866"/>
    </row>
    <row r="190" spans="10:10" s="658" customFormat="1" ht="21.75" customHeight="1">
      <c r="J190" s="2866"/>
    </row>
    <row r="191" spans="10:10" s="658" customFormat="1" ht="21.75" customHeight="1">
      <c r="J191" s="2866"/>
    </row>
    <row r="192" spans="10:10" s="658" customFormat="1" ht="21.75" customHeight="1">
      <c r="J192" s="2866"/>
    </row>
    <row r="193" spans="10:10" s="658" customFormat="1" ht="21.75" customHeight="1">
      <c r="J193" s="2866"/>
    </row>
    <row r="194" spans="10:10" s="658" customFormat="1" ht="21.75" customHeight="1">
      <c r="J194" s="2866"/>
    </row>
    <row r="195" spans="10:10" s="658" customFormat="1" ht="21.75" customHeight="1">
      <c r="J195" s="2866"/>
    </row>
    <row r="196" spans="10:10" s="658" customFormat="1" ht="21.75" customHeight="1">
      <c r="J196" s="2866"/>
    </row>
    <row r="197" spans="10:10" s="658" customFormat="1" ht="21.75" customHeight="1">
      <c r="J197" s="2866"/>
    </row>
    <row r="198" spans="10:10" s="658" customFormat="1" ht="21.75" customHeight="1">
      <c r="J198" s="2866"/>
    </row>
    <row r="199" spans="10:10" s="658" customFormat="1" ht="21.75" customHeight="1">
      <c r="J199" s="2866"/>
    </row>
    <row r="200" spans="10:10" s="658" customFormat="1" ht="21.75" customHeight="1">
      <c r="J200" s="2866"/>
    </row>
    <row r="201" spans="10:10" s="658" customFormat="1" ht="21.75" customHeight="1">
      <c r="J201" s="2866"/>
    </row>
    <row r="202" spans="10:10" s="658" customFormat="1" ht="21.75" customHeight="1">
      <c r="J202" s="2866"/>
    </row>
    <row r="203" spans="10:10" s="658" customFormat="1" ht="21.75" customHeight="1">
      <c r="J203" s="2866"/>
    </row>
    <row r="204" spans="10:10" s="658" customFormat="1" ht="21.75" customHeight="1">
      <c r="J204" s="2866"/>
    </row>
    <row r="205" spans="10:10" s="658" customFormat="1" ht="21.75" customHeight="1">
      <c r="J205" s="2866"/>
    </row>
    <row r="206" spans="10:10" s="658" customFormat="1" ht="21.75" customHeight="1">
      <c r="J206" s="2866"/>
    </row>
    <row r="207" spans="10:10" s="658" customFormat="1" ht="21.75" customHeight="1">
      <c r="J207" s="2866"/>
    </row>
    <row r="208" spans="10:10" s="658" customFormat="1" ht="21.75" customHeight="1">
      <c r="J208" s="2866"/>
    </row>
    <row r="209" spans="10:10" s="658" customFormat="1" ht="21.75" customHeight="1">
      <c r="J209" s="2866"/>
    </row>
    <row r="210" spans="10:10" s="658" customFormat="1" ht="21.75" customHeight="1">
      <c r="J210" s="2866"/>
    </row>
    <row r="211" spans="10:10" s="658" customFormat="1" ht="21.75" customHeight="1">
      <c r="J211" s="2866"/>
    </row>
    <row r="212" spans="10:10" s="658" customFormat="1" ht="21.75" customHeight="1">
      <c r="J212" s="2866"/>
    </row>
    <row r="213" spans="10:10" s="658" customFormat="1" ht="21.75" customHeight="1">
      <c r="J213" s="2866"/>
    </row>
    <row r="214" spans="10:10" s="658" customFormat="1" ht="21.75" customHeight="1">
      <c r="J214" s="2866"/>
    </row>
    <row r="215" spans="10:10" s="658" customFormat="1" ht="21.75" customHeight="1">
      <c r="J215" s="2866"/>
    </row>
    <row r="216" spans="10:10" s="658" customFormat="1" ht="21.75" customHeight="1">
      <c r="J216" s="2866"/>
    </row>
    <row r="217" spans="10:10" s="658" customFormat="1" ht="21.75" customHeight="1">
      <c r="J217" s="2866"/>
    </row>
    <row r="218" spans="10:10" s="658" customFormat="1" ht="21.75" customHeight="1">
      <c r="J218" s="2866"/>
    </row>
    <row r="219" spans="10:10" s="658" customFormat="1" ht="21.75" customHeight="1">
      <c r="J219" s="2866"/>
    </row>
    <row r="220" spans="10:10" s="658" customFormat="1" ht="21.75" customHeight="1">
      <c r="J220" s="2866"/>
    </row>
    <row r="221" spans="10:10" s="658" customFormat="1" ht="21.75" customHeight="1">
      <c r="J221" s="2866"/>
    </row>
    <row r="222" spans="10:10" s="658" customFormat="1" ht="21.75" customHeight="1">
      <c r="J222" s="2866"/>
    </row>
    <row r="223" spans="10:10" s="658" customFormat="1" ht="21.75" customHeight="1">
      <c r="J223" s="2866"/>
    </row>
    <row r="224" spans="10:10" s="658" customFormat="1" ht="21.75" customHeight="1">
      <c r="J224" s="2866"/>
    </row>
    <row r="225" spans="10:10" s="658" customFormat="1" ht="21.75" customHeight="1">
      <c r="J225" s="2866"/>
    </row>
    <row r="226" spans="10:10" s="658" customFormat="1" ht="21.75" customHeight="1">
      <c r="J226" s="2866"/>
    </row>
    <row r="227" spans="10:10" s="658" customFormat="1" ht="21.75" customHeight="1">
      <c r="J227" s="2866"/>
    </row>
    <row r="228" spans="10:10" s="658" customFormat="1" ht="21.75" customHeight="1">
      <c r="J228" s="2866"/>
    </row>
    <row r="229" spans="10:10" s="658" customFormat="1" ht="21.75" customHeight="1">
      <c r="J229" s="2866"/>
    </row>
    <row r="230" spans="10:10" s="658" customFormat="1" ht="21.75" customHeight="1">
      <c r="J230" s="2866"/>
    </row>
    <row r="231" spans="10:10" s="658" customFormat="1" ht="21.75" customHeight="1">
      <c r="J231" s="2866"/>
    </row>
    <row r="232" spans="10:10" s="658" customFormat="1" ht="21.75" customHeight="1">
      <c r="J232" s="2866"/>
    </row>
    <row r="233" spans="10:10" s="658" customFormat="1" ht="21.75" customHeight="1">
      <c r="J233" s="2866"/>
    </row>
    <row r="234" spans="10:10" s="658" customFormat="1" ht="21.75" customHeight="1">
      <c r="J234" s="2866"/>
    </row>
    <row r="235" spans="10:10" s="658" customFormat="1" ht="21.75" customHeight="1">
      <c r="J235" s="2866"/>
    </row>
    <row r="236" spans="10:10" s="658" customFormat="1" ht="21.75" customHeight="1">
      <c r="J236" s="2866"/>
    </row>
    <row r="237" spans="10:10" s="658" customFormat="1" ht="21.75" customHeight="1">
      <c r="J237" s="2866"/>
    </row>
    <row r="238" spans="10:10" s="658" customFormat="1" ht="21.75" customHeight="1">
      <c r="J238" s="2866"/>
    </row>
    <row r="239" spans="10:10" s="658" customFormat="1" ht="21.75" customHeight="1">
      <c r="J239" s="2866"/>
    </row>
    <row r="240" spans="10:10" s="658" customFormat="1" ht="21.75" customHeight="1">
      <c r="J240" s="2866"/>
    </row>
    <row r="241" spans="10:10" s="658" customFormat="1" ht="21.75" customHeight="1">
      <c r="J241" s="2866"/>
    </row>
    <row r="242" spans="10:10" s="658" customFormat="1" ht="21.75" customHeight="1">
      <c r="J242" s="2866"/>
    </row>
    <row r="243" spans="10:10" s="658" customFormat="1" ht="21.75" customHeight="1">
      <c r="J243" s="2866"/>
    </row>
    <row r="244" spans="10:10" s="658" customFormat="1" ht="21.75" customHeight="1">
      <c r="J244" s="2866"/>
    </row>
    <row r="245" spans="10:10" s="658" customFormat="1" ht="21.75" customHeight="1">
      <c r="J245" s="2866"/>
    </row>
    <row r="246" spans="10:10" s="658" customFormat="1" ht="21.75" customHeight="1">
      <c r="J246" s="2866"/>
    </row>
    <row r="247" spans="10:10" s="658" customFormat="1" ht="21.75" customHeight="1">
      <c r="J247" s="2866"/>
    </row>
    <row r="248" spans="10:10" s="658" customFormat="1" ht="21.75" customHeight="1">
      <c r="J248" s="2866"/>
    </row>
    <row r="249" spans="10:10" s="658" customFormat="1" ht="21.75" customHeight="1">
      <c r="J249" s="2866"/>
    </row>
    <row r="250" spans="10:10" s="658" customFormat="1" ht="21.75" customHeight="1">
      <c r="J250" s="2866"/>
    </row>
    <row r="251" spans="10:10" s="658" customFormat="1" ht="21.75" customHeight="1">
      <c r="J251" s="2866"/>
    </row>
    <row r="252" spans="10:10" s="658" customFormat="1" ht="21.75" customHeight="1">
      <c r="J252" s="2866"/>
    </row>
    <row r="253" spans="10:10" s="658" customFormat="1" ht="21.75" customHeight="1">
      <c r="J253" s="2866"/>
    </row>
    <row r="254" spans="10:10" s="658" customFormat="1" ht="21.75" customHeight="1">
      <c r="J254" s="2866"/>
    </row>
    <row r="255" spans="10:10" s="658" customFormat="1" ht="21.75" customHeight="1">
      <c r="J255" s="2866"/>
    </row>
    <row r="256" spans="10:10" s="658" customFormat="1" ht="21.75" customHeight="1">
      <c r="J256" s="2866"/>
    </row>
    <row r="257" spans="10:10" s="658" customFormat="1" ht="21.75" customHeight="1">
      <c r="J257" s="2866"/>
    </row>
    <row r="258" spans="10:10" s="658" customFormat="1" ht="21.75" customHeight="1">
      <c r="J258" s="2866"/>
    </row>
    <row r="259" spans="10:10" s="658" customFormat="1" ht="21.75" customHeight="1">
      <c r="J259" s="2866"/>
    </row>
    <row r="260" spans="10:10" s="658" customFormat="1" ht="21.75" customHeight="1">
      <c r="J260" s="2866"/>
    </row>
    <row r="261" spans="10:10" s="658" customFormat="1" ht="21.75" customHeight="1">
      <c r="J261" s="2866"/>
    </row>
    <row r="262" spans="10:10" s="658" customFormat="1" ht="21.75" customHeight="1">
      <c r="J262" s="2866"/>
    </row>
    <row r="263" spans="10:10" s="658" customFormat="1" ht="21.75" customHeight="1">
      <c r="J263" s="2866"/>
    </row>
    <row r="264" spans="10:10" s="658" customFormat="1" ht="21.75" customHeight="1">
      <c r="J264" s="2866"/>
    </row>
    <row r="265" spans="10:10" s="658" customFormat="1" ht="21.75" customHeight="1">
      <c r="J265" s="2866"/>
    </row>
    <row r="266" spans="10:10" s="658" customFormat="1" ht="21.75" customHeight="1">
      <c r="J266" s="2866"/>
    </row>
    <row r="267" spans="10:10" s="658" customFormat="1" ht="21.75" customHeight="1">
      <c r="J267" s="2866"/>
    </row>
    <row r="268" spans="10:10" s="658" customFormat="1" ht="21.75" customHeight="1">
      <c r="J268" s="2866"/>
    </row>
    <row r="269" spans="10:10" s="658" customFormat="1" ht="21.75" customHeight="1">
      <c r="J269" s="2866"/>
    </row>
    <row r="270" spans="10:10" s="658" customFormat="1" ht="21.75" customHeight="1">
      <c r="J270" s="2866"/>
    </row>
    <row r="271" spans="10:10" s="658" customFormat="1" ht="21.75" customHeight="1">
      <c r="J271" s="2866"/>
    </row>
    <row r="272" spans="10:10" s="658" customFormat="1" ht="21.75" customHeight="1">
      <c r="J272" s="2866"/>
    </row>
    <row r="273" spans="10:10" s="658" customFormat="1" ht="21.75" customHeight="1">
      <c r="J273" s="2866"/>
    </row>
    <row r="274" spans="10:10" s="658" customFormat="1" ht="21.75" customHeight="1">
      <c r="J274" s="2866"/>
    </row>
    <row r="275" spans="10:10" s="658" customFormat="1" ht="21.75" customHeight="1">
      <c r="J275" s="2866"/>
    </row>
    <row r="276" spans="10:10" s="658" customFormat="1" ht="21.75" customHeight="1">
      <c r="J276" s="2866"/>
    </row>
    <row r="277" spans="10:10" s="658" customFormat="1" ht="21.75" customHeight="1">
      <c r="J277" s="2866"/>
    </row>
    <row r="278" spans="10:10" s="658" customFormat="1" ht="21.75" customHeight="1">
      <c r="J278" s="2866"/>
    </row>
    <row r="279" spans="10:10" s="658" customFormat="1" ht="21.75" customHeight="1">
      <c r="J279" s="2866"/>
    </row>
    <row r="280" spans="10:10" s="658" customFormat="1" ht="21.75" customHeight="1">
      <c r="J280" s="2866"/>
    </row>
    <row r="281" spans="10:10" s="658" customFormat="1" ht="21.75" customHeight="1">
      <c r="J281" s="2866"/>
    </row>
    <row r="282" spans="10:10" s="658" customFormat="1" ht="21.75" customHeight="1">
      <c r="J282" s="2866"/>
    </row>
    <row r="283" spans="10:10" s="658" customFormat="1" ht="21.75" customHeight="1">
      <c r="J283" s="2866"/>
    </row>
    <row r="284" spans="10:10" s="658" customFormat="1" ht="21.75" customHeight="1">
      <c r="J284" s="2866"/>
    </row>
    <row r="285" spans="10:10" s="658" customFormat="1" ht="21.75" customHeight="1">
      <c r="J285" s="2866"/>
    </row>
    <row r="286" spans="10:10" s="658" customFormat="1" ht="21.75" customHeight="1">
      <c r="J286" s="2866"/>
    </row>
    <row r="287" spans="10:10" s="658" customFormat="1" ht="21.75" customHeight="1">
      <c r="J287" s="2866"/>
    </row>
    <row r="288" spans="10:10" s="658" customFormat="1" ht="21.75" customHeight="1">
      <c r="J288" s="2866"/>
    </row>
    <row r="289" spans="10:10" s="658" customFormat="1" ht="21.75" customHeight="1">
      <c r="J289" s="2866"/>
    </row>
    <row r="290" spans="10:10" s="658" customFormat="1" ht="21.75" customHeight="1">
      <c r="J290" s="2866"/>
    </row>
    <row r="291" spans="10:10" s="658" customFormat="1" ht="21.75" customHeight="1">
      <c r="J291" s="2866"/>
    </row>
    <row r="292" spans="10:10" s="658" customFormat="1" ht="21.75" customHeight="1">
      <c r="J292" s="2866"/>
    </row>
    <row r="293" spans="10:10" s="658" customFormat="1" ht="21.75" customHeight="1">
      <c r="J293" s="2866"/>
    </row>
    <row r="294" spans="10:10" s="658" customFormat="1" ht="21.75" customHeight="1">
      <c r="J294" s="2866"/>
    </row>
    <row r="295" spans="10:10" s="658" customFormat="1" ht="21.75" customHeight="1">
      <c r="J295" s="2866"/>
    </row>
    <row r="296" spans="10:10" s="658" customFormat="1" ht="21.75" customHeight="1">
      <c r="J296" s="2866"/>
    </row>
    <row r="297" spans="10:10" s="658" customFormat="1" ht="21.75" customHeight="1">
      <c r="J297" s="2866"/>
    </row>
    <row r="298" spans="10:10" s="658" customFormat="1" ht="21.75" customHeight="1">
      <c r="J298" s="2866"/>
    </row>
    <row r="299" spans="10:10" s="658" customFormat="1" ht="21.75" customHeight="1">
      <c r="J299" s="2866"/>
    </row>
    <row r="300" spans="10:10" s="658" customFormat="1" ht="21.75" customHeight="1">
      <c r="J300" s="2866"/>
    </row>
    <row r="301" spans="10:10" s="658" customFormat="1" ht="21.75" customHeight="1">
      <c r="J301" s="2866"/>
    </row>
    <row r="302" spans="10:10" s="658" customFormat="1" ht="21.75" customHeight="1">
      <c r="J302" s="2866"/>
    </row>
    <row r="303" spans="10:10" s="658" customFormat="1" ht="21.75" customHeight="1">
      <c r="J303" s="2866"/>
    </row>
    <row r="304" spans="10:10" s="658" customFormat="1" ht="21.75" customHeight="1">
      <c r="J304" s="2866"/>
    </row>
    <row r="305" spans="10:10" s="658" customFormat="1" ht="21.75" customHeight="1">
      <c r="J305" s="2866"/>
    </row>
    <row r="306" spans="10:10" s="658" customFormat="1" ht="21.75" customHeight="1">
      <c r="J306" s="2866"/>
    </row>
    <row r="307" spans="10:10" s="658" customFormat="1" ht="21.75" customHeight="1">
      <c r="J307" s="2866"/>
    </row>
    <row r="308" spans="10:10" s="658" customFormat="1" ht="21.75" customHeight="1">
      <c r="J308" s="2866"/>
    </row>
    <row r="309" spans="10:10" s="658" customFormat="1" ht="21.75" customHeight="1">
      <c r="J309" s="2866"/>
    </row>
    <row r="310" spans="10:10" s="658" customFormat="1" ht="21.75" customHeight="1">
      <c r="J310" s="2866"/>
    </row>
    <row r="311" spans="10:10" s="658" customFormat="1" ht="21.75" customHeight="1">
      <c r="J311" s="2866"/>
    </row>
    <row r="312" spans="10:10" s="658" customFormat="1" ht="21.75" customHeight="1">
      <c r="J312" s="2866"/>
    </row>
    <row r="313" spans="10:10" s="658" customFormat="1" ht="21.75" customHeight="1">
      <c r="J313" s="2866"/>
    </row>
    <row r="314" spans="10:10" s="658" customFormat="1" ht="21.75" customHeight="1">
      <c r="J314" s="2866"/>
    </row>
    <row r="315" spans="10:10" s="658" customFormat="1" ht="21.75" customHeight="1">
      <c r="J315" s="2866"/>
    </row>
    <row r="316" spans="10:10" s="658" customFormat="1" ht="21.75" customHeight="1">
      <c r="J316" s="2866"/>
    </row>
    <row r="317" spans="10:10" s="658" customFormat="1" ht="21.75" customHeight="1">
      <c r="J317" s="2866"/>
    </row>
    <row r="318" spans="10:10" s="658" customFormat="1" ht="21.75" customHeight="1">
      <c r="J318" s="2866"/>
    </row>
    <row r="319" spans="10:10" s="658" customFormat="1" ht="21.75" customHeight="1">
      <c r="J319" s="2866"/>
    </row>
    <row r="320" spans="10:10" s="658" customFormat="1" ht="21.75" customHeight="1">
      <c r="J320" s="2866"/>
    </row>
    <row r="321" spans="10:10" s="658" customFormat="1" ht="21.75" customHeight="1">
      <c r="J321" s="2866"/>
    </row>
    <row r="322" spans="10:10" s="658" customFormat="1" ht="21.75" customHeight="1">
      <c r="J322" s="2866"/>
    </row>
    <row r="323" spans="10:10" s="658" customFormat="1" ht="21.75" customHeight="1">
      <c r="J323" s="2866"/>
    </row>
    <row r="324" spans="10:10" s="658" customFormat="1" ht="21.75" customHeight="1">
      <c r="J324" s="2866"/>
    </row>
    <row r="325" spans="10:10" s="658" customFormat="1" ht="21.75" customHeight="1">
      <c r="J325" s="2866"/>
    </row>
    <row r="326" spans="10:10" s="658" customFormat="1" ht="21.75" customHeight="1">
      <c r="J326" s="2866"/>
    </row>
    <row r="327" spans="10:10" s="658" customFormat="1" ht="21.75" customHeight="1">
      <c r="J327" s="2866"/>
    </row>
    <row r="328" spans="10:10" s="658" customFormat="1" ht="21.75" customHeight="1">
      <c r="J328" s="2866"/>
    </row>
    <row r="329" spans="10:10" s="658" customFormat="1" ht="21.75" customHeight="1">
      <c r="J329" s="2866"/>
    </row>
    <row r="330" spans="10:10" s="658" customFormat="1" ht="21.75" customHeight="1">
      <c r="J330" s="2866"/>
    </row>
    <row r="331" spans="10:10" s="658" customFormat="1" ht="21.75" customHeight="1">
      <c r="J331" s="2866"/>
    </row>
    <row r="332" spans="10:10" s="658" customFormat="1" ht="21.75" customHeight="1">
      <c r="J332" s="2866"/>
    </row>
    <row r="333" spans="10:10" s="658" customFormat="1" ht="21.75" customHeight="1">
      <c r="J333" s="2866"/>
    </row>
    <row r="334" spans="10:10" s="658" customFormat="1" ht="21.75" customHeight="1">
      <c r="J334" s="2866"/>
    </row>
    <row r="335" spans="10:10" s="658" customFormat="1" ht="21.75" customHeight="1">
      <c r="J335" s="2866"/>
    </row>
    <row r="336" spans="10:10" s="658" customFormat="1" ht="21.75" customHeight="1">
      <c r="J336" s="2866"/>
    </row>
    <row r="337" spans="10:10" s="658" customFormat="1" ht="21.75" customHeight="1">
      <c r="J337" s="2866"/>
    </row>
    <row r="338" spans="10:10" s="658" customFormat="1" ht="21.75" customHeight="1">
      <c r="J338" s="2866"/>
    </row>
    <row r="339" spans="10:10" s="658" customFormat="1" ht="21.75" customHeight="1">
      <c r="J339" s="2866"/>
    </row>
    <row r="340" spans="10:10" s="658" customFormat="1" ht="21.75" customHeight="1">
      <c r="J340" s="2866"/>
    </row>
    <row r="341" spans="10:10" s="658" customFormat="1" ht="21.75" customHeight="1">
      <c r="J341" s="2866"/>
    </row>
    <row r="342" spans="10:10" s="658" customFormat="1" ht="21.75" customHeight="1">
      <c r="J342" s="2866"/>
    </row>
    <row r="343" spans="10:10" s="658" customFormat="1" ht="21.75" customHeight="1">
      <c r="J343" s="2866"/>
    </row>
    <row r="344" spans="10:10" s="658" customFormat="1" ht="21.75" customHeight="1">
      <c r="J344" s="2866"/>
    </row>
    <row r="345" spans="10:10" s="658" customFormat="1" ht="21.75" customHeight="1">
      <c r="J345" s="2866"/>
    </row>
    <row r="346" spans="10:10" s="658" customFormat="1" ht="21.75" customHeight="1">
      <c r="J346" s="2866"/>
    </row>
    <row r="347" spans="10:10" s="658" customFormat="1" ht="21.75" customHeight="1">
      <c r="J347" s="2866"/>
    </row>
    <row r="348" spans="10:10" s="658" customFormat="1" ht="21.75" customHeight="1">
      <c r="J348" s="2866"/>
    </row>
    <row r="349" spans="10:10" s="658" customFormat="1" ht="21.75" customHeight="1">
      <c r="J349" s="2866"/>
    </row>
    <row r="350" spans="10:10" s="658" customFormat="1" ht="21.75" customHeight="1">
      <c r="J350" s="2866"/>
    </row>
    <row r="351" spans="10:10" s="658" customFormat="1" ht="21.75" customHeight="1">
      <c r="J351" s="2866"/>
    </row>
    <row r="352" spans="10:10" s="658" customFormat="1" ht="21.75" customHeight="1">
      <c r="J352" s="2866"/>
    </row>
    <row r="353" spans="10:10" s="658" customFormat="1" ht="21.75" customHeight="1">
      <c r="J353" s="2866"/>
    </row>
    <row r="354" spans="10:10" s="658" customFormat="1" ht="21.75" customHeight="1">
      <c r="J354" s="2866"/>
    </row>
    <row r="355" spans="10:10" s="658" customFormat="1" ht="21.75" customHeight="1">
      <c r="J355" s="2866"/>
    </row>
    <row r="356" spans="10:10" s="658" customFormat="1" ht="21.75" customHeight="1">
      <c r="J356" s="2866"/>
    </row>
    <row r="357" spans="10:10" s="658" customFormat="1" ht="21.75" customHeight="1">
      <c r="J357" s="2866"/>
    </row>
    <row r="358" spans="10:10" s="658" customFormat="1" ht="21.75" customHeight="1">
      <c r="J358" s="2866"/>
    </row>
    <row r="359" spans="10:10" s="658" customFormat="1" ht="21.75" customHeight="1">
      <c r="J359" s="2866"/>
    </row>
    <row r="360" spans="10:10" s="658" customFormat="1" ht="21.75" customHeight="1">
      <c r="J360" s="2866"/>
    </row>
    <row r="361" spans="10:10" s="658" customFormat="1" ht="21.75" customHeight="1">
      <c r="J361" s="2866"/>
    </row>
    <row r="362" spans="10:10" s="658" customFormat="1" ht="21.75" customHeight="1">
      <c r="J362" s="2866"/>
    </row>
    <row r="363" spans="10:10" s="658" customFormat="1" ht="21.75" customHeight="1">
      <c r="J363" s="2866"/>
    </row>
    <row r="364" spans="10:10" s="658" customFormat="1" ht="21.75" customHeight="1">
      <c r="J364" s="2866"/>
    </row>
    <row r="365" spans="10:10" s="658" customFormat="1" ht="21.75" customHeight="1">
      <c r="J365" s="2866"/>
    </row>
    <row r="366" spans="10:10" s="658" customFormat="1" ht="21.75" customHeight="1">
      <c r="J366" s="2866"/>
    </row>
    <row r="367" spans="10:10" s="658" customFormat="1" ht="21.75" customHeight="1">
      <c r="J367" s="2866"/>
    </row>
    <row r="368" spans="10:10" s="658" customFormat="1" ht="21.75" customHeight="1">
      <c r="J368" s="2866"/>
    </row>
    <row r="369" spans="10:10" s="658" customFormat="1" ht="21.75" customHeight="1">
      <c r="J369" s="2866"/>
    </row>
    <row r="370" spans="10:10" s="658" customFormat="1" ht="21.75" customHeight="1">
      <c r="J370" s="2866"/>
    </row>
    <row r="371" spans="10:10" s="658" customFormat="1" ht="21.75" customHeight="1">
      <c r="J371" s="2866"/>
    </row>
    <row r="372" spans="10:10" s="658" customFormat="1" ht="21.75" customHeight="1">
      <c r="J372" s="2866"/>
    </row>
    <row r="373" spans="10:10" s="658" customFormat="1" ht="21.75" customHeight="1">
      <c r="J373" s="2866"/>
    </row>
    <row r="374" spans="10:10" s="658" customFormat="1" ht="21.75" customHeight="1">
      <c r="J374" s="2866"/>
    </row>
    <row r="375" spans="10:10" s="658" customFormat="1" ht="21.75" customHeight="1">
      <c r="J375" s="2866"/>
    </row>
    <row r="376" spans="10:10" s="658" customFormat="1" ht="21.75" customHeight="1">
      <c r="J376" s="2866"/>
    </row>
    <row r="377" spans="10:10" s="658" customFormat="1" ht="21.75" customHeight="1">
      <c r="J377" s="2866"/>
    </row>
    <row r="378" spans="10:10" s="658" customFormat="1" ht="21.75" customHeight="1">
      <c r="J378" s="2866"/>
    </row>
    <row r="379" spans="10:10" s="658" customFormat="1" ht="21.75" customHeight="1">
      <c r="J379" s="2866"/>
    </row>
    <row r="380" spans="10:10" s="658" customFormat="1" ht="21.75" customHeight="1">
      <c r="J380" s="2866"/>
    </row>
    <row r="381" spans="10:10" s="658" customFormat="1" ht="21.75" customHeight="1">
      <c r="J381" s="2866"/>
    </row>
    <row r="382" spans="10:10" s="658" customFormat="1" ht="21.75" customHeight="1">
      <c r="J382" s="2866"/>
    </row>
    <row r="383" spans="10:10" s="658" customFormat="1" ht="21.75" customHeight="1">
      <c r="J383" s="2866"/>
    </row>
    <row r="384" spans="10:10" s="658" customFormat="1" ht="21.75" customHeight="1">
      <c r="J384" s="2866"/>
    </row>
    <row r="385" spans="10:10" s="658" customFormat="1" ht="21.75" customHeight="1">
      <c r="J385" s="2866"/>
    </row>
    <row r="386" spans="10:10" s="658" customFormat="1" ht="21.75" customHeight="1">
      <c r="J386" s="2866"/>
    </row>
    <row r="387" spans="10:10" s="658" customFormat="1" ht="21.75" customHeight="1">
      <c r="J387" s="2866"/>
    </row>
    <row r="388" spans="10:10" s="658" customFormat="1" ht="21.75" customHeight="1">
      <c r="J388" s="2866"/>
    </row>
    <row r="389" spans="10:10" s="658" customFormat="1" ht="21.75" customHeight="1">
      <c r="J389" s="2866"/>
    </row>
    <row r="390" spans="10:10" s="658" customFormat="1" ht="21.75" customHeight="1">
      <c r="J390" s="2866"/>
    </row>
    <row r="391" spans="10:10" s="658" customFormat="1" ht="21.75" customHeight="1">
      <c r="J391" s="2866"/>
    </row>
    <row r="392" spans="10:10" s="658" customFormat="1" ht="21.75" customHeight="1">
      <c r="J392" s="2866"/>
    </row>
    <row r="393" spans="10:10" s="658" customFormat="1" ht="21.75" customHeight="1">
      <c r="J393" s="2866"/>
    </row>
    <row r="394" spans="10:10" s="658" customFormat="1" ht="21.75" customHeight="1">
      <c r="J394" s="2866"/>
    </row>
    <row r="395" spans="10:10" s="658" customFormat="1" ht="21.75" customHeight="1">
      <c r="J395" s="2866"/>
    </row>
    <row r="396" spans="10:10" s="658" customFormat="1" ht="21.75" customHeight="1">
      <c r="J396" s="2866"/>
    </row>
    <row r="397" spans="10:10" s="658" customFormat="1" ht="21.75" customHeight="1">
      <c r="J397" s="2866"/>
    </row>
    <row r="398" spans="10:10" s="658" customFormat="1" ht="21.75" customHeight="1">
      <c r="J398" s="2866"/>
    </row>
    <row r="399" spans="10:10" s="658" customFormat="1" ht="21.75" customHeight="1">
      <c r="J399" s="2866"/>
    </row>
    <row r="400" spans="10:10" s="658" customFormat="1" ht="21.75" customHeight="1">
      <c r="J400" s="2866"/>
    </row>
    <row r="401" spans="10:27" s="658" customFormat="1" ht="21.75" customHeight="1">
      <c r="J401" s="2866"/>
    </row>
    <row r="402" spans="10:27" s="658" customFormat="1" ht="21.75" customHeight="1">
      <c r="J402" s="2866"/>
    </row>
    <row r="403" spans="10:27" s="1307" customFormat="1" ht="21.75" customHeight="1">
      <c r="J403" s="2836"/>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36"/>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36"/>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36"/>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36"/>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36"/>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36"/>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36"/>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36"/>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36"/>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36"/>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36"/>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36"/>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36"/>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36"/>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36"/>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36"/>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36"/>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36"/>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36"/>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36"/>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36"/>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36"/>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36"/>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36"/>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36"/>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36"/>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36"/>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36"/>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36"/>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36"/>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36"/>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36"/>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36"/>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36"/>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36"/>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36"/>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36"/>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36"/>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36"/>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36"/>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36"/>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36"/>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36"/>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36"/>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36"/>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36"/>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36"/>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36"/>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36"/>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36"/>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36"/>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36"/>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36"/>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36"/>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36"/>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36"/>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36"/>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36"/>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36"/>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36"/>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36"/>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36"/>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36"/>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36"/>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36"/>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36"/>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36"/>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36"/>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36"/>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36"/>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36"/>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36"/>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36"/>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36"/>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36"/>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36"/>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36"/>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36"/>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36"/>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36"/>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36"/>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36"/>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36"/>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36"/>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36"/>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36"/>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36"/>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36"/>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36"/>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36"/>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36"/>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36"/>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36"/>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36"/>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36"/>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36"/>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36"/>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36"/>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36"/>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36"/>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36"/>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36"/>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36"/>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36"/>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36"/>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36"/>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36"/>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36"/>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36"/>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36"/>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36"/>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36"/>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F516" s="1459"/>
      <c r="G516" s="1459"/>
      <c r="H516" s="1459"/>
      <c r="I516" s="1459"/>
      <c r="J516" s="2836"/>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6" customWidth="1"/>
    <col min="11" max="12" width="12.625" style="658" customWidth="1"/>
    <col min="13" max="13" width="12.625" style="658"/>
    <col min="14" max="14" width="14.125" style="658" bestFit="1" customWidth="1"/>
    <col min="15" max="27" width="12.625" style="658"/>
    <col min="28" max="36" width="12.625" style="1307"/>
    <col min="37" max="16384" width="12.625" style="1459"/>
  </cols>
  <sheetData>
    <row r="1" spans="1:15" ht="21.75" customHeight="1">
      <c r="A1" s="1457" t="s">
        <v>1882</v>
      </c>
      <c r="B1" s="1458"/>
      <c r="C1" s="1458"/>
      <c r="D1" s="1458"/>
      <c r="E1" s="1458"/>
      <c r="F1" s="1458"/>
      <c r="G1" s="1458"/>
      <c r="H1" s="1458"/>
      <c r="I1" s="1458"/>
    </row>
    <row r="2" spans="1:15" ht="21.75" customHeight="1">
      <c r="A2" s="3381" t="s">
        <v>1883</v>
      </c>
      <c r="B2" s="3381"/>
      <c r="C2" s="3381"/>
      <c r="D2" s="3381"/>
      <c r="E2" s="3381"/>
      <c r="F2" s="3381"/>
      <c r="G2" s="3381"/>
      <c r="H2" s="3381"/>
      <c r="I2" s="3381"/>
      <c r="J2" s="2868"/>
    </row>
    <row r="3" spans="1:15" ht="12.75">
      <c r="A3" s="3341" t="s">
        <v>1711</v>
      </c>
      <c r="B3" s="3342"/>
      <c r="C3" s="3342"/>
      <c r="D3" s="3342"/>
      <c r="E3" s="3342"/>
      <c r="F3" s="3342"/>
      <c r="G3" s="3342"/>
      <c r="H3" s="3342"/>
      <c r="I3" s="3342"/>
      <c r="J3" s="2838"/>
    </row>
    <row r="4" spans="1:15" ht="14.25">
      <c r="A4" s="2706" t="s">
        <v>1712</v>
      </c>
      <c r="B4" s="2706" t="s">
        <v>1713</v>
      </c>
      <c r="C4" s="2707" t="s">
        <v>2965</v>
      </c>
      <c r="D4" s="2707" t="s">
        <v>2966</v>
      </c>
      <c r="E4" s="3338" t="s">
        <v>1884</v>
      </c>
      <c r="F4" s="3326"/>
      <c r="G4" s="3326"/>
      <c r="H4" s="3326"/>
      <c r="I4" s="3327"/>
      <c r="J4" s="2839"/>
      <c r="L4" s="1458" t="str">
        <f>IF(ISNUMBER(FIND("比较法",'结果表 (1修多)'!C4)),"比较法",IF(ISNUMBER(FIND("成本法",'结果表 (1修多)'!C4)),"成本法",IF(ISNUMBER(FIND("假设开发法",'结果表 (1修多)'!C4)),"假设开发法",IF(ISNUMBER(FIND("收益法",'结果表 (1修多)'!C4)),"收益法","基准地价系数修正法"))))</f>
        <v>比较法</v>
      </c>
      <c r="M4" s="1458" t="str">
        <f>IF(ISNUMBER(FIND("比较法",'结果表 (1修多)'!D4)),"比较法",IF(ISNUMBER(FIND("成本法",'结果表 (1修多)'!D4)),"成本法",IF(ISNUMBER(FIND("假设开发法",'结果表 (1修多)'!D4)),"假设开发法",IF(ISNUMBER(FIND("收益法",'结果表 (1修多)'!D4)),"收益法","基准地价系数修正法"))))</f>
        <v>收益法</v>
      </c>
      <c r="N4" s="1458"/>
      <c r="O4" s="1458"/>
    </row>
    <row r="5" spans="1:15" ht="12.75">
      <c r="A5" s="3337" t="s">
        <v>1715</v>
      </c>
      <c r="B5" s="3337">
        <v>25</v>
      </c>
      <c r="C5" s="3343"/>
      <c r="D5" s="3340"/>
      <c r="E5" s="12" t="s">
        <v>1716</v>
      </c>
      <c r="F5" s="2084"/>
      <c r="G5" s="2084"/>
      <c r="H5" s="2084"/>
      <c r="I5" s="2079"/>
      <c r="J5" s="2839"/>
    </row>
    <row r="6" spans="1:15" ht="12.75">
      <c r="A6" s="3337"/>
      <c r="B6" s="3337"/>
      <c r="C6" s="3344"/>
      <c r="D6" s="3340"/>
      <c r="E6" s="12" t="s">
        <v>1717</v>
      </c>
      <c r="F6" s="2084"/>
      <c r="G6" s="2084"/>
      <c r="H6" s="2084"/>
      <c r="I6" s="2079"/>
      <c r="J6" s="2839"/>
    </row>
    <row r="7" spans="1:15" ht="12.75">
      <c r="A7" s="3337"/>
      <c r="B7" s="3337"/>
      <c r="C7" s="3345"/>
      <c r="D7" s="3340"/>
      <c r="E7" s="12" t="s">
        <v>1718</v>
      </c>
      <c r="F7" s="2084"/>
      <c r="G7" s="2084"/>
      <c r="H7" s="2084"/>
      <c r="I7" s="2079"/>
      <c r="J7" s="2839"/>
    </row>
    <row r="8" spans="1:15" ht="12.75">
      <c r="A8" s="3337" t="s">
        <v>1719</v>
      </c>
      <c r="B8" s="3337">
        <v>15</v>
      </c>
      <c r="C8" s="3343"/>
      <c r="D8" s="3340"/>
      <c r="E8" s="12" t="s">
        <v>1720</v>
      </c>
      <c r="F8" s="2084"/>
      <c r="G8" s="2084"/>
      <c r="H8" s="2084"/>
      <c r="I8" s="2079"/>
      <c r="J8" s="2839"/>
    </row>
    <row r="9" spans="1:15" ht="12.75">
      <c r="A9" s="3337"/>
      <c r="B9" s="3337"/>
      <c r="C9" s="3345"/>
      <c r="D9" s="3340"/>
      <c r="E9" s="12" t="s">
        <v>1721</v>
      </c>
      <c r="F9" s="2084"/>
      <c r="G9" s="2084"/>
      <c r="H9" s="2084"/>
      <c r="I9" s="2079"/>
      <c r="J9" s="2839"/>
    </row>
    <row r="10" spans="1:15" ht="12.75">
      <c r="A10" s="3337" t="s">
        <v>1722</v>
      </c>
      <c r="B10" s="3337">
        <v>15</v>
      </c>
      <c r="C10" s="3343"/>
      <c r="D10" s="3340"/>
      <c r="E10" s="12" t="s">
        <v>1723</v>
      </c>
      <c r="F10" s="2084"/>
      <c r="G10" s="2084"/>
      <c r="H10" s="2084"/>
      <c r="I10" s="2079"/>
      <c r="J10" s="2839"/>
    </row>
    <row r="11" spans="1:15" ht="12.75">
      <c r="A11" s="3337"/>
      <c r="B11" s="3337"/>
      <c r="C11" s="3345"/>
      <c r="D11" s="3340"/>
      <c r="E11" s="12" t="s">
        <v>1724</v>
      </c>
      <c r="F11" s="2084"/>
      <c r="G11" s="2084"/>
      <c r="H11" s="2084"/>
      <c r="I11" s="2079"/>
      <c r="J11" s="2839"/>
    </row>
    <row r="12" spans="1:15" ht="12.75">
      <c r="A12" s="3337" t="s">
        <v>1725</v>
      </c>
      <c r="B12" s="3337">
        <v>15</v>
      </c>
      <c r="C12" s="3343"/>
      <c r="D12" s="3340"/>
      <c r="E12" s="12" t="s">
        <v>1726</v>
      </c>
      <c r="F12" s="2084"/>
      <c r="G12" s="2084"/>
      <c r="H12" s="2084"/>
      <c r="I12" s="2079"/>
      <c r="J12" s="2839"/>
    </row>
    <row r="13" spans="1:15" ht="12.75">
      <c r="A13" s="3337"/>
      <c r="B13" s="3337"/>
      <c r="C13" s="3345"/>
      <c r="D13" s="3340"/>
      <c r="E13" s="12" t="s">
        <v>1727</v>
      </c>
      <c r="F13" s="2084"/>
      <c r="G13" s="2084"/>
      <c r="H13" s="2084"/>
      <c r="I13" s="2079"/>
      <c r="J13" s="2839"/>
    </row>
    <row r="14" spans="1:15" ht="12.75">
      <c r="A14" s="3337" t="s">
        <v>1728</v>
      </c>
      <c r="B14" s="3337">
        <v>30</v>
      </c>
      <c r="C14" s="3343">
        <v>1</v>
      </c>
      <c r="D14" s="3340">
        <v>0</v>
      </c>
      <c r="E14" s="12" t="s">
        <v>1729</v>
      </c>
      <c r="F14" s="2084"/>
      <c r="G14" s="2084"/>
      <c r="H14" s="2084"/>
      <c r="I14" s="2079"/>
      <c r="J14" s="2839"/>
    </row>
    <row r="15" spans="1:15" ht="12.75">
      <c r="A15" s="3337"/>
      <c r="B15" s="3337"/>
      <c r="C15" s="3344"/>
      <c r="D15" s="3340"/>
      <c r="E15" s="12" t="s">
        <v>1730</v>
      </c>
      <c r="F15" s="2084"/>
      <c r="G15" s="2084"/>
      <c r="H15" s="2084"/>
      <c r="I15" s="2079"/>
      <c r="J15" s="2839"/>
    </row>
    <row r="16" spans="1:15" ht="12.75">
      <c r="A16" s="3337"/>
      <c r="B16" s="3337"/>
      <c r="C16" s="3345"/>
      <c r="D16" s="3340"/>
      <c r="E16" s="12" t="s">
        <v>1731</v>
      </c>
      <c r="F16" s="2084"/>
      <c r="G16" s="2084"/>
      <c r="H16" s="2084"/>
      <c r="I16" s="2079"/>
      <c r="J16" s="2839"/>
    </row>
    <row r="17" spans="1:36" ht="15">
      <c r="A17" s="2708" t="s">
        <v>1732</v>
      </c>
      <c r="B17" s="2089"/>
      <c r="C17" s="2709">
        <f>SUM(C5:C16)</f>
        <v>1</v>
      </c>
      <c r="D17" s="2709">
        <f>SUM(D5:D16)</f>
        <v>0</v>
      </c>
      <c r="E17" s="2558"/>
      <c r="F17" s="2558"/>
      <c r="G17" s="2558"/>
      <c r="H17" s="2558"/>
      <c r="I17" s="2558"/>
      <c r="J17" s="2840"/>
    </row>
    <row r="18" spans="1:36" ht="32.450000000000003" customHeight="1" thickBot="1">
      <c r="A18" s="2710" t="s">
        <v>1733</v>
      </c>
      <c r="B18" s="2711"/>
      <c r="C18" s="2712">
        <f>ROUND(C17/SUM(C17:D17),2)</f>
        <v>1</v>
      </c>
      <c r="D18" s="2712">
        <f>1-C18</f>
        <v>0</v>
      </c>
      <c r="E18" s="3357" t="s">
        <v>2813</v>
      </c>
      <c r="F18" s="3358"/>
      <c r="G18" s="3358"/>
      <c r="H18" s="3358"/>
      <c r="I18" s="3358"/>
      <c r="J18" s="2840"/>
    </row>
    <row r="19" spans="1:36" ht="15">
      <c r="A19" s="2713" t="s">
        <v>1734</v>
      </c>
      <c r="B19" s="2714" t="s">
        <v>1735</v>
      </c>
      <c r="C19" s="2715">
        <f ca="1">SUMIF(INDIRECT("'"&amp;C4&amp;"'"&amp;"!A:A"),'结果表 (1修多)'!B19,INDIRECT("'"&amp;C4&amp;"'"&amp;"!B:B"))</f>
        <v>656412</v>
      </c>
      <c r="D19" s="2716">
        <f ca="1">SUMIF(INDIRECT("'"&amp;D4&amp;"'"&amp;"!A:A"),'结果表 (1修多)'!B19,INDIRECT("'"&amp;D4&amp;"'"&amp;"!B:B"))</f>
        <v>439544</v>
      </c>
      <c r="E19" s="2713" t="s">
        <v>1736</v>
      </c>
      <c r="F19" s="2714" t="s">
        <v>1735</v>
      </c>
      <c r="G19" s="2717">
        <f ca="1">ROUND(C19*$C$18+D19*$D$18,0)</f>
        <v>656412</v>
      </c>
      <c r="H19" s="2718" t="str">
        <f>'数据-取费表'!B3</f>
        <v>元</v>
      </c>
      <c r="I19" s="2558"/>
      <c r="J19" s="2840"/>
    </row>
    <row r="20" spans="1:36" ht="15">
      <c r="A20" s="2719"/>
      <c r="B20" s="1690" t="s">
        <v>1737</v>
      </c>
      <c r="C20" s="1914">
        <f ca="1">SUMIF(INDIRECT("'"&amp;C4&amp;"'"&amp;"!A:A"),'结果表 (1修多)'!B20,INDIRECT("'"&amp;C4&amp;"'"&amp;"!B:B"))</f>
        <v>7971</v>
      </c>
      <c r="D20" s="1917">
        <f ca="1">SUMIF(INDIRECT("'"&amp;D4&amp;"'"&amp;"!A:A"),'结果表 (1修多)'!B20,INDIRECT("'"&amp;D4&amp;"'"&amp;"!B:B"))</f>
        <v>5338</v>
      </c>
      <c r="E20" s="2719"/>
      <c r="F20" s="1690" t="s">
        <v>1737</v>
      </c>
      <c r="G20" s="2088">
        <f ca="1">ROUND(C20*$C$18+D20*$D$18,0)</f>
        <v>7971</v>
      </c>
      <c r="H20" s="2720" t="s">
        <v>1738</v>
      </c>
      <c r="I20" s="2558"/>
      <c r="J20" s="2840"/>
    </row>
    <row r="21" spans="1:36" ht="15" customHeight="1" thickBot="1">
      <c r="A21" s="2721"/>
      <c r="B21" s="2722"/>
      <c r="C21" s="2722"/>
      <c r="D21" s="2723"/>
      <c r="E21" s="2721"/>
      <c r="F21" s="2722"/>
      <c r="G21" s="2724"/>
      <c r="H21" s="2725"/>
      <c r="I21" s="2558"/>
      <c r="J21" s="2840"/>
    </row>
    <row r="22" spans="1:36" ht="15" thickBot="1">
      <c r="A22" s="2726" t="s">
        <v>1739</v>
      </c>
      <c r="B22" s="2727"/>
      <c r="C22" s="2641"/>
      <c r="D22" s="2728">
        <f ca="1">IF(C19&lt;D19,D19/C19-1,C19/D19-1)</f>
        <v>0.49339315290391861</v>
      </c>
      <c r="E22" s="946"/>
      <c r="F22" s="946"/>
      <c r="G22" s="946"/>
      <c r="H22" s="946"/>
      <c r="I22" s="946"/>
      <c r="J22" s="2840"/>
    </row>
    <row r="23" spans="1:36" ht="13.5" thickBot="1">
      <c r="A23" s="2558"/>
      <c r="B23" s="2558"/>
      <c r="C23" s="2558"/>
      <c r="D23" s="2558"/>
      <c r="E23" s="946"/>
      <c r="F23" s="946"/>
      <c r="G23" s="946"/>
      <c r="H23" s="946"/>
      <c r="I23" s="946"/>
      <c r="J23" s="2840"/>
    </row>
    <row r="24" spans="1:36" ht="21.75" customHeight="1">
      <c r="A24" s="3346" t="s">
        <v>1740</v>
      </c>
      <c r="B24" s="2714" t="s">
        <v>1735</v>
      </c>
      <c r="C24" s="2717">
        <f>D30</f>
        <v>0</v>
      </c>
      <c r="D24" s="2670"/>
      <c r="E24" s="946"/>
      <c r="F24" s="946"/>
      <c r="G24" s="946"/>
      <c r="H24" s="946"/>
      <c r="I24" s="946"/>
      <c r="J24" s="2840"/>
    </row>
    <row r="25" spans="1:36" ht="21.75" customHeight="1">
      <c r="A25" s="3347"/>
      <c r="B25" s="1690" t="s">
        <v>1737</v>
      </c>
      <c r="C25" s="2729">
        <f>IF(B30=0,0,C30)</f>
        <v>0</v>
      </c>
      <c r="D25" s="2730"/>
      <c r="E25" s="946"/>
      <c r="F25" s="946"/>
      <c r="G25" s="946"/>
      <c r="H25" s="946"/>
      <c r="I25" s="946"/>
      <c r="J25" s="2840"/>
    </row>
    <row r="26" spans="1:36" ht="13.5" customHeight="1">
      <c r="A26" s="2731" t="s">
        <v>1741</v>
      </c>
      <c r="B26" s="2732" t="s">
        <v>1742</v>
      </c>
      <c r="C26" s="2732" t="s">
        <v>1743</v>
      </c>
      <c r="D26" s="2733" t="s">
        <v>1744</v>
      </c>
      <c r="E26" s="946"/>
      <c r="F26" s="946"/>
      <c r="G26" s="946"/>
      <c r="H26" s="946"/>
      <c r="I26" s="946"/>
      <c r="J26" s="2840"/>
    </row>
    <row r="27" spans="1:36" ht="14.25">
      <c r="A27" s="2734" t="s">
        <v>1885</v>
      </c>
      <c r="B27" s="2732">
        <v>0</v>
      </c>
      <c r="C27" s="2732">
        <v>0</v>
      </c>
      <c r="D27" s="2733">
        <f>ROUND(C27*B27/10000,0)</f>
        <v>0</v>
      </c>
      <c r="E27" s="946"/>
      <c r="F27" s="946"/>
      <c r="G27" s="946"/>
      <c r="H27" s="946"/>
      <c r="I27" s="946"/>
      <c r="J27" s="2840"/>
    </row>
    <row r="28" spans="1:36" ht="14.25">
      <c r="A28" s="2731"/>
      <c r="B28" s="2732"/>
      <c r="C28" s="2732"/>
      <c r="D28" s="2733">
        <f>ROUND(C28*B28/10000,0)</f>
        <v>0</v>
      </c>
      <c r="E28" s="946"/>
      <c r="F28" s="946"/>
      <c r="G28" s="946"/>
      <c r="H28" s="946"/>
      <c r="I28" s="946"/>
      <c r="J28" s="2840"/>
    </row>
    <row r="29" spans="1:36" ht="14.25">
      <c r="A29" s="2731"/>
      <c r="B29" s="2732"/>
      <c r="C29" s="2732"/>
      <c r="D29" s="2733">
        <f t="shared" ref="D29" si="0">ROUND(C29*B29/10000,0)</f>
        <v>0</v>
      </c>
      <c r="E29" s="946"/>
      <c r="F29" s="946"/>
      <c r="G29" s="946"/>
      <c r="H29" s="946"/>
      <c r="I29" s="946"/>
      <c r="J29" s="2840"/>
    </row>
    <row r="30" spans="1:36" ht="15" thickBot="1">
      <c r="A30" s="2767" t="s">
        <v>1886</v>
      </c>
      <c r="B30" s="2768"/>
      <c r="C30" s="2768"/>
      <c r="D30" s="2768"/>
      <c r="E30" s="2735" t="s">
        <v>2817</v>
      </c>
      <c r="F30" s="2558"/>
      <c r="G30" s="2558"/>
      <c r="H30" s="2558"/>
      <c r="I30" s="2558"/>
      <c r="J30" s="2840"/>
    </row>
    <row r="31" spans="1:36" s="2833" customFormat="1" ht="27.6" customHeight="1" thickTop="1" thickBot="1">
      <c r="A31" s="2828"/>
      <c r="B31" s="2829"/>
      <c r="C31" s="2829"/>
      <c r="D31" s="2829"/>
      <c r="E31" s="2829"/>
      <c r="F31" s="2829"/>
      <c r="G31" s="2829"/>
      <c r="H31" s="2829"/>
      <c r="I31" s="2830" t="s">
        <v>2818</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2" customFormat="1" ht="16.5" thickTop="1" thickBot="1">
      <c r="A32" s="3403" t="s">
        <v>1887</v>
      </c>
      <c r="B32" s="3403"/>
      <c r="C32" s="3403"/>
      <c r="D32" s="3403"/>
      <c r="E32" s="3403"/>
      <c r="F32" s="3403"/>
      <c r="G32" s="3403"/>
      <c r="H32" s="3403"/>
      <c r="I32" s="3403"/>
      <c r="J32" s="2869"/>
      <c r="K32" s="658"/>
      <c r="L32" s="658"/>
      <c r="M32" s="658"/>
      <c r="N32" s="658"/>
      <c r="O32" s="658"/>
      <c r="P32" s="658"/>
      <c r="Q32" s="658"/>
      <c r="R32" s="658"/>
      <c r="S32" s="658"/>
      <c r="T32" s="658"/>
      <c r="U32" s="658"/>
      <c r="V32" s="658"/>
      <c r="W32" s="658"/>
      <c r="X32" s="658"/>
      <c r="Y32" s="658"/>
      <c r="Z32" s="658"/>
      <c r="AA32" s="658"/>
      <c r="AB32" s="1307"/>
      <c r="AC32" s="1307"/>
      <c r="AD32" s="1307"/>
      <c r="AE32" s="1307"/>
      <c r="AF32" s="1307"/>
      <c r="AG32" s="1307"/>
      <c r="AH32" s="1307"/>
      <c r="AI32" s="1307"/>
      <c r="AJ32" s="1307"/>
    </row>
    <row r="33" spans="1:16" ht="15">
      <c r="A33" s="1508"/>
      <c r="B33" s="2769" t="s">
        <v>1888</v>
      </c>
      <c r="C33" s="2770">
        <f ca="1">典型户型修正!R27</f>
        <v>7971</v>
      </c>
      <c r="D33" s="2558" t="s">
        <v>1889</v>
      </c>
      <c r="E33" s="946"/>
      <c r="F33" s="946"/>
      <c r="G33" s="946"/>
      <c r="H33" s="946"/>
      <c r="I33" s="946"/>
      <c r="J33" s="2840"/>
    </row>
    <row r="34" spans="1:16" ht="15">
      <c r="A34" s="1509" t="s">
        <v>1890</v>
      </c>
      <c r="B34" s="2771" t="s">
        <v>1891</v>
      </c>
      <c r="C34" s="2772">
        <f ca="1">典型户型修正!B2</f>
        <v>2692376</v>
      </c>
      <c r="D34" s="2773" t="str">
        <f>IF('数据-取费表'!B3="万元","万元","元")</f>
        <v>元</v>
      </c>
      <c r="E34" s="946"/>
      <c r="F34" s="946"/>
      <c r="G34" s="946"/>
      <c r="H34" s="946"/>
      <c r="I34" s="946"/>
      <c r="J34" s="2840"/>
    </row>
    <row r="35" spans="1:16" ht="15.75" thickBot="1">
      <c r="A35" s="1510"/>
      <c r="B35" s="2774" t="s">
        <v>1892</v>
      </c>
      <c r="C35" s="2723">
        <f ca="1">典型户型修正!B3</f>
        <v>79166574</v>
      </c>
      <c r="D35" s="2558" t="s">
        <v>1893</v>
      </c>
      <c r="E35" s="946"/>
      <c r="F35" s="946"/>
      <c r="G35" s="946"/>
      <c r="H35" s="946"/>
      <c r="I35" s="946"/>
      <c r="J35" s="2840"/>
    </row>
    <row r="36" spans="1:16" ht="15">
      <c r="A36" s="1511"/>
      <c r="B36" s="1465" t="s">
        <v>1894</v>
      </c>
      <c r="C36" s="2775">
        <f>IF('数据-取费表'!B3="万元",典型户型修正!V25,典型户型修正!U25)</f>
        <v>0</v>
      </c>
      <c r="D36" s="2558" t="str">
        <f>D34</f>
        <v>元</v>
      </c>
      <c r="E36" s="946"/>
      <c r="F36" s="946"/>
      <c r="G36" s="946"/>
      <c r="H36" s="946"/>
      <c r="I36" s="946"/>
      <c r="J36" s="2840"/>
    </row>
    <row r="37" spans="1:16" ht="15.75" thickBot="1">
      <c r="A37" s="1464"/>
      <c r="B37" s="1466" t="s">
        <v>1895</v>
      </c>
      <c r="C37" s="2776">
        <f>IF('数据-取费表'!B3="万元",典型户型修正!Y25,典型户型修正!X25)</f>
        <v>0</v>
      </c>
      <c r="D37" s="2558" t="str">
        <f>D34</f>
        <v>元</v>
      </c>
      <c r="E37" s="946"/>
      <c r="F37" s="946"/>
      <c r="G37" s="946"/>
      <c r="H37" s="946"/>
      <c r="I37" s="946"/>
      <c r="J37" s="2840"/>
    </row>
    <row r="38" spans="1:16" ht="15.75" thickBot="1">
      <c r="A38" s="3346" t="s">
        <v>1896</v>
      </c>
      <c r="B38" s="1465" t="s">
        <v>1897</v>
      </c>
      <c r="C38" s="2750"/>
      <c r="D38" s="2751"/>
      <c r="E38" s="1677"/>
      <c r="F38" s="1677"/>
      <c r="G38" s="946"/>
      <c r="H38" s="946"/>
      <c r="I38" s="946"/>
      <c r="J38" s="2840"/>
    </row>
    <row r="39" spans="1:16" ht="15.75" thickBot="1">
      <c r="A39" s="3351"/>
      <c r="B39" s="2089" t="s">
        <v>1898</v>
      </c>
      <c r="C39" s="2752"/>
      <c r="D39" s="1310"/>
      <c r="E39" s="1310"/>
      <c r="F39" s="1677"/>
      <c r="G39" s="1310"/>
      <c r="H39" s="1310"/>
      <c r="I39" s="1310"/>
      <c r="J39" s="2844"/>
    </row>
    <row r="40" spans="1:16" ht="15.75" thickBot="1">
      <c r="A40" s="3352"/>
      <c r="B40" s="1466" t="s">
        <v>1899</v>
      </c>
      <c r="C40" s="2753"/>
      <c r="D40" s="2754" t="s">
        <v>1900</v>
      </c>
      <c r="E40" s="1310"/>
      <c r="F40" s="1677"/>
      <c r="G40" s="1310"/>
      <c r="H40" s="1310"/>
      <c r="I40" s="1310"/>
      <c r="J40" s="2844"/>
    </row>
    <row r="41" spans="1:16" ht="15">
      <c r="A41" s="2719" t="s">
        <v>1901</v>
      </c>
      <c r="B41" s="2755" t="s">
        <v>1902</v>
      </c>
      <c r="C41" s="2756" t="s">
        <v>1903</v>
      </c>
      <c r="D41" s="2756" t="s">
        <v>1904</v>
      </c>
      <c r="E41" s="2757" t="s">
        <v>1905</v>
      </c>
      <c r="F41" s="1677"/>
      <c r="G41" s="1310"/>
      <c r="H41" s="1310"/>
      <c r="I41" s="1310"/>
      <c r="J41" s="2844"/>
    </row>
    <row r="42" spans="1:16" ht="14.25">
      <c r="A42" s="2758" t="s">
        <v>1906</v>
      </c>
      <c r="B42" s="2759"/>
      <c r="C42" s="2760"/>
      <c r="D42" s="2760"/>
      <c r="E42" s="2761"/>
      <c r="F42" s="1677"/>
      <c r="G42" s="1310"/>
      <c r="H42" s="1310"/>
      <c r="I42" s="1310"/>
      <c r="J42" s="2844"/>
    </row>
    <row r="43" spans="1:16" ht="14.25">
      <c r="A43" s="2758" t="s">
        <v>1907</v>
      </c>
      <c r="B43" s="2759"/>
      <c r="C43" s="2760"/>
      <c r="D43" s="2760"/>
      <c r="E43" s="2761"/>
      <c r="F43" s="1677"/>
      <c r="G43" s="1310"/>
      <c r="H43" s="1310"/>
      <c r="I43" s="1310"/>
      <c r="J43" s="2844"/>
    </row>
    <row r="44" spans="1:16" ht="15" thickBot="1">
      <c r="A44" s="2762"/>
      <c r="B44" s="2763"/>
      <c r="C44" s="2764"/>
      <c r="D44" s="2764"/>
      <c r="E44" s="2749"/>
      <c r="F44" s="1677"/>
      <c r="G44" s="1310"/>
      <c r="H44" s="1310"/>
      <c r="I44" s="1310"/>
      <c r="J44" s="2844"/>
    </row>
    <row r="45" spans="1:16" ht="12.75">
      <c r="A45" s="1478"/>
      <c r="B45" s="1478"/>
      <c r="C45" s="1478"/>
      <c r="D45" s="1478"/>
      <c r="E45" s="1478"/>
      <c r="F45" s="1435"/>
      <c r="G45" s="1435"/>
      <c r="H45" s="1435"/>
      <c r="I45" s="2765"/>
      <c r="J45" s="2845"/>
    </row>
    <row r="46" spans="1:16" ht="18.75">
      <c r="A46" s="1468" t="s">
        <v>1908</v>
      </c>
      <c r="B46" s="1469"/>
      <c r="C46" s="1469"/>
      <c r="D46" s="2777"/>
      <c r="E46" s="2777"/>
      <c r="F46" s="2777"/>
      <c r="G46" s="2777"/>
      <c r="H46" s="2777"/>
      <c r="I46" s="2834" t="s">
        <v>2812</v>
      </c>
      <c r="J46" s="2870"/>
      <c r="K46" s="1472" t="s">
        <v>1763</v>
      </c>
      <c r="L46" s="1473"/>
      <c r="M46" s="1473"/>
      <c r="N46" s="1473"/>
      <c r="O46" s="1473"/>
      <c r="P46" s="1473"/>
    </row>
    <row r="47" spans="1:16" ht="14.25" customHeight="1" thickBot="1">
      <c r="A47" s="3271" t="s">
        <v>1909</v>
      </c>
      <c r="B47" s="3272"/>
      <c r="C47" s="3282"/>
      <c r="D47" s="246">
        <f ca="1">ROUND(I104*F47,0)</f>
        <v>2692376</v>
      </c>
      <c r="E47" s="1539" t="s">
        <v>1910</v>
      </c>
      <c r="F47" s="2556">
        <v>1</v>
      </c>
      <c r="G47" s="2557" t="s">
        <v>1911</v>
      </c>
      <c r="H47" s="946"/>
      <c r="I47" s="946"/>
      <c r="J47" s="2840"/>
      <c r="K47" s="3376" t="s">
        <v>1767</v>
      </c>
      <c r="L47" s="3376"/>
      <c r="M47" s="3376"/>
      <c r="N47" s="3376"/>
      <c r="O47" s="3376"/>
      <c r="P47" s="3376"/>
    </row>
    <row r="48" spans="1:16" ht="14.25" customHeight="1">
      <c r="A48" s="3348" t="s">
        <v>1768</v>
      </c>
      <c r="B48" s="3349"/>
      <c r="C48" s="3349"/>
      <c r="D48" s="3349"/>
      <c r="E48" s="3349"/>
      <c r="F48" s="3349"/>
      <c r="G48" s="3350"/>
      <c r="H48" s="2972"/>
      <c r="I48" s="946"/>
      <c r="J48" s="2840"/>
      <c r="K48" s="2508">
        <v>1</v>
      </c>
      <c r="L48" s="3377" t="s">
        <v>1769</v>
      </c>
      <c r="M48" s="3377"/>
      <c r="N48" s="3378"/>
      <c r="O48" s="3378"/>
      <c r="P48" s="3378"/>
    </row>
    <row r="49" spans="1:17" ht="12" customHeight="1">
      <c r="A49" s="38" t="s">
        <v>1770</v>
      </c>
      <c r="B49" s="39"/>
      <c r="C49" s="40"/>
      <c r="D49" s="1098" t="s">
        <v>1771</v>
      </c>
      <c r="E49" s="235" t="s">
        <v>1772</v>
      </c>
      <c r="F49" s="41" t="s">
        <v>1773</v>
      </c>
      <c r="G49" s="2559" t="s">
        <v>1774</v>
      </c>
      <c r="H49" s="2972"/>
      <c r="I49" s="946"/>
      <c r="J49" s="2840"/>
      <c r="K49" s="2508">
        <v>2</v>
      </c>
      <c r="L49" s="3377" t="s">
        <v>1775</v>
      </c>
      <c r="M49" s="3377"/>
      <c r="N49" s="3380">
        <f>'数据-取费表'!B2</f>
        <v>44296</v>
      </c>
      <c r="O49" s="3380"/>
      <c r="P49" s="3380"/>
    </row>
    <row r="50" spans="1:17" ht="25.5">
      <c r="A50" s="3353" t="s">
        <v>1776</v>
      </c>
      <c r="B50" s="3287"/>
      <c r="C50" s="3287"/>
      <c r="D50" s="12">
        <f ca="1">IF(H50="情况1",0,IF(H50="情况2",D54,IF(H50="情况3",D55,IF(H50="情况4",D56))))</f>
        <v>143593</v>
      </c>
      <c r="E50" s="2087" t="str">
        <f>IF(H50="情况4","(销售额-原购置价)×税（费）率","销售额×税（费）率")</f>
        <v>销售额×税（费）率</v>
      </c>
      <c r="F50" s="2560">
        <f>IF(H50="情况1","免征",'数据-取费表'!E29)</f>
        <v>5.6000000000000001E-2</v>
      </c>
      <c r="G50" s="2561" t="s">
        <v>1777</v>
      </c>
      <c r="H50" s="2562" t="s">
        <v>1778</v>
      </c>
      <c r="I50" s="2972"/>
      <c r="J50" s="2847"/>
      <c r="K50" s="2508">
        <v>3</v>
      </c>
      <c r="L50" s="3377" t="s">
        <v>1779</v>
      </c>
      <c r="M50" s="3377"/>
      <c r="N50" s="3382">
        <f ca="1">I104</f>
        <v>2692376</v>
      </c>
      <c r="O50" s="3382"/>
      <c r="P50" s="3382"/>
    </row>
    <row r="51" spans="1:17" ht="25.5" customHeight="1">
      <c r="A51" s="2086" t="s">
        <v>1780</v>
      </c>
      <c r="B51" s="3326" t="s">
        <v>1781</v>
      </c>
      <c r="C51" s="3326"/>
      <c r="D51" s="2563">
        <v>0</v>
      </c>
      <c r="E51" s="261" t="s">
        <v>1782</v>
      </c>
      <c r="F51" s="2564" t="s">
        <v>48</v>
      </c>
      <c r="G51" s="3268"/>
      <c r="H51" s="2565" t="s">
        <v>2737</v>
      </c>
      <c r="I51" s="2566"/>
      <c r="J51" s="2848"/>
      <c r="K51" s="2508">
        <v>4</v>
      </c>
      <c r="L51" s="3377" t="str">
        <f>IF(项目基本情况!F5="房地产抵押价值","房地产抵押价值","抵押担保权已注销时的房地产抵押价值")</f>
        <v>抵押担保权已注销时的房地产抵押价值</v>
      </c>
      <c r="M51" s="3377"/>
      <c r="N51" s="3382" t="str">
        <f>IF(项目基本情况!F5="房地产抵押价值",I112,I114)</f>
        <v>——</v>
      </c>
      <c r="O51" s="3382"/>
      <c r="P51" s="3382"/>
    </row>
    <row r="52" spans="1:17" ht="25.5" customHeight="1">
      <c r="A52" s="2076"/>
      <c r="B52" s="3326" t="s">
        <v>1783</v>
      </c>
      <c r="C52" s="3326"/>
      <c r="D52" s="2567"/>
      <c r="E52" s="269"/>
      <c r="F52" s="2564"/>
      <c r="G52" s="3269"/>
      <c r="H52" s="2568" t="s">
        <v>2738</v>
      </c>
      <c r="I52" s="2566"/>
      <c r="J52" s="2848"/>
      <c r="K52" s="3377" t="s">
        <v>1784</v>
      </c>
      <c r="L52" s="3377"/>
      <c r="M52" s="3377"/>
      <c r="N52" s="3377"/>
      <c r="O52" s="3377"/>
      <c r="P52" s="3377"/>
    </row>
    <row r="53" spans="1:17" ht="20.45" customHeight="1">
      <c r="A53" s="2569"/>
      <c r="B53" s="3326" t="s">
        <v>1785</v>
      </c>
      <c r="C53" s="3326"/>
      <c r="D53" s="1098"/>
      <c r="E53" s="264"/>
      <c r="F53" s="2564"/>
      <c r="G53" s="3270"/>
      <c r="H53" s="2568" t="s">
        <v>2739</v>
      </c>
      <c r="I53" s="2566"/>
      <c r="J53" s="2848"/>
      <c r="K53" s="2509" t="s">
        <v>1786</v>
      </c>
      <c r="L53" s="3377" t="s">
        <v>1787</v>
      </c>
      <c r="M53" s="3377"/>
      <c r="N53" s="2509" t="s">
        <v>1788</v>
      </c>
      <c r="O53" s="2509" t="s">
        <v>1789</v>
      </c>
      <c r="P53" s="2509" t="s">
        <v>1790</v>
      </c>
    </row>
    <row r="54" spans="1:17" ht="24" customHeight="1">
      <c r="A54" s="2077" t="s">
        <v>1791</v>
      </c>
      <c r="B54" s="3326" t="s">
        <v>1792</v>
      </c>
      <c r="C54" s="3326"/>
      <c r="D54" s="1098">
        <f ca="1">ROUND(D47*'数据-取费表'!E29/(1+'数据-取费表'!F30),0)</f>
        <v>143593</v>
      </c>
      <c r="E54" s="2087" t="s">
        <v>1793</v>
      </c>
      <c r="F54" s="2570">
        <f>'数据-取费表'!E29</f>
        <v>5.6000000000000001E-2</v>
      </c>
      <c r="G54" s="2571"/>
      <c r="H54" s="946"/>
      <c r="I54" s="2973"/>
      <c r="J54" s="2848"/>
      <c r="K54" s="2508">
        <v>1</v>
      </c>
      <c r="L54" s="3379" t="s">
        <v>1794</v>
      </c>
      <c r="M54" s="3379"/>
      <c r="N54" s="2510">
        <f ca="1">D50</f>
        <v>143593</v>
      </c>
      <c r="O54" s="2508" t="str">
        <f>E50</f>
        <v>销售额×税（费）率</v>
      </c>
      <c r="P54" s="2511">
        <f>F50</f>
        <v>5.6000000000000001E-2</v>
      </c>
    </row>
    <row r="55" spans="1:17" ht="12" customHeight="1">
      <c r="A55" s="2077" t="s">
        <v>1795</v>
      </c>
      <c r="B55" s="3338" t="s">
        <v>2831</v>
      </c>
      <c r="C55" s="3327"/>
      <c r="D55" s="1098">
        <f ca="1">ROUND(D47*'数据-取费表'!E29/(1+'数据-取费表'!F30),0)</f>
        <v>143593</v>
      </c>
      <c r="E55" s="2087" t="s">
        <v>1793</v>
      </c>
      <c r="F55" s="2570">
        <f>'数据-取费表'!E29</f>
        <v>5.6000000000000001E-2</v>
      </c>
      <c r="G55" s="2571"/>
      <c r="H55" s="946"/>
      <c r="I55" s="2973"/>
      <c r="J55" s="2848"/>
      <c r="K55" s="2508">
        <v>2</v>
      </c>
      <c r="L55" s="3379" t="s">
        <v>1796</v>
      </c>
      <c r="M55" s="3379"/>
      <c r="N55" s="2510">
        <f t="shared" ref="N55:P56" ca="1" si="1">D57</f>
        <v>1346</v>
      </c>
      <c r="O55" s="2508" t="str">
        <f t="shared" si="1"/>
        <v>销售额×税（费）率</v>
      </c>
      <c r="P55" s="2511">
        <f t="shared" si="1"/>
        <v>5.0000000000000001E-4</v>
      </c>
    </row>
    <row r="56" spans="1:17" ht="12" customHeight="1">
      <c r="A56" s="2077" t="s">
        <v>1797</v>
      </c>
      <c r="B56" s="3338" t="s">
        <v>2832</v>
      </c>
      <c r="C56" s="3327"/>
      <c r="D56" s="1098">
        <f ca="1">C70</f>
        <v>143593</v>
      </c>
      <c r="E56" s="264" t="s">
        <v>1798</v>
      </c>
      <c r="F56" s="2570">
        <f>'数据-取费表'!E29</f>
        <v>5.6000000000000001E-2</v>
      </c>
      <c r="G56" s="2571"/>
      <c r="H56" s="2974"/>
      <c r="I56" s="2973"/>
      <c r="J56" s="2848"/>
      <c r="K56" s="2508">
        <v>3</v>
      </c>
      <c r="L56" s="3379" t="s">
        <v>1799</v>
      </c>
      <c r="M56" s="3379"/>
      <c r="N56" s="2510">
        <f t="shared" ca="1" si="1"/>
        <v>1523885</v>
      </c>
      <c r="O56" s="2508" t="str">
        <f t="shared" si="1"/>
        <v>增值额×税（费）率</v>
      </c>
      <c r="P56" s="2512" t="str">
        <f t="shared" si="1"/>
        <v>——</v>
      </c>
    </row>
    <row r="57" spans="1:17" ht="24" customHeight="1">
      <c r="A57" s="3291" t="s">
        <v>1800</v>
      </c>
      <c r="B57" s="3287"/>
      <c r="C57" s="3287"/>
      <c r="D57" s="12">
        <f ca="1">IF(H57="个人住宅",0,ROUND(D47*I57,0))</f>
        <v>1346</v>
      </c>
      <c r="E57" s="2087" t="s">
        <v>1801</v>
      </c>
      <c r="F57" s="2570">
        <f>IF(H57="正常",I57,"免征")</f>
        <v>5.0000000000000001E-4</v>
      </c>
      <c r="G57" s="2571"/>
      <c r="H57" s="2562" t="s">
        <v>1802</v>
      </c>
      <c r="I57" s="74">
        <f>'数据-取费表'!E37</f>
        <v>5.0000000000000001E-4</v>
      </c>
      <c r="J57" s="2848"/>
      <c r="K57" s="2508">
        <f>IF(H61="非个人房产","",4)</f>
        <v>4</v>
      </c>
      <c r="L57" s="3379" t="str">
        <f>IF(H61="非个人房产","——","个人所得税")</f>
        <v>个人所得税</v>
      </c>
      <c r="M57" s="3379"/>
      <c r="N57" s="2513">
        <f ca="1">D61</f>
        <v>26924</v>
      </c>
      <c r="O57" s="2514" t="str">
        <f>E61</f>
        <v>销售额×税（费）率</v>
      </c>
      <c r="P57" s="2515">
        <f>F61</f>
        <v>0.01</v>
      </c>
    </row>
    <row r="58" spans="1:17" ht="24.75">
      <c r="A58" s="3291" t="s">
        <v>1803</v>
      </c>
      <c r="B58" s="3287"/>
      <c r="C58" s="3287"/>
      <c r="D58" s="12">
        <f ca="1">IF(H58="个人住宅",D59,D60)</f>
        <v>1523885</v>
      </c>
      <c r="E58" s="2087" t="s">
        <v>1804</v>
      </c>
      <c r="F58" s="2570" t="str">
        <f>IF(H58="正常",F60,"免征")</f>
        <v>——</v>
      </c>
      <c r="G58" s="2572" t="s">
        <v>1805</v>
      </c>
      <c r="H58" s="2573" t="s">
        <v>1802</v>
      </c>
      <c r="I58" s="2975"/>
      <c r="J58" s="2848"/>
      <c r="K58" s="2508" t="str">
        <f>IF(项目基本情况!I6="上海银行",IF(K57="",4,K57+1),"")</f>
        <v/>
      </c>
      <c r="L58" s="3383" t="str">
        <f>IF(项目基本情况!I6="上海银行","其他处置费用","")</f>
        <v/>
      </c>
      <c r="M58" s="3388"/>
      <c r="N58" s="2510" t="str">
        <f>IF(项目基本情况!I6="上海银行",N71,"")</f>
        <v/>
      </c>
      <c r="O58" s="3383" t="str">
        <f>IF(项目基本情况!I6="上海银行","包含处置中涉及的律师、诉讼、拍卖、评估等费用","")</f>
        <v/>
      </c>
      <c r="P58" s="3384"/>
    </row>
    <row r="59" spans="1:17" ht="12.75">
      <c r="A59" s="2077" t="s">
        <v>1780</v>
      </c>
      <c r="B59" s="3338" t="s">
        <v>1806</v>
      </c>
      <c r="C59" s="3327"/>
      <c r="D59" s="2563">
        <v>0</v>
      </c>
      <c r="E59" s="261" t="s">
        <v>1782</v>
      </c>
      <c r="F59" s="235"/>
      <c r="G59" s="2571"/>
      <c r="H59" s="2975"/>
      <c r="I59" s="2975"/>
      <c r="J59" s="2848"/>
      <c r="K59" s="3379">
        <f>IF(AND(K57="",K58=""),4,IF(项目基本情况!I6="上海银行",K58+1,K57+1))</f>
        <v>5</v>
      </c>
      <c r="L59" s="3379" t="s">
        <v>1807</v>
      </c>
      <c r="M59" s="2516" t="s">
        <v>1808</v>
      </c>
      <c r="N59" s="2517"/>
      <c r="O59" s="2518">
        <f ca="1">SUMIF(N54:N58,"&lt;9e307")</f>
        <v>1695748</v>
      </c>
      <c r="P59" s="2519"/>
      <c r="Q59" s="1305" t="e">
        <f ca="1">O59/N51</f>
        <v>#VALUE!</v>
      </c>
    </row>
    <row r="60" spans="1:17" ht="24.75">
      <c r="A60" s="2077" t="s">
        <v>1791</v>
      </c>
      <c r="B60" s="3338" t="s">
        <v>1809</v>
      </c>
      <c r="C60" s="3326"/>
      <c r="D60" s="12">
        <f ca="1">IF(H60="转让取得",C83,C99)</f>
        <v>1523885</v>
      </c>
      <c r="E60" s="2087" t="s">
        <v>1804</v>
      </c>
      <c r="F60" s="235" t="s">
        <v>48</v>
      </c>
      <c r="G60" s="2571"/>
      <c r="H60" s="2573" t="s">
        <v>1810</v>
      </c>
      <c r="I60" s="2975"/>
      <c r="J60" s="2848"/>
      <c r="K60" s="3379"/>
      <c r="L60" s="3379"/>
      <c r="M60" s="2516" t="s">
        <v>1811</v>
      </c>
      <c r="N60" s="2520"/>
      <c r="O60" s="2521" t="str">
        <f ca="1">IF(H19="元",NUMBERSTRING(INT(O59),2)&amp;"元整",NUMBERSTRING(INT(O59*10000),2)&amp;"元整")</f>
        <v>壹佰陆拾玖万伍仟柒佰肆拾捌元整</v>
      </c>
      <c r="P60" s="2522"/>
    </row>
    <row r="61" spans="1:17" ht="26.25" thickBot="1">
      <c r="A61" s="3354" t="s">
        <v>1812</v>
      </c>
      <c r="B61" s="3355"/>
      <c r="C61" s="3355"/>
      <c r="D61" s="69">
        <f ca="1">IF(H61="非个人房产","——",IF(H61="个人住宅（满五唯一有凭证）",0,IF(H61="个人其他（无凭证）",ROUND(D47*F61,0),ROUND(C69*F61,0))))</f>
        <v>26924</v>
      </c>
      <c r="E61" s="2078"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2810</v>
      </c>
      <c r="H61" s="2091" t="s">
        <v>2736</v>
      </c>
      <c r="I61" s="2876" t="s">
        <v>2822</v>
      </c>
      <c r="J61" s="2848"/>
      <c r="K61" s="3385">
        <f>K59+1</f>
        <v>6</v>
      </c>
      <c r="L61" s="3379" t="s">
        <v>1813</v>
      </c>
      <c r="M61" s="2508" t="s">
        <v>1808</v>
      </c>
      <c r="N61" s="2523"/>
      <c r="O61" s="2524" t="e">
        <f ca="1">N51-O59</f>
        <v>#VALUE!</v>
      </c>
      <c r="P61" s="2525"/>
    </row>
    <row r="62" spans="1:17" ht="12" customHeight="1">
      <c r="A62" s="1454"/>
      <c r="B62" s="2558"/>
      <c r="C62" s="2558"/>
      <c r="D62" s="2558"/>
      <c r="E62" s="1454"/>
      <c r="F62" s="2975"/>
      <c r="G62" s="2975"/>
      <c r="H62" s="2970"/>
      <c r="I62" s="946"/>
      <c r="J62" s="2848"/>
      <c r="K62" s="3386"/>
      <c r="L62" s="3379"/>
      <c r="M62" s="2516" t="s">
        <v>1811</v>
      </c>
      <c r="N62" s="2520"/>
      <c r="O62" s="2521" t="e">
        <f ca="1">IF(H19="元",NUMBERSTRING(INT(O61),2)&amp;"元整",NUMBERSTRING(INT(O61*10000),2)&amp;"元整")</f>
        <v>#VALUE!</v>
      </c>
      <c r="P62" s="2522"/>
    </row>
    <row r="63" spans="1:17" ht="13.5" thickBot="1">
      <c r="A63" s="3387" t="s">
        <v>1814</v>
      </c>
      <c r="B63" s="3387"/>
      <c r="C63" s="3387"/>
      <c r="D63" s="3387"/>
      <c r="E63" s="3387"/>
      <c r="F63" s="2975"/>
      <c r="G63" s="2975"/>
      <c r="H63" s="2970"/>
      <c r="I63" s="946"/>
      <c r="J63" s="2840"/>
      <c r="K63" s="2508">
        <f>K61+1</f>
        <v>7</v>
      </c>
      <c r="L63" s="3379" t="s">
        <v>1815</v>
      </c>
      <c r="M63" s="3379"/>
      <c r="N63" s="2526"/>
      <c r="O63" s="2527" t="e">
        <f ca="1">IF(H19="元",ROUND(O61/项目基本情况!C12,0),ROUND(O61*10000/项目基本情况!C12,0))</f>
        <v>#VALUE!</v>
      </c>
      <c r="P63" s="2528"/>
    </row>
    <row r="64" spans="1:17" ht="12.75">
      <c r="A64" s="3305" t="s">
        <v>1816</v>
      </c>
      <c r="B64" s="3306"/>
      <c r="C64" s="1604"/>
      <c r="D64" s="1604" t="s">
        <v>1817</v>
      </c>
      <c r="E64" s="45" t="s">
        <v>1818</v>
      </c>
      <c r="F64" s="2975"/>
      <c r="G64" s="2975"/>
      <c r="H64" s="2970"/>
      <c r="I64" s="946"/>
      <c r="J64" s="2840"/>
      <c r="K64" s="1307"/>
      <c r="L64" s="1307"/>
      <c r="M64" s="1307"/>
      <c r="N64" s="1307"/>
      <c r="O64" s="1307"/>
    </row>
    <row r="65" spans="1:36" ht="12.75">
      <c r="A65" s="46">
        <v>1</v>
      </c>
      <c r="B65" s="47" t="s">
        <v>1819</v>
      </c>
      <c r="C65" s="2779">
        <f ca="1">ROUND((C66+C67)/(1+'数据-取费表'!F30),0)</f>
        <v>2564168</v>
      </c>
      <c r="D65" s="47"/>
      <c r="E65" s="48"/>
      <c r="F65" s="2975"/>
      <c r="G65" s="2975"/>
      <c r="H65" s="2970"/>
      <c r="I65" s="946"/>
      <c r="J65" s="2840"/>
      <c r="K65" s="3375" t="s">
        <v>1820</v>
      </c>
      <c r="L65" s="1306" t="s">
        <v>1821</v>
      </c>
      <c r="M65" s="1306" t="e">
        <f>IF(N51&gt;10000,N51*0.5%,IF(AND(N51&gt;1000,N51&lt;=10000),N51*1%,IF(AND(N51&gt;100,N51&lt;=1000),N51*3%,IF(AND(N51&gt;10,N51&lt;=100),N51*5%,N51*8%))))</f>
        <v>#VALUE!</v>
      </c>
      <c r="N65" s="235" t="e">
        <f>ROUND(M65,1)</f>
        <v>#VALUE!</v>
      </c>
      <c r="O65" s="2529"/>
    </row>
    <row r="66" spans="1:36" ht="12.75">
      <c r="A66" s="49" t="s">
        <v>71</v>
      </c>
      <c r="B66" s="50" t="s">
        <v>1822</v>
      </c>
      <c r="C66" s="2780">
        <f ca="1">D47</f>
        <v>2692376</v>
      </c>
      <c r="D66" s="50" t="s">
        <v>41</v>
      </c>
      <c r="E66" s="52"/>
      <c r="F66" s="2975"/>
      <c r="G66" s="2975"/>
      <c r="H66" s="2970"/>
      <c r="I66" s="946"/>
      <c r="J66" s="2840"/>
      <c r="K66" s="3375"/>
      <c r="L66" s="1306" t="s">
        <v>1823</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1824</v>
      </c>
    </row>
    <row r="67" spans="1:36" ht="12.75">
      <c r="A67" s="49" t="s">
        <v>72</v>
      </c>
      <c r="B67" s="50" t="s">
        <v>1825</v>
      </c>
      <c r="C67" s="2781"/>
      <c r="D67" s="50"/>
      <c r="E67" s="52"/>
      <c r="F67" s="2975"/>
      <c r="G67" s="2975"/>
      <c r="H67" s="2970"/>
      <c r="I67" s="946"/>
      <c r="J67" s="2840"/>
      <c r="K67" s="3375"/>
      <c r="L67" s="1306" t="s">
        <v>1826</v>
      </c>
      <c r="M67" s="1306" t="e">
        <f>IF(N51&gt;1000,N51*0.1%,IF(AND(N51&gt;500,N51&lt;=1000),N51*0.5%,IF(AND(N51&gt;50,N51&lt;=500),N51*1%,IF(AND(N51&gt;1,N51&lt;=50),N51*1.5%))))</f>
        <v>#VALUE!</v>
      </c>
      <c r="N67" s="235" t="e">
        <f t="shared" si="2"/>
        <v>#VALUE!</v>
      </c>
      <c r="O67" s="2529" t="s">
        <v>1824</v>
      </c>
    </row>
    <row r="68" spans="1:36" ht="12.75">
      <c r="A68" s="53" t="s">
        <v>47</v>
      </c>
      <c r="B68" s="54" t="s">
        <v>1827</v>
      </c>
      <c r="C68" s="2782"/>
      <c r="D68" s="54" t="s">
        <v>41</v>
      </c>
      <c r="E68" s="1315" t="s">
        <v>1828</v>
      </c>
      <c r="F68" s="2975"/>
      <c r="G68" s="2975"/>
      <c r="H68" s="2970"/>
      <c r="I68" s="946"/>
      <c r="J68" s="2840"/>
      <c r="K68" s="3375"/>
      <c r="L68" s="1306" t="s">
        <v>1829</v>
      </c>
      <c r="M68" s="1306" t="e">
        <f>N51*0.5%</f>
        <v>#VALUE!</v>
      </c>
      <c r="N68" s="235" t="e">
        <f>IF(M68&gt;0.5,0.5,ROUND(M68,0))</f>
        <v>#VALUE!</v>
      </c>
      <c r="O68" s="2529" t="s">
        <v>1830</v>
      </c>
    </row>
    <row r="69" spans="1:36" ht="12.75">
      <c r="A69" s="53" t="s">
        <v>42</v>
      </c>
      <c r="B69" s="54" t="s">
        <v>1831</v>
      </c>
      <c r="C69" s="2783">
        <f ca="1">C65-C68</f>
        <v>2564168</v>
      </c>
      <c r="D69" s="50" t="s">
        <v>41</v>
      </c>
      <c r="E69" s="52"/>
      <c r="F69" s="2975"/>
      <c r="G69" s="2975"/>
      <c r="H69" s="2970"/>
      <c r="I69" s="946"/>
      <c r="J69" s="2840"/>
      <c r="K69" s="3375"/>
      <c r="L69" s="1306" t="s">
        <v>1832</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1833</v>
      </c>
      <c r="C70" s="2784">
        <f ca="1">IF(C69&lt;=0,0,ROUND(C69*D70,0))</f>
        <v>143593</v>
      </c>
      <c r="D70" s="2237">
        <f>'数据-取费表'!E29</f>
        <v>5.6000000000000001E-2</v>
      </c>
      <c r="E70" s="57"/>
      <c r="F70" s="2975"/>
      <c r="G70" s="2975"/>
      <c r="H70" s="2970"/>
      <c r="I70" s="946"/>
      <c r="J70" s="2840"/>
      <c r="K70" s="3375"/>
      <c r="L70" s="1306" t="s">
        <v>1834</v>
      </c>
      <c r="M70" s="1306" t="e">
        <f>IF(N51&gt;10000,N51*0.5%,IF(AND(N51&gt;5000,N51&lt;=10000),N51*1%,IF(AND(N51&gt;1000,N51&lt;=5000),N51*2%,IF(AND(N51&gt;200,N51&lt;=1000),N51*3%,N51*5%))))</f>
        <v>#VALUE!</v>
      </c>
      <c r="N70" s="235" t="e">
        <f>ROUND(M70,1)</f>
        <v>#VALUE!</v>
      </c>
      <c r="O70" s="2529"/>
    </row>
    <row r="71" spans="1:36" s="1462" customFormat="1" ht="7.5" customHeight="1">
      <c r="A71" s="1474"/>
      <c r="B71" s="1475"/>
      <c r="C71" s="2785"/>
      <c r="D71" s="2280"/>
      <c r="E71" s="1478"/>
      <c r="F71" s="1454"/>
      <c r="G71" s="1454"/>
      <c r="H71" s="1478"/>
      <c r="I71" s="2558"/>
      <c r="J71" s="2840"/>
      <c r="K71" s="3375"/>
      <c r="L71" s="1306" t="s">
        <v>1835</v>
      </c>
      <c r="M71" s="1306"/>
      <c r="N71" s="235" t="e">
        <f>ROUND(SUM(N65:N70),0)</f>
        <v>#VALUE!</v>
      </c>
      <c r="O71" s="2530" t="e">
        <f>N71/N51</f>
        <v>#VALUE!</v>
      </c>
      <c r="P71" s="658"/>
      <c r="Q71" s="658"/>
      <c r="R71" s="658"/>
      <c r="S71" s="658"/>
      <c r="T71" s="658"/>
      <c r="U71" s="658"/>
      <c r="V71" s="658"/>
      <c r="W71" s="658"/>
      <c r="X71" s="658"/>
      <c r="Y71" s="658"/>
      <c r="Z71" s="658"/>
      <c r="AA71" s="658"/>
      <c r="AB71" s="1307"/>
      <c r="AC71" s="1307"/>
      <c r="AD71" s="1307"/>
      <c r="AE71" s="1307"/>
      <c r="AF71" s="1307"/>
      <c r="AG71" s="1307"/>
      <c r="AH71" s="1307"/>
      <c r="AI71" s="1307"/>
      <c r="AJ71" s="1307"/>
    </row>
    <row r="72" spans="1:36" s="1480" customFormat="1" ht="15" thickBot="1">
      <c r="A72" s="3392" t="s">
        <v>1836</v>
      </c>
      <c r="B72" s="3393"/>
      <c r="C72" s="3393"/>
      <c r="D72" s="3393"/>
      <c r="E72" s="3393"/>
      <c r="F72" s="3393"/>
      <c r="G72" s="3393"/>
      <c r="H72" s="3393"/>
      <c r="I72" s="1479"/>
      <c r="J72" s="2849"/>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305" t="s">
        <v>1816</v>
      </c>
      <c r="B73" s="3306"/>
      <c r="C73" s="1604"/>
      <c r="D73" s="1604" t="s">
        <v>1817</v>
      </c>
      <c r="E73" s="58" t="s">
        <v>1818</v>
      </c>
      <c r="F73" s="59"/>
      <c r="G73" s="59"/>
      <c r="H73" s="60"/>
      <c r="I73" s="2786"/>
      <c r="J73" s="2871"/>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1837</v>
      </c>
      <c r="C74" s="2783">
        <f ca="1">ROUND(D47/(1+'数据-取费表'!F30),0)</f>
        <v>2564168</v>
      </c>
      <c r="D74" s="50" t="s">
        <v>41</v>
      </c>
      <c r="E74" s="2083"/>
      <c r="F74" s="2084"/>
      <c r="G74" s="2084"/>
      <c r="H74" s="62"/>
      <c r="I74" s="2786"/>
      <c r="J74" s="2871"/>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1839</v>
      </c>
      <c r="C75" s="2783">
        <f ca="1">C76+C80</f>
        <v>15385</v>
      </c>
      <c r="D75" s="50" t="s">
        <v>41</v>
      </c>
      <c r="E75" s="2083"/>
      <c r="F75" s="2084"/>
      <c r="G75" s="2084"/>
      <c r="H75" s="62"/>
      <c r="I75" s="2786"/>
      <c r="J75" s="2871"/>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1840</v>
      </c>
      <c r="C76" s="50">
        <f>ROUND(IF(G79="2016年5月1日后购买",C77/(1+'数据-取费表'!F30)+C78+C79,C77+C78+C79),0)</f>
        <v>0</v>
      </c>
      <c r="D76" s="50" t="s">
        <v>41</v>
      </c>
      <c r="E76" s="2083"/>
      <c r="F76" s="2084"/>
      <c r="G76" s="2084"/>
      <c r="H76" s="62"/>
      <c r="I76" s="2786"/>
      <c r="J76" s="2871"/>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1841</v>
      </c>
      <c r="C77" s="2263"/>
      <c r="D77" s="50" t="s">
        <v>41</v>
      </c>
      <c r="E77" s="64" t="s">
        <v>1842</v>
      </c>
      <c r="F77" s="2787" t="s">
        <v>1843</v>
      </c>
      <c r="G77" s="64" t="s">
        <v>1844</v>
      </c>
      <c r="H77" s="2788"/>
      <c r="I77" s="607"/>
      <c r="J77" s="2872"/>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1845</v>
      </c>
      <c r="C78" s="50">
        <f>IF(F77="购房发票",ROUND(C77*H77*D78,0),0)</f>
        <v>0</v>
      </c>
      <c r="D78" s="2789">
        <v>0.05</v>
      </c>
      <c r="E78" s="3338" t="s">
        <v>1846</v>
      </c>
      <c r="F78" s="3326"/>
      <c r="G78" s="3326"/>
      <c r="H78" s="3339"/>
      <c r="I78" s="2786"/>
      <c r="J78" s="2871"/>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1847</v>
      </c>
      <c r="C79" s="50">
        <f>ROUND(IF(G79="个人住宅",0,IF(G79="2016年5月1日前购买",C77*D79,C77*D79/(1+'数据-取费表'!F30))),0)</f>
        <v>0</v>
      </c>
      <c r="D79" s="2790">
        <f>'数据-取费表'!E36+'数据-取费表'!E37</f>
        <v>5.0500000000000003E-2</v>
      </c>
      <c r="E79" s="12" t="s">
        <v>1848</v>
      </c>
      <c r="F79" s="2090"/>
      <c r="G79" s="1483" t="s">
        <v>1849</v>
      </c>
      <c r="H79" s="2085" t="str">
        <f>IF(G79="个人买卖住房","免征印花税"," ")</f>
        <v xml:space="preserve"> </v>
      </c>
      <c r="I79" s="2786"/>
      <c r="J79" s="2871"/>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1850</v>
      </c>
      <c r="C80" s="2791">
        <f ca="1">ROUND(D47*D80/(1+'数据-取费表'!F30),0)</f>
        <v>15385</v>
      </c>
      <c r="D80" s="2792">
        <f>'数据-取费表'!E31</f>
        <v>6.000000000000001E-3</v>
      </c>
      <c r="E80" s="3274" t="s">
        <v>1851</v>
      </c>
      <c r="F80" s="3275"/>
      <c r="G80" s="3275"/>
      <c r="H80" s="3295"/>
      <c r="I80" s="608"/>
      <c r="J80" s="2873"/>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1852</v>
      </c>
      <c r="C81" s="2783">
        <f ca="1">C74-C75</f>
        <v>2548783</v>
      </c>
      <c r="D81" s="50" t="s">
        <v>41</v>
      </c>
      <c r="E81" s="2083"/>
      <c r="F81" s="2084"/>
      <c r="G81" s="2084"/>
      <c r="H81" s="62"/>
      <c r="I81" s="2786"/>
      <c r="J81" s="2871"/>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1853</v>
      </c>
      <c r="C82" s="2793">
        <f ca="1">IF(C81&lt;=0,0,C81/C75)</f>
        <v>165.66675333116672</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4"/>
      <c r="G82" s="2084"/>
      <c r="H82" s="62"/>
      <c r="I82" s="2786"/>
      <c r="J82" s="2871"/>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1854</v>
      </c>
      <c r="C83" s="2794">
        <f ca="1">ROUND(IF(C81&lt;=0,0,IF(C82&gt;=200%,C81*60%-C75*35%,IF(C82&gt;=100%,C81*50%-C75*15%,IF(C82&gt;=50%,C81*40%-C75*5%,IF(C82&lt;50%,C81*30%,0))))),0)</f>
        <v>1523885</v>
      </c>
      <c r="D83" s="2167"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6"/>
      <c r="J83" s="2871"/>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3"/>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392" t="s">
        <v>1855</v>
      </c>
      <c r="B85" s="3393"/>
      <c r="C85" s="3393"/>
      <c r="D85" s="3393"/>
      <c r="E85" s="3393"/>
      <c r="F85" s="3393"/>
      <c r="G85" s="3393"/>
      <c r="H85" s="3393"/>
      <c r="I85" s="607"/>
      <c r="J85" s="2872"/>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305" t="s">
        <v>1816</v>
      </c>
      <c r="B86" s="3306"/>
      <c r="C86" s="1604"/>
      <c r="D86" s="1604" t="s">
        <v>1817</v>
      </c>
      <c r="E86" s="58" t="s">
        <v>1818</v>
      </c>
      <c r="F86" s="59"/>
      <c r="G86" s="59"/>
      <c r="H86" s="72"/>
      <c r="I86" s="607"/>
      <c r="J86" s="2872"/>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1837</v>
      </c>
      <c r="C87" s="2783">
        <f ca="1">ROUND(D47/(1+'数据-取费表'!F30),0)</f>
        <v>2564168</v>
      </c>
      <c r="D87" s="50" t="s">
        <v>41</v>
      </c>
      <c r="E87" s="2083"/>
      <c r="F87" s="2084"/>
      <c r="G87" s="2084"/>
      <c r="H87" s="73"/>
      <c r="I87" s="607"/>
      <c r="J87" s="2872"/>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1839</v>
      </c>
      <c r="C88" s="2783">
        <f ca="1">IF(H90="仅含出让金",C89+C92+C93+C94+C95+C96,C89+C93+C94+C95+C96)</f>
        <v>15385</v>
      </c>
      <c r="D88" s="2795"/>
      <c r="E88" s="2083"/>
      <c r="F88" s="2084"/>
      <c r="G88" s="2084"/>
      <c r="H88" s="73"/>
      <c r="I88" s="607"/>
      <c r="J88" s="2872"/>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1856</v>
      </c>
      <c r="C89" s="2791">
        <f>C90+C91</f>
        <v>0</v>
      </c>
      <c r="D89" s="2792"/>
      <c r="E89" s="2080"/>
      <c r="F89" s="2081"/>
      <c r="G89" s="2081"/>
      <c r="H89" s="2082"/>
      <c r="I89" s="607"/>
      <c r="J89" s="2872"/>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1857</v>
      </c>
      <c r="C90" s="2796"/>
      <c r="D90" s="2792"/>
      <c r="E90" s="74" t="s">
        <v>1858</v>
      </c>
      <c r="F90" s="2081"/>
      <c r="G90" s="75" t="s">
        <v>1859</v>
      </c>
      <c r="H90" s="1485"/>
      <c r="I90" s="607"/>
      <c r="J90" s="2872"/>
      <c r="K90" s="2967" t="s">
        <v>2814</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1847</v>
      </c>
      <c r="C91" s="2791">
        <f>ROUND(C90*D91,0)</f>
        <v>0</v>
      </c>
      <c r="D91" s="2792">
        <f>'数据-取费表'!E36+'数据-取费表'!E37</f>
        <v>5.0500000000000003E-2</v>
      </c>
      <c r="E91" s="74" t="s">
        <v>1860</v>
      </c>
      <c r="F91" s="2081"/>
      <c r="G91" s="2081"/>
      <c r="H91" s="2082"/>
      <c r="I91" s="607"/>
      <c r="J91" s="2872"/>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1861</v>
      </c>
      <c r="C92" s="2796"/>
      <c r="D92" s="2792"/>
      <c r="E92" s="74" t="str">
        <f>IF(H90="-","土地取得成本中已包含该笔费用"," ")</f>
        <v xml:space="preserve"> </v>
      </c>
      <c r="F92" s="2081"/>
      <c r="G92" s="3314" t="s">
        <v>2731</v>
      </c>
      <c r="H92" s="3394"/>
      <c r="I92" s="607"/>
      <c r="J92" s="2872"/>
      <c r="K92" s="2967" t="s">
        <v>2815</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1862</v>
      </c>
      <c r="C93" s="2791">
        <f>IF(H93="——",成本法!C33,I93)</f>
        <v>0</v>
      </c>
      <c r="D93" s="2792"/>
      <c r="E93" s="3274" t="s">
        <v>1863</v>
      </c>
      <c r="F93" s="3275"/>
      <c r="G93" s="3275"/>
      <c r="H93" s="1486" t="s">
        <v>1864</v>
      </c>
      <c r="I93" s="2797"/>
      <c r="J93" s="2874"/>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1865</v>
      </c>
      <c r="C94" s="2791">
        <f>ROUND((C89+C92+C93)*D94,0)</f>
        <v>0</v>
      </c>
      <c r="D94" s="2792">
        <v>0.1</v>
      </c>
      <c r="E94" s="3274" t="s">
        <v>1866</v>
      </c>
      <c r="F94" s="3275"/>
      <c r="G94" s="3275"/>
      <c r="H94" s="3295"/>
      <c r="I94" s="607"/>
      <c r="J94" s="2872"/>
      <c r="K94" s="2968" t="s">
        <v>2816</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1850</v>
      </c>
      <c r="C95" s="2791">
        <f ca="1">ROUND(D47*D95/(1+'数据-取费表'!F30),0)</f>
        <v>15385</v>
      </c>
      <c r="D95" s="2792">
        <f>'数据-取费表'!E31</f>
        <v>6.000000000000001E-3</v>
      </c>
      <c r="E95" s="3274" t="s">
        <v>1851</v>
      </c>
      <c r="F95" s="3275"/>
      <c r="G95" s="3275"/>
      <c r="H95" s="3295"/>
      <c r="I95" s="607"/>
      <c r="J95" s="2872"/>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1867</v>
      </c>
      <c r="C96" s="2791">
        <f>ROUND((C89+C92+C93)*D96,0)</f>
        <v>0</v>
      </c>
      <c r="D96" s="2792">
        <v>0.2</v>
      </c>
      <c r="E96" s="3274" t="s">
        <v>1868</v>
      </c>
      <c r="F96" s="3275"/>
      <c r="G96" s="3275"/>
      <c r="H96" s="3295"/>
      <c r="I96" s="607"/>
      <c r="J96" s="2872"/>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1852</v>
      </c>
      <c r="C97" s="2783">
        <f ca="1">ROUND(C87-C88,0)</f>
        <v>2548783</v>
      </c>
      <c r="D97" s="50" t="s">
        <v>41</v>
      </c>
      <c r="E97" s="2083"/>
      <c r="F97" s="2084"/>
      <c r="G97" s="2084"/>
      <c r="H97" s="73"/>
      <c r="I97" s="607"/>
      <c r="J97" s="2872"/>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1853</v>
      </c>
      <c r="C98" s="2793">
        <f ca="1">IF(C97&lt;=0,0,C97/C88)</f>
        <v>165.66675333116672</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4"/>
      <c r="G98" s="2084"/>
      <c r="H98" s="73"/>
      <c r="I98" s="607"/>
      <c r="J98" s="2872"/>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1854</v>
      </c>
      <c r="C99" s="67">
        <f ca="1">ROUND(IF(C97&lt;=0,0,IF(C98&gt;=200%,C97*60%-C88*35%,IF(C98&gt;=100%,C97*50%-C88*15%,IF(C98&gt;=50%,C97*40%-C88*5%,IF(C98&lt;50%,C97*30%,0))))),0)</f>
        <v>1523885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1"/>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1869</v>
      </c>
      <c r="B100" s="1458"/>
      <c r="C100" s="1458"/>
      <c r="D100" s="1458"/>
      <c r="E100" s="811"/>
      <c r="F100" s="811"/>
      <c r="G100" s="811"/>
      <c r="H100" s="1467"/>
      <c r="I100" s="1458"/>
    </row>
    <row r="101" spans="1:36" ht="15">
      <c r="A101" s="3292" t="s">
        <v>1870</v>
      </c>
      <c r="B101" s="3293"/>
      <c r="C101" s="3293"/>
      <c r="D101" s="3294"/>
      <c r="E101" s="1458"/>
      <c r="F101" s="3389" t="s">
        <v>2773</v>
      </c>
      <c r="G101" s="3390"/>
      <c r="H101" s="3390"/>
      <c r="I101" s="3391"/>
      <c r="J101" s="2875"/>
    </row>
    <row r="102" spans="1:36" ht="15">
      <c r="A102" s="3309" t="s">
        <v>1872</v>
      </c>
      <c r="B102" s="3310"/>
      <c r="C102" s="2798" t="str">
        <f>C4</f>
        <v>比较法-住宅</v>
      </c>
      <c r="D102" s="2799" t="str">
        <f>D4</f>
        <v>收益法</v>
      </c>
      <c r="E102" s="1458"/>
      <c r="F102" s="3311" t="s">
        <v>2774</v>
      </c>
      <c r="G102" s="3313"/>
      <c r="H102" s="3324" t="s">
        <v>2775</v>
      </c>
      <c r="I102" s="3312"/>
      <c r="J102" s="2855"/>
    </row>
    <row r="103" spans="1:36" ht="12.75">
      <c r="A103" s="3395" t="s">
        <v>2769</v>
      </c>
      <c r="B103" s="2302" t="str">
        <f>IF(H19="元","总价（元）","总价（万元）")</f>
        <v>总价（元）</v>
      </c>
      <c r="C103" s="1306">
        <f ca="1">C19</f>
        <v>656412</v>
      </c>
      <c r="D103" s="2802">
        <f ca="1">D19</f>
        <v>439544</v>
      </c>
      <c r="E103" s="1458"/>
      <c r="F103" s="3396"/>
      <c r="G103" s="3397"/>
      <c r="H103" s="3315">
        <f>典型户型修正!B25</f>
        <v>340.09000000000003</v>
      </c>
      <c r="I103" s="3312"/>
      <c r="J103" s="2855"/>
    </row>
    <row r="104" spans="1:36" ht="12.75">
      <c r="A104" s="3395"/>
      <c r="B104" s="2302" t="s">
        <v>2770</v>
      </c>
      <c r="C104" s="2803">
        <f ca="1">C20</f>
        <v>7971</v>
      </c>
      <c r="D104" s="2804">
        <f ca="1">D20</f>
        <v>5338</v>
      </c>
      <c r="E104" s="1458"/>
      <c r="F104" s="3298" t="s">
        <v>2776</v>
      </c>
      <c r="G104" s="3299"/>
      <c r="H104" s="2812" t="str">
        <f>C110</f>
        <v>总价（元）</v>
      </c>
      <c r="I104" s="2813">
        <f ca="1">H125</f>
        <v>2692376</v>
      </c>
      <c r="J104" s="2855"/>
    </row>
    <row r="105" spans="1:36" ht="12.75">
      <c r="A105" s="3395" t="s">
        <v>2771</v>
      </c>
      <c r="B105" s="2240" t="str">
        <f>B103</f>
        <v>总价（元）</v>
      </c>
      <c r="C105" s="12">
        <f ca="1">ROUND(IF('数据-取费表'!B4="总价",G19,IF(H19="元",G20*'数据-取费表'!E5,G20*'数据-取费表'!E5/10000)),0)</f>
        <v>656412</v>
      </c>
      <c r="D105" s="2805"/>
      <c r="E105" s="1458"/>
      <c r="F105" s="3298"/>
      <c r="G105" s="3299"/>
      <c r="H105" s="2812" t="s">
        <v>2777</v>
      </c>
      <c r="I105" s="52">
        <f ca="1">I125</f>
        <v>79166574</v>
      </c>
      <c r="J105" s="2839"/>
    </row>
    <row r="106" spans="1:36" ht="12.75">
      <c r="A106" s="3395"/>
      <c r="B106" s="2302" t="s">
        <v>2770</v>
      </c>
      <c r="C106" s="1478">
        <f ca="1">ROUND(IF('数据-取费表'!B4="楼面单价",G20,IF(H19="元",G19/'数据-取费表'!E5,G19*10000/'数据-取费表'!E5)),0)</f>
        <v>7971</v>
      </c>
      <c r="D106" s="2805"/>
      <c r="E106" s="1458"/>
      <c r="F106" s="3298"/>
      <c r="G106" s="3299"/>
      <c r="H106" s="3330"/>
      <c r="I106" s="3331"/>
      <c r="J106" s="2856"/>
    </row>
    <row r="107" spans="1:36" ht="12.75">
      <c r="A107" s="3402" t="s">
        <v>2772</v>
      </c>
      <c r="B107" s="2806" t="str">
        <f>B103</f>
        <v>总价（元）</v>
      </c>
      <c r="C107" s="2807">
        <f ca="1">H125</f>
        <v>2692376</v>
      </c>
      <c r="D107" s="2808"/>
      <c r="E107" s="1458"/>
      <c r="F107" s="3334" t="s">
        <v>2778</v>
      </c>
      <c r="G107" s="3335"/>
      <c r="H107" s="2814" t="str">
        <f>C112</f>
        <v>总额（元）</v>
      </c>
      <c r="I107" s="2813">
        <f>SUMIF(I108:I110,"&lt;9E307")</f>
        <v>0</v>
      </c>
      <c r="J107" s="2855"/>
    </row>
    <row r="108" spans="1:36" ht="15" thickBot="1">
      <c r="A108" s="3329"/>
      <c r="B108" s="2809" t="s">
        <v>2770</v>
      </c>
      <c r="C108" s="2810">
        <f ca="1">I125</f>
        <v>79166574</v>
      </c>
      <c r="D108" s="2811"/>
      <c r="E108" s="1458"/>
      <c r="F108" s="3300" t="s">
        <v>2779</v>
      </c>
      <c r="G108" s="3301"/>
      <c r="H108" s="2814" t="str">
        <f>C113</f>
        <v>总额（元）</v>
      </c>
      <c r="I108" s="2815">
        <f>IF(D38="同一抵押权人同一抵押物续贷",C38&amp;"（续贷，未扣减，详见特别提示）",C38)</f>
        <v>0</v>
      </c>
      <c r="J108" s="2839"/>
      <c r="L108" s="1461" t="str">
        <f>IF(D125=0,"本次评估不存在"&amp;A125&amp;"。","本次评估"&amp;A125&amp;"为"&amp;D125&amp;"元人民币。")</f>
        <v>本次评估不存在吉林省长春市房地产。</v>
      </c>
      <c r="M108" s="1458"/>
      <c r="N108" s="1458"/>
      <c r="O108" s="1458"/>
      <c r="P108" s="1458"/>
      <c r="Q108" s="1458"/>
    </row>
    <row r="109" spans="1:36" ht="15">
      <c r="A109" s="3398" t="s">
        <v>1873</v>
      </c>
      <c r="B109" s="3399"/>
      <c r="C109" s="3399"/>
      <c r="D109" s="3400"/>
      <c r="E109" s="1458"/>
      <c r="F109" s="3300" t="s">
        <v>2780</v>
      </c>
      <c r="G109" s="3301"/>
      <c r="H109" s="2814" t="str">
        <f>C114</f>
        <v>总额（元）</v>
      </c>
      <c r="I109" s="52">
        <f>C39</f>
        <v>0</v>
      </c>
      <c r="J109" s="2839"/>
    </row>
    <row r="110" spans="1:36" ht="12.75">
      <c r="A110" s="3298" t="s">
        <v>2783</v>
      </c>
      <c r="B110" s="3299"/>
      <c r="C110" s="2812" t="str">
        <f>B103</f>
        <v>总价（元）</v>
      </c>
      <c r="D110" s="2813">
        <f ca="1">H125</f>
        <v>2692376</v>
      </c>
      <c r="E110" s="1458"/>
      <c r="F110" s="3300" t="s">
        <v>2781</v>
      </c>
      <c r="G110" s="3301"/>
      <c r="H110" s="2814" t="str">
        <f>C115</f>
        <v>总额（元）</v>
      </c>
      <c r="I110" s="52">
        <f>C40</f>
        <v>0</v>
      </c>
      <c r="J110" s="2839"/>
    </row>
    <row r="111" spans="1:36" ht="12.75">
      <c r="A111" s="3298"/>
      <c r="B111" s="3299"/>
      <c r="C111" s="2812" t="s">
        <v>2784</v>
      </c>
      <c r="D111" s="52">
        <f ca="1">I125</f>
        <v>79166574</v>
      </c>
      <c r="E111" s="1458"/>
      <c r="F111" s="3298"/>
      <c r="G111" s="3299"/>
      <c r="H111" s="3332"/>
      <c r="I111" s="3333"/>
      <c r="J111" s="2857"/>
    </row>
    <row r="112" spans="1:36" ht="28.5" customHeight="1">
      <c r="A112" s="3369" t="s">
        <v>2778</v>
      </c>
      <c r="B112" s="3370"/>
      <c r="C112" s="2814" t="str">
        <f>IF(H19="元","总额（元）","总额（万元）")</f>
        <v>总额（元）</v>
      </c>
      <c r="D112" s="2813">
        <f>IF(D38="正常操作",I108+I109+I110,I109+I110)</f>
        <v>0</v>
      </c>
      <c r="E112" s="1458"/>
      <c r="F112" s="3281" t="str">
        <f>IF(项目基本情况!F5="已注销","——","3.房地产抵押价值")</f>
        <v>3.房地产抵押价值</v>
      </c>
      <c r="G112" s="3282"/>
      <c r="H112" s="1478" t="str">
        <f>C116</f>
        <v>总价（元）</v>
      </c>
      <c r="I112" s="2813">
        <f ca="1">IF(F112="——","——",I104-I107)</f>
        <v>2692376</v>
      </c>
      <c r="J112" s="2855"/>
    </row>
    <row r="113" spans="1:27" ht="12.75">
      <c r="A113" s="3300" t="s">
        <v>2785</v>
      </c>
      <c r="B113" s="3301"/>
      <c r="C113" s="2814" t="str">
        <f>C112</f>
        <v>总额（元）</v>
      </c>
      <c r="D113" s="52">
        <f>IF(D38="同一抵押权人同一抵押物续贷",C38&amp;"（未扣减，详见特别提示）",C38)</f>
        <v>0</v>
      </c>
      <c r="E113" s="1458"/>
      <c r="F113" s="3283"/>
      <c r="G113" s="3284"/>
      <c r="H113" s="2812" t="s">
        <v>2777</v>
      </c>
      <c r="I113" s="2816">
        <f ca="1">D117</f>
        <v>79166574</v>
      </c>
      <c r="J113" s="2858"/>
    </row>
    <row r="114" spans="1:27" ht="12.75">
      <c r="A114" s="3300" t="s">
        <v>2786</v>
      </c>
      <c r="B114" s="3301"/>
      <c r="C114" s="2814" t="str">
        <f>C112</f>
        <v>总额（元）</v>
      </c>
      <c r="D114" s="52">
        <f>C39</f>
        <v>0</v>
      </c>
      <c r="E114" s="1458"/>
      <c r="F114" s="3281" t="str">
        <f>IF(项目基本情况!F5="已注销及未注销","4.抵押担保权已注销时的房地产抵押价值",IF(项目基本情况!F5="已注销","3.抵押担保权已注销时的房地产抵押价值","——"))</f>
        <v>——</v>
      </c>
      <c r="G114" s="3282"/>
      <c r="H114" s="1478" t="str">
        <f>C118</f>
        <v>总价（元）</v>
      </c>
      <c r="I114" s="2813" t="str">
        <f>IF(F114="——","——",I104-I109-I110)</f>
        <v>——</v>
      </c>
      <c r="J114" s="2855"/>
    </row>
    <row r="115" spans="1:27" ht="12.75">
      <c r="A115" s="3300" t="s">
        <v>2787</v>
      </c>
      <c r="B115" s="3301"/>
      <c r="C115" s="2814" t="str">
        <f>C112</f>
        <v>总额（元）</v>
      </c>
      <c r="D115" s="52">
        <f>C40</f>
        <v>0</v>
      </c>
      <c r="E115" s="1458"/>
      <c r="F115" s="3283"/>
      <c r="G115" s="3284"/>
      <c r="H115" s="2812" t="s">
        <v>2777</v>
      </c>
      <c r="I115" s="52" t="str">
        <f>D119</f>
        <v>——</v>
      </c>
      <c r="J115" s="2839"/>
    </row>
    <row r="116" spans="1:27" ht="12.75">
      <c r="A116" s="3298" t="str">
        <f>IF(项目基本情况!F5="已注销","——","3.房地产抵押价值")</f>
        <v>3.房地产抵押价值</v>
      </c>
      <c r="B116" s="3299"/>
      <c r="C116" s="2812" t="str">
        <f>B103</f>
        <v>总价（元）</v>
      </c>
      <c r="D116" s="2813">
        <f ca="1">IF(A116="——","——",D110-D112)</f>
        <v>2692376</v>
      </c>
      <c r="E116" s="1458"/>
      <c r="F116" s="3281" t="str">
        <f>IF(项目基本情况!G5="抵押净值",IF(OR(项目基本情况!F5="已注销",项目基本情况!F5="房地产抵押价值"),"4.抵押净值","5.抵押净值"),"——")</f>
        <v>——</v>
      </c>
      <c r="G116" s="3282"/>
      <c r="H116" s="2812" t="str">
        <f>C120</f>
        <v>总价（元）</v>
      </c>
      <c r="I116" s="2813" t="str">
        <f>IF(F116="——","——",O61)</f>
        <v>——</v>
      </c>
      <c r="J116" s="2855"/>
    </row>
    <row r="117" spans="1:27" ht="13.5" thickBot="1">
      <c r="A117" s="3298"/>
      <c r="B117" s="3299"/>
      <c r="C117" s="2812" t="s">
        <v>2784</v>
      </c>
      <c r="D117" s="52">
        <f ca="1">ROUND(IF(D116=D110,D111,IF(H19="元",D116/B125,D116*10000/B125)),0)</f>
        <v>79166574</v>
      </c>
      <c r="E117" s="1458"/>
      <c r="F117" s="3361"/>
      <c r="G117" s="3362"/>
      <c r="H117" s="2817" t="s">
        <v>2777</v>
      </c>
      <c r="I117" s="2801" t="str">
        <f ca="1">D121</f>
        <v>——</v>
      </c>
      <c r="J117" s="2839"/>
    </row>
    <row r="118" spans="1:27" ht="15.75">
      <c r="A118" s="3298" t="str">
        <f>IF(项目基本情况!F5="已注销及未注销","4.抵押担保权已注销时的房地产抵押价值",IF(项目基本情况!F5="已注销","3.抵押担保权已注销时的房地产抵押价值","——"))</f>
        <v>——</v>
      </c>
      <c r="B118" s="3299"/>
      <c r="C118" s="2812" t="str">
        <f>B103</f>
        <v>总价（元）</v>
      </c>
      <c r="D118" s="2813" t="str">
        <f>IF(A118="——","——",D110-D114-D115)</f>
        <v>——</v>
      </c>
      <c r="E118" s="1458"/>
      <c r="F118" s="3276"/>
      <c r="G118" s="3276"/>
      <c r="H118" s="3317"/>
      <c r="I118" s="3317"/>
      <c r="J118" s="2859"/>
      <c r="O118" s="32"/>
      <c r="P118" s="32"/>
    </row>
    <row r="119" spans="1:27" s="1307" customFormat="1" ht="12.75">
      <c r="A119" s="3298"/>
      <c r="B119" s="3299"/>
      <c r="C119" s="2812" t="s">
        <v>2784</v>
      </c>
      <c r="D119" s="52" t="str">
        <f>IF(A118="——","——",IF(H19="元",ROUND(D118/B125,0),ROUND(D118*10000/B125,0)))</f>
        <v>——</v>
      </c>
      <c r="E119" s="1458"/>
      <c r="F119" s="3401" t="str">
        <f>IF(B33="总价","（以上估价结果中楼面单价为总价除以建筑面积得出）","（以上估价结果中总价为楼面单价乘以建筑面积得出）")</f>
        <v>（以上估价结果中总价为楼面单价乘以建筑面积得出）</v>
      </c>
      <c r="G119" s="3401"/>
      <c r="H119" s="3401"/>
      <c r="I119" s="3401"/>
      <c r="J119" s="2860"/>
      <c r="K119" s="658"/>
      <c r="L119" s="658"/>
      <c r="M119" s="658"/>
      <c r="N119" s="658"/>
      <c r="O119" s="32"/>
      <c r="P119" s="32"/>
      <c r="Q119" s="658"/>
      <c r="R119" s="658"/>
      <c r="S119" s="658"/>
      <c r="T119" s="658"/>
      <c r="U119" s="658"/>
      <c r="V119" s="658"/>
      <c r="W119" s="658"/>
      <c r="X119" s="658"/>
      <c r="Y119" s="658"/>
      <c r="Z119" s="658"/>
      <c r="AA119" s="658"/>
    </row>
    <row r="120" spans="1:27" s="1307" customFormat="1" ht="12.75">
      <c r="A120" s="3298" t="str">
        <f>IF(项目基本情况!G5="抵押净值",IF(OR(项目基本情况!F5="已注销",项目基本情况!F5="房地产抵押价值"),"4.抵押净值","5.抵押净值"),"——")</f>
        <v>——</v>
      </c>
      <c r="B120" s="3299"/>
      <c r="C120" s="2812" t="str">
        <f>B103</f>
        <v>总价（元）</v>
      </c>
      <c r="D120" s="2813" t="str">
        <f>IF(A120="——","——",O61)</f>
        <v>——</v>
      </c>
      <c r="E120" s="1458"/>
      <c r="F120" s="1512"/>
      <c r="G120" s="1512"/>
      <c r="H120" s="1512"/>
      <c r="I120" s="1512"/>
      <c r="J120" s="2860"/>
      <c r="K120" s="658"/>
      <c r="L120" s="658"/>
      <c r="M120" s="658"/>
      <c r="N120" s="658"/>
      <c r="O120" s="32"/>
      <c r="P120" s="32"/>
      <c r="Q120" s="658"/>
      <c r="R120" s="658"/>
      <c r="S120" s="658"/>
      <c r="T120" s="658"/>
      <c r="U120" s="658"/>
      <c r="V120" s="658"/>
      <c r="W120" s="658"/>
      <c r="X120" s="658"/>
      <c r="Y120" s="658"/>
      <c r="Z120" s="658"/>
      <c r="AA120" s="658"/>
    </row>
    <row r="121" spans="1:27" s="1307" customFormat="1" ht="13.5" thickBot="1">
      <c r="A121" s="3367"/>
      <c r="B121" s="3368"/>
      <c r="C121" s="2817" t="s">
        <v>2784</v>
      </c>
      <c r="D121" s="2801" t="str">
        <f ca="1">IF(D120=D110,D111,IF(A120="——","——",O63))</f>
        <v>——</v>
      </c>
      <c r="E121" s="1458"/>
      <c r="F121" s="1512"/>
      <c r="G121" s="1512"/>
      <c r="H121" s="1512"/>
      <c r="I121" s="1512"/>
      <c r="J121" s="2860"/>
      <c r="K121" s="658"/>
      <c r="L121" s="658"/>
      <c r="M121" s="658"/>
      <c r="N121" s="658"/>
      <c r="O121" s="32"/>
      <c r="P121" s="32"/>
      <c r="Q121" s="658"/>
      <c r="R121" s="658"/>
      <c r="S121" s="658"/>
      <c r="T121" s="658"/>
      <c r="U121" s="658"/>
      <c r="V121" s="658"/>
      <c r="W121" s="658"/>
      <c r="X121" s="658"/>
      <c r="Y121" s="658"/>
      <c r="Z121" s="658"/>
      <c r="AA121" s="658"/>
    </row>
    <row r="122" spans="1:27" s="1307" customFormat="1" ht="15">
      <c r="A122" s="3318" t="s">
        <v>1912</v>
      </c>
      <c r="B122" s="3319"/>
      <c r="C122" s="3319"/>
      <c r="D122" s="3319"/>
      <c r="E122" s="3319"/>
      <c r="F122" s="3319"/>
      <c r="G122" s="3319"/>
      <c r="H122" s="3319"/>
      <c r="I122" s="3319"/>
      <c r="J122" s="2861"/>
      <c r="K122" s="658"/>
      <c r="L122" s="658"/>
      <c r="M122" s="658"/>
      <c r="N122" s="658"/>
      <c r="O122" s="658"/>
      <c r="P122" s="658"/>
      <c r="Q122" s="658"/>
      <c r="R122" s="658"/>
      <c r="S122" s="658"/>
      <c r="T122" s="658"/>
      <c r="U122" s="658"/>
      <c r="V122" s="658"/>
      <c r="W122" s="658"/>
      <c r="X122" s="658"/>
      <c r="Y122" s="658"/>
      <c r="Z122" s="658"/>
      <c r="AA122" s="658"/>
    </row>
    <row r="123" spans="1:27" s="1307" customFormat="1" ht="12.75">
      <c r="A123" s="3291" t="s">
        <v>2788</v>
      </c>
      <c r="B123" s="3289" t="s">
        <v>2789</v>
      </c>
      <c r="C123" s="3289" t="s">
        <v>2795</v>
      </c>
      <c r="D123" s="3296" t="s">
        <v>2790</v>
      </c>
      <c r="E123" s="3297"/>
      <c r="F123" s="3287" t="s">
        <v>2796</v>
      </c>
      <c r="G123" s="3287"/>
      <c r="H123" s="3287" t="s">
        <v>2791</v>
      </c>
      <c r="I123" s="3288"/>
      <c r="J123" s="2839"/>
      <c r="K123" s="658"/>
      <c r="L123" s="658"/>
      <c r="M123" s="658"/>
      <c r="N123" s="658"/>
      <c r="O123" s="658"/>
      <c r="P123" s="658"/>
      <c r="Q123" s="658"/>
      <c r="R123" s="658"/>
      <c r="S123" s="658"/>
      <c r="T123" s="658"/>
      <c r="U123" s="658"/>
      <c r="V123" s="658"/>
      <c r="W123" s="658"/>
      <c r="X123" s="658"/>
      <c r="Y123" s="658"/>
      <c r="Z123" s="658"/>
      <c r="AA123" s="658"/>
    </row>
    <row r="124" spans="1:27" s="1307" customFormat="1" ht="12.75">
      <c r="A124" s="3291"/>
      <c r="B124" s="3290"/>
      <c r="C124" s="3290"/>
      <c r="D124" s="2087" t="s">
        <v>2792</v>
      </c>
      <c r="E124" s="2087" t="s">
        <v>2797</v>
      </c>
      <c r="F124" s="2087" t="s">
        <v>2792</v>
      </c>
      <c r="G124" s="2087" t="s">
        <v>2793</v>
      </c>
      <c r="H124" s="2087" t="s">
        <v>2792</v>
      </c>
      <c r="I124" s="52" t="s">
        <v>2793</v>
      </c>
      <c r="J124" s="2839"/>
      <c r="K124" s="658"/>
      <c r="L124" s="658"/>
      <c r="M124" s="658"/>
      <c r="N124" s="658"/>
      <c r="O124" s="658"/>
      <c r="P124" s="658"/>
      <c r="Q124" s="658"/>
      <c r="R124" s="658"/>
      <c r="S124" s="658"/>
      <c r="T124" s="658"/>
      <c r="U124" s="658"/>
      <c r="V124" s="658"/>
      <c r="W124" s="658"/>
      <c r="X124" s="658"/>
      <c r="Y124" s="658"/>
      <c r="Z124" s="658"/>
      <c r="AA124" s="658"/>
    </row>
    <row r="125" spans="1:27" s="1307" customFormat="1" ht="25.5">
      <c r="A125" s="2077" t="str">
        <f>项目基本情况!I1</f>
        <v>吉林省长春市房地产</v>
      </c>
      <c r="B125" s="2087">
        <f>典型户型修正!B25</f>
        <v>340.09000000000003</v>
      </c>
      <c r="C125" s="1453"/>
      <c r="D125" s="2087">
        <f>C36</f>
        <v>0</v>
      </c>
      <c r="E125" s="2087">
        <f>ROUND(IF(H19="元",D125/B125,D125*10000/B125),0)</f>
        <v>0</v>
      </c>
      <c r="F125" s="2087">
        <f>C37</f>
        <v>0</v>
      </c>
      <c r="G125" s="2087">
        <f>ROUND(IF(H19="元",F125/B125,F125*10000/B125),0)</f>
        <v>0</v>
      </c>
      <c r="H125" s="2087">
        <f ca="1">C34</f>
        <v>2692376</v>
      </c>
      <c r="I125" s="52">
        <f ca="1">C35</f>
        <v>79166574</v>
      </c>
      <c r="J125" s="2839"/>
      <c r="K125" s="658"/>
      <c r="L125" s="658"/>
      <c r="M125" s="658"/>
      <c r="N125" s="658"/>
      <c r="O125" s="658"/>
      <c r="P125" s="658"/>
      <c r="Q125" s="658"/>
      <c r="R125" s="658"/>
      <c r="S125" s="658"/>
      <c r="T125" s="658"/>
      <c r="U125" s="658"/>
      <c r="V125" s="658"/>
      <c r="W125" s="658"/>
      <c r="X125" s="658"/>
      <c r="Y125" s="658"/>
      <c r="Z125" s="658"/>
      <c r="AA125" s="658"/>
    </row>
    <row r="126" spans="1:27" s="1307" customFormat="1" ht="12.75">
      <c r="A126" s="3291" t="s">
        <v>2794</v>
      </c>
      <c r="B126" s="3287"/>
      <c r="C126" s="3287"/>
      <c r="D126" s="3322" t="str">
        <f>IF(H19="元",NUMBERSTRING(INT(D125),2)&amp;"元整",NUMBERSTRING(INT(D125*10000),2)&amp;"元整")</f>
        <v>零元整</v>
      </c>
      <c r="E126" s="3323"/>
      <c r="F126" s="3322" t="str">
        <f>IF(H19="元",NUMBERSTRING(INT(F125),2)&amp;"元整",NUMBERSTRING(INT(F125*10000),2)&amp;"元整")</f>
        <v>零元整</v>
      </c>
      <c r="G126" s="3323"/>
      <c r="H126" s="3322" t="str">
        <f ca="1">IF(H19="元",NUMBERSTRING(INT(H125),2)&amp;"元整",NUMBERSTRING(INT(H125*10000),2)&amp;"元整")</f>
        <v>贰佰陆拾玖万贰仟叁佰柒拾陆元整</v>
      </c>
      <c r="I126" s="3371"/>
      <c r="J126" s="2862"/>
      <c r="K126" s="658"/>
      <c r="L126" s="658"/>
      <c r="M126" s="658"/>
      <c r="N126" s="658"/>
      <c r="O126" s="658"/>
      <c r="P126" s="658"/>
      <c r="Q126" s="658"/>
      <c r="R126" s="658"/>
      <c r="S126" s="658"/>
      <c r="T126" s="658"/>
      <c r="U126" s="658"/>
      <c r="V126" s="658"/>
      <c r="W126" s="658"/>
      <c r="X126" s="658"/>
      <c r="Y126" s="658"/>
      <c r="Z126" s="658"/>
      <c r="AA126" s="658"/>
    </row>
    <row r="127" spans="1:27" s="1307" customFormat="1" ht="12.75">
      <c r="A127" s="3311" t="str">
        <f>IF(项目基本情况!D5="房地产市场价值","——",MID(A112,3,LEN(A112)-2))</f>
        <v>——</v>
      </c>
      <c r="B127" s="3324"/>
      <c r="C127" s="3313"/>
      <c r="D127" s="3315">
        <f>I107</f>
        <v>0</v>
      </c>
      <c r="E127" s="3324"/>
      <c r="F127" s="3324"/>
      <c r="G127" s="3324"/>
      <c r="H127" s="3324"/>
      <c r="I127" s="3312"/>
      <c r="J127" s="2855"/>
      <c r="K127" s="658"/>
      <c r="L127" s="658"/>
      <c r="M127" s="658"/>
      <c r="N127" s="658"/>
      <c r="O127" s="658"/>
      <c r="P127" s="658"/>
      <c r="Q127" s="658"/>
      <c r="R127" s="658"/>
      <c r="S127" s="658"/>
      <c r="T127" s="658"/>
      <c r="U127" s="658"/>
      <c r="V127" s="658"/>
      <c r="W127" s="658"/>
      <c r="X127" s="658"/>
      <c r="Y127" s="658"/>
      <c r="Z127" s="658"/>
      <c r="AA127" s="658"/>
    </row>
    <row r="128" spans="1:27" s="1307" customFormat="1" ht="12.75">
      <c r="A128" s="3325" t="s">
        <v>2794</v>
      </c>
      <c r="B128" s="3326"/>
      <c r="C128" s="3327"/>
      <c r="D128" s="3363">
        <f>H111</f>
        <v>0</v>
      </c>
      <c r="E128" s="3364"/>
      <c r="F128" s="3364"/>
      <c r="G128" s="3364"/>
      <c r="H128" s="3364"/>
      <c r="I128" s="3365"/>
      <c r="J128" s="2863"/>
      <c r="K128" s="658"/>
      <c r="L128" s="658"/>
      <c r="M128" s="658"/>
      <c r="N128" s="658"/>
      <c r="O128" s="658"/>
      <c r="P128" s="658"/>
      <c r="Q128" s="658"/>
      <c r="R128" s="658"/>
      <c r="S128" s="658"/>
      <c r="T128" s="658"/>
      <c r="U128" s="658"/>
      <c r="V128" s="658"/>
      <c r="W128" s="658"/>
      <c r="X128" s="658"/>
      <c r="Y128" s="658"/>
      <c r="Z128" s="658"/>
      <c r="AA128" s="658"/>
    </row>
    <row r="129" spans="1:27" s="1307" customFormat="1" ht="12.75">
      <c r="A129" s="3298" t="str">
        <f>IF(项目基本情况!D5="房地产市场价值","——",MID(A116,3,LEN(A116)-2))</f>
        <v>——</v>
      </c>
      <c r="B129" s="3299"/>
      <c r="C129" s="3299"/>
      <c r="D129" s="3315">
        <f ca="1">I112</f>
        <v>2692376</v>
      </c>
      <c r="E129" s="3324"/>
      <c r="F129" s="3324"/>
      <c r="G129" s="3324"/>
      <c r="H129" s="3324"/>
      <c r="I129" s="3312"/>
      <c r="J129" s="2855"/>
      <c r="K129" s="658"/>
      <c r="L129" s="658"/>
      <c r="M129" s="658"/>
      <c r="N129" s="658"/>
      <c r="O129" s="658"/>
      <c r="P129" s="658"/>
      <c r="Q129" s="658"/>
      <c r="R129" s="658"/>
      <c r="S129" s="658"/>
      <c r="T129" s="658"/>
      <c r="U129" s="658"/>
      <c r="V129" s="658"/>
      <c r="W129" s="658"/>
      <c r="X129" s="658"/>
      <c r="Y129" s="658"/>
      <c r="Z129" s="658"/>
      <c r="AA129" s="658"/>
    </row>
    <row r="130" spans="1:27" s="1307" customFormat="1" ht="12.75">
      <c r="A130" s="3291" t="s">
        <v>2794</v>
      </c>
      <c r="B130" s="3287"/>
      <c r="C130" s="3287"/>
      <c r="D130" s="3363">
        <f ca="1">I113</f>
        <v>79166574</v>
      </c>
      <c r="E130" s="3364"/>
      <c r="F130" s="3364"/>
      <c r="G130" s="3364"/>
      <c r="H130" s="3364"/>
      <c r="I130" s="3365"/>
      <c r="J130" s="2863"/>
      <c r="K130" s="658"/>
      <c r="L130" s="658"/>
      <c r="M130" s="658"/>
      <c r="N130" s="658"/>
      <c r="O130" s="658"/>
      <c r="P130" s="658"/>
      <c r="Q130" s="658"/>
      <c r="R130" s="658"/>
      <c r="S130" s="658"/>
      <c r="T130" s="658"/>
      <c r="U130" s="658"/>
      <c r="V130" s="658"/>
      <c r="W130" s="658"/>
      <c r="X130" s="658"/>
      <c r="Y130" s="658"/>
      <c r="Z130" s="658"/>
      <c r="AA130" s="658"/>
    </row>
    <row r="131" spans="1:27" s="1307" customFormat="1" ht="13.5" thickBot="1">
      <c r="A131" s="3298" t="str">
        <f>IF(项目基本情况!D5="房地产市场价值","——",MID(A118,3,LEN(A118)-2))</f>
        <v>——</v>
      </c>
      <c r="B131" s="3299"/>
      <c r="C131" s="3299"/>
      <c r="D131" s="3271" t="str">
        <f>I114</f>
        <v>——</v>
      </c>
      <c r="E131" s="3272"/>
      <c r="F131" s="3272"/>
      <c r="G131" s="3272"/>
      <c r="H131" s="3272"/>
      <c r="I131" s="3273"/>
      <c r="J131" s="2855"/>
      <c r="K131" s="658"/>
      <c r="L131" s="658"/>
      <c r="M131" s="658"/>
      <c r="N131" s="658"/>
      <c r="O131" s="658"/>
      <c r="P131" s="658"/>
      <c r="Q131" s="658"/>
      <c r="R131" s="658"/>
      <c r="S131" s="658"/>
      <c r="T131" s="658"/>
      <c r="U131" s="658"/>
      <c r="V131" s="658"/>
      <c r="W131" s="658"/>
      <c r="X131" s="658"/>
      <c r="Y131" s="658"/>
      <c r="Z131" s="658"/>
      <c r="AA131" s="658"/>
    </row>
    <row r="132" spans="1:27" s="1307" customFormat="1" ht="14.25" thickTop="1" thickBot="1">
      <c r="A132" s="3291" t="s">
        <v>2794</v>
      </c>
      <c r="B132" s="3287"/>
      <c r="C132" s="3338"/>
      <c r="D132" s="3316" t="str">
        <f>I115</f>
        <v>——</v>
      </c>
      <c r="E132" s="3316"/>
      <c r="F132" s="3316"/>
      <c r="G132" s="3316"/>
      <c r="H132" s="3316"/>
      <c r="I132" s="3316"/>
      <c r="J132" s="2863"/>
      <c r="K132" s="658"/>
      <c r="L132" s="658"/>
      <c r="M132" s="658"/>
      <c r="N132" s="658"/>
      <c r="O132" s="658"/>
      <c r="P132" s="658"/>
      <c r="Q132" s="658"/>
      <c r="R132" s="658"/>
      <c r="S132" s="658"/>
      <c r="T132" s="658"/>
      <c r="U132" s="658"/>
      <c r="V132" s="658"/>
      <c r="W132" s="658"/>
      <c r="X132" s="658"/>
      <c r="Y132" s="658"/>
      <c r="Z132" s="658"/>
      <c r="AA132" s="658"/>
    </row>
    <row r="133" spans="1:27" s="1307" customFormat="1" ht="14.25" thickTop="1" thickBot="1">
      <c r="A133" s="3298" t="str">
        <f>IF(项目基本情况!D5="房地产市场价值","——",MID(F116,3,LEN(F116)-2))</f>
        <v>——</v>
      </c>
      <c r="B133" s="3299"/>
      <c r="C133" s="3315"/>
      <c r="D133" s="3366" t="str">
        <f>I116</f>
        <v>——</v>
      </c>
      <c r="E133" s="3366"/>
      <c r="F133" s="3366"/>
      <c r="G133" s="3366"/>
      <c r="H133" s="3366"/>
      <c r="I133" s="3366"/>
      <c r="J133" s="2855"/>
      <c r="K133" s="658"/>
      <c r="L133" s="658"/>
      <c r="M133" s="658"/>
      <c r="N133" s="658"/>
      <c r="O133" s="658"/>
      <c r="P133" s="658"/>
      <c r="Q133" s="658"/>
      <c r="R133" s="658"/>
      <c r="S133" s="658"/>
      <c r="T133" s="658"/>
      <c r="U133" s="658"/>
      <c r="V133" s="658"/>
      <c r="W133" s="658"/>
      <c r="X133" s="658"/>
      <c r="Y133" s="658"/>
      <c r="Z133" s="658"/>
      <c r="AA133" s="658"/>
    </row>
    <row r="134" spans="1:27" s="1307" customFormat="1" ht="14.25" thickTop="1" thickBot="1">
      <c r="A134" s="3354" t="s">
        <v>2794</v>
      </c>
      <c r="B134" s="3355"/>
      <c r="C134" s="3355"/>
      <c r="D134" s="3372">
        <f>H118</f>
        <v>0</v>
      </c>
      <c r="E134" s="3373"/>
      <c r="F134" s="3373"/>
      <c r="G134" s="3373"/>
      <c r="H134" s="3373"/>
      <c r="I134" s="3374"/>
      <c r="J134" s="2863"/>
      <c r="K134" s="658"/>
      <c r="L134" s="658"/>
      <c r="M134" s="658"/>
      <c r="N134" s="658"/>
      <c r="O134" s="658"/>
      <c r="P134" s="658"/>
      <c r="Q134" s="658"/>
      <c r="R134" s="658"/>
      <c r="S134" s="658"/>
      <c r="T134" s="658"/>
      <c r="U134" s="658"/>
      <c r="V134" s="658"/>
      <c r="W134" s="658"/>
      <c r="X134" s="658"/>
      <c r="Y134" s="658"/>
      <c r="Z134" s="658"/>
      <c r="AA134" s="658"/>
    </row>
    <row r="135" spans="1:27" s="1307"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4"/>
      <c r="K135" s="658"/>
      <c r="L135" s="658"/>
      <c r="M135" s="658"/>
      <c r="N135" s="658"/>
      <c r="O135" s="658"/>
      <c r="P135" s="658"/>
      <c r="Q135" s="658"/>
      <c r="R135" s="658"/>
      <c r="S135" s="658"/>
      <c r="T135" s="658"/>
      <c r="U135" s="658"/>
      <c r="V135" s="658"/>
      <c r="W135" s="658"/>
      <c r="X135" s="658"/>
      <c r="Y135" s="658"/>
      <c r="Z135" s="658"/>
      <c r="AA135" s="658"/>
    </row>
    <row r="136" spans="1:27" s="1307" customFormat="1" ht="13.5" thickBot="1">
      <c r="A136" s="3359" t="str">
        <f>IF(B33="总价","（以上估价结果中楼面单价为总价除以建筑面积得出）","（以上估价结果中总价为楼面单价乘以建筑面积得出）")</f>
        <v>（以上估价结果中总价为楼面单价乘以建筑面积得出）</v>
      </c>
      <c r="B136" s="3359"/>
      <c r="C136" s="3359"/>
      <c r="D136" s="3359"/>
      <c r="E136" s="3359"/>
      <c r="F136" s="3359"/>
      <c r="G136" s="3359"/>
      <c r="H136" s="3359"/>
      <c r="I136" s="3359"/>
      <c r="J136" s="2857"/>
      <c r="K136" s="658"/>
      <c r="L136" s="658"/>
      <c r="M136" s="658"/>
      <c r="N136" s="658"/>
      <c r="O136" s="658"/>
      <c r="P136" s="658"/>
      <c r="Q136" s="658"/>
      <c r="R136" s="658"/>
      <c r="S136" s="658"/>
      <c r="T136" s="658"/>
      <c r="U136" s="658"/>
      <c r="V136" s="658"/>
      <c r="W136" s="658"/>
      <c r="X136" s="658"/>
      <c r="Y136" s="658"/>
      <c r="Z136" s="658"/>
      <c r="AA136" s="658"/>
    </row>
    <row r="137" spans="1:27" s="1307" customFormat="1" ht="21.75" customHeight="1">
      <c r="A137" s="1488" t="s">
        <v>1875</v>
      </c>
      <c r="B137" s="1489"/>
      <c r="C137" s="1490" t="s">
        <v>1876</v>
      </c>
      <c r="D137" s="1491"/>
      <c r="E137" s="1491"/>
      <c r="F137" s="1491"/>
      <c r="G137" s="1491"/>
      <c r="H137" s="1492"/>
      <c r="I137" s="1493"/>
      <c r="J137" s="2865"/>
      <c r="K137" s="658"/>
      <c r="L137" s="658"/>
      <c r="M137" s="658"/>
      <c r="N137" s="658"/>
      <c r="O137" s="658"/>
      <c r="P137" s="658"/>
      <c r="Q137" s="658"/>
      <c r="R137" s="658"/>
      <c r="S137" s="658"/>
      <c r="T137" s="658"/>
      <c r="U137" s="658"/>
      <c r="V137" s="658"/>
      <c r="W137" s="658"/>
      <c r="X137" s="658"/>
      <c r="Y137" s="658"/>
      <c r="Z137" s="658"/>
      <c r="AA137" s="658"/>
    </row>
    <row r="138" spans="1:27" s="1307" customFormat="1" ht="21.75" customHeight="1">
      <c r="A138" s="1494">
        <v>1</v>
      </c>
      <c r="B138" s="1495"/>
      <c r="C138" s="1495"/>
      <c r="D138" s="1491"/>
      <c r="E138" s="1491"/>
      <c r="F138" s="1491"/>
      <c r="G138" s="1491"/>
      <c r="H138" s="1492"/>
      <c r="I138" s="1493"/>
      <c r="J138" s="2865"/>
      <c r="K138" s="658"/>
      <c r="L138" s="658"/>
      <c r="M138" s="658"/>
      <c r="N138" s="658"/>
      <c r="O138" s="658"/>
      <c r="P138" s="658"/>
      <c r="Q138" s="658"/>
      <c r="R138" s="658"/>
      <c r="S138" s="658"/>
      <c r="T138" s="658"/>
      <c r="U138" s="658"/>
      <c r="V138" s="658"/>
      <c r="W138" s="658"/>
      <c r="X138" s="658"/>
      <c r="Y138" s="658"/>
      <c r="Z138" s="658"/>
      <c r="AA138" s="658"/>
    </row>
    <row r="139" spans="1:27" s="1307" customFormat="1" ht="21.75" customHeight="1">
      <c r="A139" s="1494">
        <v>2</v>
      </c>
      <c r="B139" s="1495"/>
      <c r="C139" s="1495"/>
      <c r="D139" s="1491"/>
      <c r="E139" s="1491"/>
      <c r="F139" s="1491"/>
      <c r="G139" s="1491"/>
      <c r="H139" s="1492"/>
      <c r="I139" s="1493"/>
      <c r="J139" s="2865"/>
      <c r="K139" s="658"/>
      <c r="L139" s="658"/>
      <c r="M139" s="658"/>
      <c r="N139" s="658"/>
      <c r="O139" s="658"/>
      <c r="P139" s="658"/>
      <c r="Q139" s="658"/>
      <c r="R139" s="658"/>
      <c r="S139" s="658"/>
      <c r="T139" s="658"/>
      <c r="U139" s="658"/>
      <c r="V139" s="658"/>
      <c r="W139" s="658"/>
      <c r="X139" s="658"/>
      <c r="Y139" s="658"/>
      <c r="Z139" s="658"/>
      <c r="AA139" s="658"/>
    </row>
    <row r="140" spans="1:27" s="1307" customFormat="1" ht="21.75" customHeight="1">
      <c r="A140" s="1494">
        <v>3</v>
      </c>
      <c r="B140" s="1495"/>
      <c r="C140" s="1495"/>
      <c r="D140" s="1491"/>
      <c r="E140" s="1491"/>
      <c r="F140" s="32"/>
      <c r="G140" s="32"/>
      <c r="H140" s="32"/>
      <c r="I140" s="32"/>
      <c r="J140" s="2866"/>
      <c r="K140" s="658"/>
      <c r="L140" s="658"/>
      <c r="M140" s="658"/>
      <c r="N140" s="658"/>
      <c r="O140" s="658"/>
      <c r="P140" s="658"/>
      <c r="Q140" s="658"/>
      <c r="R140" s="658"/>
      <c r="S140" s="658"/>
      <c r="T140" s="658"/>
      <c r="U140" s="658"/>
      <c r="V140" s="658"/>
      <c r="W140" s="658"/>
      <c r="X140" s="658"/>
      <c r="Y140" s="658"/>
      <c r="Z140" s="658"/>
      <c r="AA140" s="658"/>
    </row>
    <row r="141" spans="1:27" s="1307" customFormat="1" ht="21.75" customHeight="1">
      <c r="A141" s="1496"/>
      <c r="B141" s="1497"/>
      <c r="C141" s="1497"/>
      <c r="D141" s="1498"/>
      <c r="E141" s="1498"/>
      <c r="F141" s="1498"/>
      <c r="G141" s="1498"/>
      <c r="H141" s="1499"/>
      <c r="I141" s="1500"/>
      <c r="J141" s="2865"/>
      <c r="K141" s="658"/>
      <c r="L141" s="658"/>
      <c r="M141" s="658"/>
      <c r="N141" s="658"/>
      <c r="O141" s="658"/>
      <c r="P141" s="658"/>
      <c r="Q141" s="658"/>
      <c r="R141" s="658"/>
      <c r="S141" s="658"/>
      <c r="T141" s="658"/>
      <c r="U141" s="658"/>
      <c r="V141" s="658"/>
      <c r="W141" s="658"/>
      <c r="X141" s="658"/>
      <c r="Y141" s="658"/>
      <c r="Z141" s="658"/>
      <c r="AA141" s="658"/>
    </row>
    <row r="142" spans="1:27" s="1307" customFormat="1" ht="21.75" customHeight="1">
      <c r="A142" s="1495"/>
      <c r="B142" s="1495"/>
      <c r="C142" s="1495"/>
      <c r="D142" s="1491"/>
      <c r="E142" s="1491"/>
      <c r="F142" s="1491"/>
      <c r="G142" s="1491"/>
      <c r="H142" s="1492"/>
      <c r="I142" s="658"/>
      <c r="J142" s="2866"/>
      <c r="K142" s="658"/>
      <c r="L142" s="658"/>
      <c r="M142" s="658"/>
      <c r="N142" s="658"/>
      <c r="O142" s="658"/>
      <c r="P142" s="658"/>
      <c r="Q142" s="658"/>
      <c r="R142" s="658"/>
      <c r="S142" s="658"/>
      <c r="T142" s="658"/>
      <c r="U142" s="658"/>
      <c r="V142" s="658"/>
      <c r="W142" s="658"/>
      <c r="X142" s="658"/>
      <c r="Y142" s="658"/>
      <c r="Z142" s="658"/>
      <c r="AA142" s="658"/>
    </row>
    <row r="143" spans="1:27" s="1307" customFormat="1" ht="21.75" customHeight="1">
      <c r="A143" s="658"/>
      <c r="B143" s="658"/>
      <c r="C143" s="658"/>
      <c r="D143" s="658"/>
      <c r="E143" s="658"/>
      <c r="F143" s="1501" t="s">
        <v>1877</v>
      </c>
      <c r="G143" s="1502"/>
      <c r="H143" s="1502"/>
      <c r="I143" s="1503" t="s">
        <v>1878</v>
      </c>
      <c r="J143" s="2867"/>
      <c r="K143" s="658"/>
      <c r="L143" s="658"/>
      <c r="M143" s="658"/>
      <c r="N143" s="658"/>
      <c r="O143" s="658"/>
      <c r="P143" s="658"/>
      <c r="Q143" s="658"/>
      <c r="R143" s="658"/>
      <c r="S143" s="658"/>
      <c r="T143" s="658"/>
      <c r="U143" s="658"/>
      <c r="V143" s="658"/>
      <c r="W143" s="658"/>
      <c r="X143" s="658"/>
      <c r="Y143" s="658"/>
      <c r="Z143" s="658"/>
      <c r="AA143" s="658"/>
    </row>
    <row r="144" spans="1:27" s="1307" customFormat="1" ht="21.75" customHeight="1">
      <c r="A144" s="658"/>
      <c r="B144" s="1504" t="s">
        <v>1879</v>
      </c>
      <c r="C144" s="658"/>
      <c r="D144" s="658"/>
      <c r="E144" s="658"/>
      <c r="F144" s="658"/>
      <c r="G144" s="658"/>
      <c r="H144" s="658"/>
      <c r="I144" s="658"/>
      <c r="J144" s="2866"/>
      <c r="K144" s="658"/>
      <c r="L144" s="658"/>
      <c r="M144" s="658"/>
      <c r="N144" s="658"/>
      <c r="O144" s="658"/>
      <c r="P144" s="658"/>
      <c r="Q144" s="658"/>
      <c r="R144" s="658"/>
      <c r="S144" s="658"/>
      <c r="T144" s="658"/>
      <c r="U144" s="658"/>
      <c r="V144" s="658"/>
      <c r="W144" s="658"/>
      <c r="X144" s="658"/>
      <c r="Y144" s="658"/>
      <c r="Z144" s="658"/>
      <c r="AA144" s="658"/>
    </row>
    <row r="145" spans="1:27" s="1307" customFormat="1" ht="21.75" customHeight="1">
      <c r="A145" s="658"/>
      <c r="B145" s="658"/>
      <c r="C145" s="658"/>
      <c r="D145" s="658"/>
      <c r="E145" s="658"/>
      <c r="F145" s="658"/>
      <c r="G145" s="658"/>
      <c r="H145" s="658"/>
      <c r="I145" s="658"/>
      <c r="J145" s="2866"/>
      <c r="K145" s="658"/>
      <c r="L145" s="658"/>
      <c r="M145" s="658"/>
      <c r="N145" s="658"/>
      <c r="O145" s="658"/>
      <c r="P145" s="658"/>
      <c r="Q145" s="658"/>
      <c r="R145" s="658"/>
      <c r="S145" s="658"/>
      <c r="T145" s="658"/>
      <c r="U145" s="658"/>
      <c r="V145" s="658"/>
      <c r="W145" s="658"/>
      <c r="X145" s="658"/>
      <c r="Y145" s="658"/>
      <c r="Z145" s="658"/>
      <c r="AA145" s="658"/>
    </row>
    <row r="146" spans="1:27" s="1307" customFormat="1" ht="21.75" customHeight="1">
      <c r="A146" s="658"/>
      <c r="B146" s="1502"/>
      <c r="C146" s="1502"/>
      <c r="D146" s="1502"/>
      <c r="E146" s="1502"/>
      <c r="F146" s="1502"/>
      <c r="G146" s="1502"/>
      <c r="H146" s="1502"/>
      <c r="I146" s="1503" t="s">
        <v>1880</v>
      </c>
      <c r="J146" s="2867"/>
      <c r="K146" s="658"/>
      <c r="L146" s="658"/>
      <c r="M146" s="658"/>
      <c r="N146" s="658"/>
      <c r="O146" s="658"/>
      <c r="P146" s="658"/>
      <c r="Q146" s="658"/>
      <c r="R146" s="658"/>
      <c r="S146" s="658"/>
      <c r="T146" s="658"/>
      <c r="U146" s="658"/>
      <c r="V146" s="658"/>
      <c r="W146" s="658"/>
      <c r="X146" s="658"/>
      <c r="Y146" s="658"/>
      <c r="Z146" s="658"/>
      <c r="AA146" s="658"/>
    </row>
    <row r="147" spans="1:27" s="1307" customFormat="1" ht="21.75" customHeight="1">
      <c r="A147" s="658"/>
      <c r="B147" s="1504" t="s">
        <v>1881</v>
      </c>
      <c r="C147" s="658"/>
      <c r="D147" s="658"/>
      <c r="E147" s="658"/>
      <c r="F147" s="658"/>
      <c r="G147" s="658"/>
      <c r="H147" s="658"/>
      <c r="I147" s="658"/>
      <c r="J147" s="2866"/>
      <c r="K147" s="658"/>
      <c r="L147" s="658"/>
      <c r="M147" s="658"/>
      <c r="N147" s="658"/>
      <c r="O147" s="658"/>
      <c r="P147" s="658"/>
      <c r="Q147" s="658"/>
      <c r="R147" s="658"/>
      <c r="S147" s="658"/>
      <c r="T147" s="658"/>
      <c r="U147" s="658"/>
      <c r="V147" s="658"/>
      <c r="W147" s="658"/>
      <c r="X147" s="658"/>
      <c r="Y147" s="658"/>
      <c r="Z147" s="658"/>
      <c r="AA147" s="658"/>
    </row>
    <row r="148" spans="1:27" s="1307" customFormat="1" ht="21.75" customHeight="1">
      <c r="A148" s="658"/>
      <c r="B148" s="1504"/>
      <c r="C148" s="658"/>
      <c r="D148" s="658"/>
      <c r="E148" s="658"/>
      <c r="F148" s="658"/>
      <c r="G148" s="658"/>
      <c r="H148" s="658"/>
      <c r="I148" s="658"/>
      <c r="J148" s="2866"/>
      <c r="K148" s="658"/>
      <c r="L148" s="658"/>
      <c r="M148" s="658"/>
      <c r="N148" s="658"/>
      <c r="O148" s="658"/>
      <c r="P148" s="658"/>
      <c r="Q148" s="658"/>
      <c r="R148" s="658"/>
      <c r="S148" s="658"/>
      <c r="T148" s="658"/>
      <c r="U148" s="658"/>
      <c r="V148" s="658"/>
      <c r="W148" s="658"/>
      <c r="X148" s="658"/>
      <c r="Y148" s="658"/>
      <c r="Z148" s="658"/>
      <c r="AA148" s="658"/>
    </row>
    <row r="149" spans="1:27" s="1307" customFormat="1" ht="21.75" customHeight="1">
      <c r="A149" s="658"/>
      <c r="B149" s="1502"/>
      <c r="C149" s="1502"/>
      <c r="D149" s="1502"/>
      <c r="E149" s="1502"/>
      <c r="F149" s="1502"/>
      <c r="G149" s="1502"/>
      <c r="H149" s="1502"/>
      <c r="I149" s="1503" t="s">
        <v>1880</v>
      </c>
      <c r="J149" s="2867"/>
      <c r="K149" s="658"/>
      <c r="L149" s="658"/>
      <c r="M149" s="658"/>
      <c r="N149" s="658"/>
      <c r="O149" s="658"/>
      <c r="P149" s="658"/>
      <c r="Q149" s="658"/>
      <c r="R149" s="658"/>
      <c r="S149" s="658"/>
      <c r="T149" s="658"/>
      <c r="U149" s="658"/>
      <c r="V149" s="658"/>
      <c r="W149" s="658"/>
      <c r="X149" s="658"/>
      <c r="Y149" s="658"/>
      <c r="Z149" s="658"/>
      <c r="AA149" s="658"/>
    </row>
    <row r="150" spans="1:27" s="1307" customFormat="1" ht="21.75" customHeight="1">
      <c r="A150" s="658"/>
      <c r="B150" s="1504"/>
      <c r="C150" s="1505"/>
      <c r="D150" s="1506"/>
      <c r="E150" s="1506"/>
      <c r="F150" s="1507"/>
      <c r="G150" s="658"/>
      <c r="H150" s="658"/>
      <c r="I150" s="658"/>
      <c r="J150" s="2866"/>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6"/>
    </row>
    <row r="152" spans="1:27" s="658" customFormat="1" ht="21.75" customHeight="1">
      <c r="J152" s="2866"/>
    </row>
    <row r="153" spans="1:27" s="658" customFormat="1" ht="21.75" customHeight="1">
      <c r="J153" s="2866"/>
    </row>
    <row r="154" spans="1:27" s="658" customFormat="1" ht="21.75" customHeight="1">
      <c r="J154" s="2866"/>
    </row>
    <row r="155" spans="1:27" s="658" customFormat="1" ht="21.75" customHeight="1">
      <c r="J155" s="2866"/>
    </row>
    <row r="156" spans="1:27" s="658" customFormat="1" ht="21.75" customHeight="1">
      <c r="J156" s="2866"/>
    </row>
    <row r="157" spans="1:27" s="658" customFormat="1" ht="21.75" customHeight="1">
      <c r="J157" s="2866"/>
    </row>
    <row r="158" spans="1:27" s="658" customFormat="1" ht="21.75" customHeight="1">
      <c r="J158" s="2866"/>
    </row>
    <row r="159" spans="1:27" s="658" customFormat="1" ht="21.75" customHeight="1">
      <c r="J159" s="2866"/>
    </row>
    <row r="160" spans="1:27" s="658" customFormat="1" ht="21.75" customHeight="1">
      <c r="J160" s="2866"/>
    </row>
    <row r="161" spans="10:10" s="658" customFormat="1" ht="21.75" customHeight="1">
      <c r="J161" s="2866"/>
    </row>
    <row r="162" spans="10:10" s="658" customFormat="1" ht="21.75" customHeight="1">
      <c r="J162" s="2866"/>
    </row>
    <row r="163" spans="10:10" s="658" customFormat="1" ht="21.75" customHeight="1">
      <c r="J163" s="2866"/>
    </row>
    <row r="164" spans="10:10" s="658" customFormat="1" ht="21.75" customHeight="1">
      <c r="J164" s="2866"/>
    </row>
    <row r="165" spans="10:10" s="658" customFormat="1" ht="21.75" customHeight="1">
      <c r="J165" s="2866"/>
    </row>
    <row r="166" spans="10:10" s="658" customFormat="1" ht="21.75" customHeight="1">
      <c r="J166" s="2866"/>
    </row>
    <row r="167" spans="10:10" s="658" customFormat="1" ht="21.75" customHeight="1">
      <c r="J167" s="2866"/>
    </row>
    <row r="168" spans="10:10" s="658" customFormat="1" ht="21.75" customHeight="1">
      <c r="J168" s="2866"/>
    </row>
    <row r="169" spans="10:10" s="658" customFormat="1" ht="21.75" customHeight="1">
      <c r="J169" s="2866"/>
    </row>
    <row r="170" spans="10:10" s="658" customFormat="1" ht="21.75" customHeight="1">
      <c r="J170" s="2866"/>
    </row>
    <row r="171" spans="10:10" s="658" customFormat="1" ht="21.75" customHeight="1">
      <c r="J171" s="2866"/>
    </row>
    <row r="172" spans="10:10" s="658" customFormat="1" ht="21.75" customHeight="1">
      <c r="J172" s="2866"/>
    </row>
    <row r="173" spans="10:10" s="658" customFormat="1" ht="21.75" customHeight="1">
      <c r="J173" s="2866"/>
    </row>
    <row r="174" spans="10:10" s="658" customFormat="1" ht="21.75" customHeight="1">
      <c r="J174" s="2866"/>
    </row>
    <row r="175" spans="10:10" s="658" customFormat="1" ht="21.75" customHeight="1">
      <c r="J175" s="2866"/>
    </row>
    <row r="176" spans="10:10" s="658" customFormat="1" ht="21.75" customHeight="1">
      <c r="J176" s="2866"/>
    </row>
    <row r="177" spans="10:10" s="658" customFormat="1" ht="21.75" customHeight="1">
      <c r="J177" s="2866"/>
    </row>
    <row r="178" spans="10:10" s="658" customFormat="1" ht="21.75" customHeight="1">
      <c r="J178" s="2866"/>
    </row>
    <row r="179" spans="10:10" s="658" customFormat="1" ht="21.75" customHeight="1">
      <c r="J179" s="2866"/>
    </row>
    <row r="180" spans="10:10" s="658" customFormat="1" ht="21.75" customHeight="1">
      <c r="J180" s="2866"/>
    </row>
    <row r="181" spans="10:10" s="658" customFormat="1" ht="21.75" customHeight="1">
      <c r="J181" s="2866"/>
    </row>
    <row r="182" spans="10:10" s="658" customFormat="1" ht="21.75" customHeight="1">
      <c r="J182" s="2866"/>
    </row>
    <row r="183" spans="10:10" s="658" customFormat="1" ht="21.75" customHeight="1">
      <c r="J183" s="2866"/>
    </row>
    <row r="184" spans="10:10" s="658" customFormat="1" ht="21.75" customHeight="1">
      <c r="J184" s="2866"/>
    </row>
    <row r="185" spans="10:10" s="658" customFormat="1" ht="21.75" customHeight="1">
      <c r="J185" s="2866"/>
    </row>
    <row r="186" spans="10:10" s="658" customFormat="1" ht="21.75" customHeight="1">
      <c r="J186" s="2866"/>
    </row>
    <row r="187" spans="10:10" s="658" customFormat="1" ht="21.75" customHeight="1">
      <c r="J187" s="2866"/>
    </row>
    <row r="188" spans="10:10" s="658" customFormat="1" ht="21.75" customHeight="1">
      <c r="J188" s="2866"/>
    </row>
    <row r="189" spans="10:10" s="658" customFormat="1" ht="21.75" customHeight="1">
      <c r="J189" s="2866"/>
    </row>
    <row r="190" spans="10:10" s="658" customFormat="1" ht="21.75" customHeight="1">
      <c r="J190" s="2866"/>
    </row>
    <row r="191" spans="10:10" s="658" customFormat="1" ht="21.75" customHeight="1">
      <c r="J191" s="2866"/>
    </row>
    <row r="192" spans="10:10" s="658" customFormat="1" ht="21.75" customHeight="1">
      <c r="J192" s="2866"/>
    </row>
    <row r="193" spans="10:10" s="658" customFormat="1" ht="21.75" customHeight="1">
      <c r="J193" s="2866"/>
    </row>
    <row r="194" spans="10:10" s="658" customFormat="1" ht="21.75" customHeight="1">
      <c r="J194" s="2866"/>
    </row>
    <row r="195" spans="10:10" s="658" customFormat="1" ht="21.75" customHeight="1">
      <c r="J195" s="2866"/>
    </row>
    <row r="196" spans="10:10" s="658" customFormat="1" ht="21.75" customHeight="1">
      <c r="J196" s="2866"/>
    </row>
    <row r="197" spans="10:10" s="658" customFormat="1" ht="21.75" customHeight="1">
      <c r="J197" s="2866"/>
    </row>
    <row r="198" spans="10:10" s="658" customFormat="1" ht="21.75" customHeight="1">
      <c r="J198" s="2866"/>
    </row>
    <row r="199" spans="10:10" s="658" customFormat="1" ht="21.75" customHeight="1">
      <c r="J199" s="2866"/>
    </row>
    <row r="200" spans="10:10" s="658" customFormat="1" ht="21.75" customHeight="1">
      <c r="J200" s="2866"/>
    </row>
    <row r="201" spans="10:10" s="658" customFormat="1" ht="21.75" customHeight="1">
      <c r="J201" s="2866"/>
    </row>
    <row r="202" spans="10:10" s="658" customFormat="1" ht="21.75" customHeight="1">
      <c r="J202" s="2866"/>
    </row>
    <row r="203" spans="10:10" s="658" customFormat="1" ht="21.75" customHeight="1">
      <c r="J203" s="2866"/>
    </row>
    <row r="204" spans="10:10" s="658" customFormat="1" ht="21.75" customHeight="1">
      <c r="J204" s="2866"/>
    </row>
    <row r="205" spans="10:10" s="658" customFormat="1" ht="21.75" customHeight="1">
      <c r="J205" s="2866"/>
    </row>
    <row r="206" spans="10:10" s="658" customFormat="1" ht="21.75" customHeight="1">
      <c r="J206" s="2866"/>
    </row>
    <row r="207" spans="10:10" s="658" customFormat="1" ht="21.75" customHeight="1">
      <c r="J207" s="2866"/>
    </row>
    <row r="208" spans="10:10" s="658" customFormat="1" ht="21.75" customHeight="1">
      <c r="J208" s="2866"/>
    </row>
    <row r="209" spans="10:10" s="658" customFormat="1" ht="21.75" customHeight="1">
      <c r="J209" s="2866"/>
    </row>
    <row r="210" spans="10:10" s="658" customFormat="1" ht="21.75" customHeight="1">
      <c r="J210" s="2866"/>
    </row>
    <row r="211" spans="10:10" s="658" customFormat="1" ht="21.75" customHeight="1">
      <c r="J211" s="2866"/>
    </row>
    <row r="212" spans="10:10" s="658" customFormat="1" ht="21.75" customHeight="1">
      <c r="J212" s="2866"/>
    </row>
    <row r="213" spans="10:10" s="658" customFormat="1" ht="21.75" customHeight="1">
      <c r="J213" s="2866"/>
    </row>
    <row r="214" spans="10:10" s="658" customFormat="1" ht="21.75" customHeight="1">
      <c r="J214" s="2866"/>
    </row>
    <row r="215" spans="10:10" s="658" customFormat="1" ht="21.75" customHeight="1">
      <c r="J215" s="2866"/>
    </row>
    <row r="216" spans="10:10" s="658" customFormat="1" ht="21.75" customHeight="1">
      <c r="J216" s="2866"/>
    </row>
    <row r="217" spans="10:10" s="658" customFormat="1" ht="21.75" customHeight="1">
      <c r="J217" s="2866"/>
    </row>
    <row r="218" spans="10:10" s="658" customFormat="1" ht="21.75" customHeight="1">
      <c r="J218" s="2866"/>
    </row>
    <row r="219" spans="10:10" s="658" customFormat="1" ht="21.75" customHeight="1">
      <c r="J219" s="2866"/>
    </row>
    <row r="220" spans="10:10" s="658" customFormat="1" ht="21.75" customHeight="1">
      <c r="J220" s="2866"/>
    </row>
    <row r="221" spans="10:10" s="658" customFormat="1" ht="21.75" customHeight="1">
      <c r="J221" s="2866"/>
    </row>
    <row r="222" spans="10:10" s="658" customFormat="1" ht="21.75" customHeight="1">
      <c r="J222" s="2866"/>
    </row>
    <row r="223" spans="10:10" s="658" customFormat="1" ht="21.75" customHeight="1">
      <c r="J223" s="2866"/>
    </row>
    <row r="224" spans="10:10" s="658" customFormat="1" ht="21.75" customHeight="1">
      <c r="J224" s="2866"/>
    </row>
    <row r="225" spans="10:10" s="658" customFormat="1" ht="21.75" customHeight="1">
      <c r="J225" s="2866"/>
    </row>
    <row r="226" spans="10:10" s="658" customFormat="1" ht="21.75" customHeight="1">
      <c r="J226" s="2866"/>
    </row>
    <row r="227" spans="10:10" s="658" customFormat="1" ht="21.75" customHeight="1">
      <c r="J227" s="2866"/>
    </row>
    <row r="228" spans="10:10" s="658" customFormat="1" ht="21.75" customHeight="1">
      <c r="J228" s="2866"/>
    </row>
    <row r="229" spans="10:10" s="658" customFormat="1" ht="21.75" customHeight="1">
      <c r="J229" s="2866"/>
    </row>
    <row r="230" spans="10:10" s="658" customFormat="1" ht="21.75" customHeight="1">
      <c r="J230" s="2866"/>
    </row>
    <row r="231" spans="10:10" s="658" customFormat="1" ht="21.75" customHeight="1">
      <c r="J231" s="2866"/>
    </row>
    <row r="232" spans="10:10" s="658" customFormat="1" ht="21.75" customHeight="1">
      <c r="J232" s="2866"/>
    </row>
    <row r="233" spans="10:10" s="658" customFormat="1" ht="21.75" customHeight="1">
      <c r="J233" s="2866"/>
    </row>
    <row r="234" spans="10:10" s="658" customFormat="1" ht="21.75" customHeight="1">
      <c r="J234" s="2866"/>
    </row>
    <row r="235" spans="10:10" s="658" customFormat="1" ht="21.75" customHeight="1">
      <c r="J235" s="2866"/>
    </row>
    <row r="236" spans="10:10" s="658" customFormat="1" ht="21.75" customHeight="1">
      <c r="J236" s="2866"/>
    </row>
    <row r="237" spans="10:10" s="658" customFormat="1" ht="21.75" customHeight="1">
      <c r="J237" s="2866"/>
    </row>
    <row r="238" spans="10:10" s="658" customFormat="1" ht="21.75" customHeight="1">
      <c r="J238" s="2866"/>
    </row>
    <row r="239" spans="10:10" s="658" customFormat="1" ht="21.75" customHeight="1">
      <c r="J239" s="2866"/>
    </row>
    <row r="240" spans="10:10" s="658" customFormat="1" ht="21.75" customHeight="1">
      <c r="J240" s="2866"/>
    </row>
    <row r="241" spans="10:10" s="658" customFormat="1" ht="21.75" customHeight="1">
      <c r="J241" s="2866"/>
    </row>
    <row r="242" spans="10:10" s="658" customFormat="1" ht="21.75" customHeight="1">
      <c r="J242" s="2866"/>
    </row>
    <row r="243" spans="10:10" s="658" customFormat="1" ht="21.75" customHeight="1">
      <c r="J243" s="2866"/>
    </row>
    <row r="244" spans="10:10" s="658" customFormat="1" ht="21.75" customHeight="1">
      <c r="J244" s="2866"/>
    </row>
    <row r="245" spans="10:10" s="658" customFormat="1" ht="21.75" customHeight="1">
      <c r="J245" s="2866"/>
    </row>
    <row r="246" spans="10:10" s="658" customFormat="1" ht="21.75" customHeight="1">
      <c r="J246" s="2866"/>
    </row>
    <row r="247" spans="10:10" s="658" customFormat="1" ht="21.75" customHeight="1">
      <c r="J247" s="2866"/>
    </row>
    <row r="248" spans="10:10" s="658" customFormat="1" ht="21.75" customHeight="1">
      <c r="J248" s="2866"/>
    </row>
    <row r="249" spans="10:10" s="658" customFormat="1" ht="21.75" customHeight="1">
      <c r="J249" s="2866"/>
    </row>
    <row r="250" spans="10:10" s="658" customFormat="1" ht="21.75" customHeight="1">
      <c r="J250" s="2866"/>
    </row>
    <row r="251" spans="10:10" s="658" customFormat="1" ht="21.75" customHeight="1">
      <c r="J251" s="2866"/>
    </row>
    <row r="252" spans="10:10" s="658" customFormat="1" ht="21.75" customHeight="1">
      <c r="J252" s="2866"/>
    </row>
    <row r="253" spans="10:10" s="658" customFormat="1" ht="21.75" customHeight="1">
      <c r="J253" s="2866"/>
    </row>
    <row r="254" spans="10:10" s="658" customFormat="1" ht="21.75" customHeight="1">
      <c r="J254" s="2866"/>
    </row>
    <row r="255" spans="10:10" s="658" customFormat="1" ht="21.75" customHeight="1">
      <c r="J255" s="2866"/>
    </row>
    <row r="256" spans="10:10" s="658" customFormat="1" ht="21.75" customHeight="1">
      <c r="J256" s="2866"/>
    </row>
    <row r="257" spans="10:10" s="658" customFormat="1" ht="21.75" customHeight="1">
      <c r="J257" s="2866"/>
    </row>
    <row r="258" spans="10:10" s="658" customFormat="1" ht="21.75" customHeight="1">
      <c r="J258" s="2866"/>
    </row>
    <row r="259" spans="10:10" s="658" customFormat="1" ht="21.75" customHeight="1">
      <c r="J259" s="2866"/>
    </row>
    <row r="260" spans="10:10" s="658" customFormat="1" ht="21.75" customHeight="1">
      <c r="J260" s="2866"/>
    </row>
    <row r="261" spans="10:10" s="658" customFormat="1" ht="21.75" customHeight="1">
      <c r="J261" s="2866"/>
    </row>
    <row r="262" spans="10:10" s="658" customFormat="1" ht="21.75" customHeight="1">
      <c r="J262" s="2866"/>
    </row>
    <row r="263" spans="10:10" s="658" customFormat="1" ht="21.75" customHeight="1">
      <c r="J263" s="2866"/>
    </row>
    <row r="264" spans="10:10" s="658" customFormat="1" ht="21.75" customHeight="1">
      <c r="J264" s="2866"/>
    </row>
    <row r="265" spans="10:10" s="658" customFormat="1" ht="21.75" customHeight="1">
      <c r="J265" s="2866"/>
    </row>
    <row r="266" spans="10:10" s="658" customFormat="1" ht="21.75" customHeight="1">
      <c r="J266" s="2866"/>
    </row>
    <row r="267" spans="10:10" s="658" customFormat="1" ht="21.75" customHeight="1">
      <c r="J267" s="2866"/>
    </row>
    <row r="268" spans="10:10" s="658" customFormat="1" ht="21.75" customHeight="1">
      <c r="J268" s="2866"/>
    </row>
    <row r="269" spans="10:10" s="658" customFormat="1" ht="21.75" customHeight="1">
      <c r="J269" s="2866"/>
    </row>
    <row r="270" spans="10:10" s="658" customFormat="1" ht="21.75" customHeight="1">
      <c r="J270" s="2866"/>
    </row>
    <row r="271" spans="10:10" s="658" customFormat="1" ht="21.75" customHeight="1">
      <c r="J271" s="2866"/>
    </row>
    <row r="272" spans="10:10" s="658" customFormat="1" ht="21.75" customHeight="1">
      <c r="J272" s="2866"/>
    </row>
    <row r="273" spans="10:10" s="658" customFormat="1" ht="21.75" customHeight="1">
      <c r="J273" s="2866"/>
    </row>
    <row r="274" spans="10:10" s="658" customFormat="1" ht="21.75" customHeight="1">
      <c r="J274" s="2866"/>
    </row>
    <row r="275" spans="10:10" s="658" customFormat="1" ht="21.75" customHeight="1">
      <c r="J275" s="2866"/>
    </row>
    <row r="276" spans="10:10" s="658" customFormat="1" ht="21.75" customHeight="1">
      <c r="J276" s="2866"/>
    </row>
    <row r="277" spans="10:10" s="658" customFormat="1" ht="21.75" customHeight="1">
      <c r="J277" s="2866"/>
    </row>
    <row r="278" spans="10:10" s="658" customFormat="1" ht="21.75" customHeight="1">
      <c r="J278" s="2866"/>
    </row>
    <row r="279" spans="10:10" s="658" customFormat="1" ht="21.75" customHeight="1">
      <c r="J279" s="2866"/>
    </row>
    <row r="280" spans="10:10" s="658" customFormat="1" ht="21.75" customHeight="1">
      <c r="J280" s="2866"/>
    </row>
    <row r="281" spans="10:10" s="658" customFormat="1" ht="21.75" customHeight="1">
      <c r="J281" s="2866"/>
    </row>
    <row r="282" spans="10:10" s="658" customFormat="1" ht="21.75" customHeight="1">
      <c r="J282" s="2866"/>
    </row>
    <row r="283" spans="10:10" s="658" customFormat="1" ht="21.75" customHeight="1">
      <c r="J283" s="2866"/>
    </row>
    <row r="284" spans="10:10" s="658" customFormat="1" ht="21.75" customHeight="1">
      <c r="J284" s="2866"/>
    </row>
    <row r="285" spans="10:10" s="658" customFormat="1" ht="21.75" customHeight="1">
      <c r="J285" s="2866"/>
    </row>
    <row r="286" spans="10:10" s="658" customFormat="1" ht="21.75" customHeight="1">
      <c r="J286" s="2866"/>
    </row>
    <row r="287" spans="10:10" s="658" customFormat="1" ht="21.75" customHeight="1">
      <c r="J287" s="2866"/>
    </row>
    <row r="288" spans="10:10" s="658" customFormat="1" ht="21.75" customHeight="1">
      <c r="J288" s="2866"/>
    </row>
    <row r="289" spans="10:10" s="658" customFormat="1" ht="21.75" customHeight="1">
      <c r="J289" s="2866"/>
    </row>
    <row r="290" spans="10:10" s="658" customFormat="1" ht="21.75" customHeight="1">
      <c r="J290" s="2866"/>
    </row>
    <row r="291" spans="10:10" s="658" customFormat="1" ht="21.75" customHeight="1">
      <c r="J291" s="2866"/>
    </row>
    <row r="292" spans="10:10" s="658" customFormat="1" ht="21.75" customHeight="1">
      <c r="J292" s="2866"/>
    </row>
    <row r="293" spans="10:10" s="658" customFormat="1" ht="21.75" customHeight="1">
      <c r="J293" s="2866"/>
    </row>
    <row r="294" spans="10:10" s="658" customFormat="1" ht="21.75" customHeight="1">
      <c r="J294" s="2866"/>
    </row>
    <row r="295" spans="10:10" s="658" customFormat="1" ht="21.75" customHeight="1">
      <c r="J295" s="2866"/>
    </row>
    <row r="296" spans="10:10" s="658" customFormat="1" ht="21.75" customHeight="1">
      <c r="J296" s="2866"/>
    </row>
    <row r="297" spans="10:10" s="658" customFormat="1" ht="21.75" customHeight="1">
      <c r="J297" s="2866"/>
    </row>
    <row r="298" spans="10:10" s="658" customFormat="1" ht="21.75" customHeight="1">
      <c r="J298" s="2866"/>
    </row>
    <row r="299" spans="10:10" s="658" customFormat="1" ht="21.75" customHeight="1">
      <c r="J299" s="2866"/>
    </row>
    <row r="300" spans="10:10" s="658" customFormat="1" ht="21.75" customHeight="1">
      <c r="J300" s="2866"/>
    </row>
    <row r="301" spans="10:10" s="658" customFormat="1" ht="21.75" customHeight="1">
      <c r="J301" s="2866"/>
    </row>
    <row r="302" spans="10:10" s="658" customFormat="1" ht="21.75" customHeight="1">
      <c r="J302" s="2866"/>
    </row>
    <row r="303" spans="10:10" s="658" customFormat="1" ht="21.75" customHeight="1">
      <c r="J303" s="2866"/>
    </row>
    <row r="304" spans="10:10" s="658" customFormat="1" ht="21.75" customHeight="1">
      <c r="J304" s="2866"/>
    </row>
    <row r="305" spans="10:10" s="658" customFormat="1" ht="21.75" customHeight="1">
      <c r="J305" s="2866"/>
    </row>
    <row r="306" spans="10:10" s="658" customFormat="1" ht="21.75" customHeight="1">
      <c r="J306" s="2866"/>
    </row>
    <row r="307" spans="10:10" s="658" customFormat="1" ht="21.75" customHeight="1">
      <c r="J307" s="2866"/>
    </row>
    <row r="308" spans="10:10" s="658" customFormat="1" ht="21.75" customHeight="1">
      <c r="J308" s="2866"/>
    </row>
    <row r="309" spans="10:10" s="658" customFormat="1" ht="21.75" customHeight="1">
      <c r="J309" s="2866"/>
    </row>
    <row r="310" spans="10:10" s="658" customFormat="1" ht="21.75" customHeight="1">
      <c r="J310" s="2866"/>
    </row>
    <row r="311" spans="10:10" s="658" customFormat="1" ht="21.75" customHeight="1">
      <c r="J311" s="2866"/>
    </row>
    <row r="312" spans="10:10" s="658" customFormat="1" ht="21.75" customHeight="1">
      <c r="J312" s="2866"/>
    </row>
    <row r="313" spans="10:10" s="658" customFormat="1" ht="21.75" customHeight="1">
      <c r="J313" s="2866"/>
    </row>
    <row r="314" spans="10:10" s="658" customFormat="1" ht="21.75" customHeight="1">
      <c r="J314" s="2866"/>
    </row>
    <row r="315" spans="10:10" s="658" customFormat="1" ht="21.75" customHeight="1">
      <c r="J315" s="2866"/>
    </row>
    <row r="316" spans="10:10" s="658" customFormat="1" ht="21.75" customHeight="1">
      <c r="J316" s="2866"/>
    </row>
    <row r="317" spans="10:10" s="658" customFormat="1" ht="21.75" customHeight="1">
      <c r="J317" s="2866"/>
    </row>
    <row r="318" spans="10:10" s="658" customFormat="1" ht="21.75" customHeight="1">
      <c r="J318" s="2866"/>
    </row>
    <row r="319" spans="10:10" s="658" customFormat="1" ht="21.75" customHeight="1">
      <c r="J319" s="2866"/>
    </row>
    <row r="320" spans="10:10" s="658" customFormat="1" ht="21.75" customHeight="1">
      <c r="J320" s="2866"/>
    </row>
    <row r="321" spans="10:10" s="658" customFormat="1" ht="21.75" customHeight="1">
      <c r="J321" s="2866"/>
    </row>
    <row r="322" spans="10:10" s="658" customFormat="1" ht="21.75" customHeight="1">
      <c r="J322" s="2866"/>
    </row>
    <row r="323" spans="10:10" s="658" customFormat="1" ht="21.75" customHeight="1">
      <c r="J323" s="2866"/>
    </row>
    <row r="324" spans="10:10" s="658" customFormat="1" ht="21.75" customHeight="1">
      <c r="J324" s="2866"/>
    </row>
    <row r="325" spans="10:10" s="658" customFormat="1" ht="21.75" customHeight="1">
      <c r="J325" s="2866"/>
    </row>
    <row r="326" spans="10:10" s="658" customFormat="1" ht="21.75" customHeight="1">
      <c r="J326" s="2866"/>
    </row>
    <row r="327" spans="10:10" s="658" customFormat="1" ht="21.75" customHeight="1">
      <c r="J327" s="2866"/>
    </row>
    <row r="328" spans="10:10" s="658" customFormat="1" ht="21.75" customHeight="1">
      <c r="J328" s="2866"/>
    </row>
    <row r="329" spans="10:10" s="658" customFormat="1" ht="21.75" customHeight="1">
      <c r="J329" s="2866"/>
    </row>
    <row r="330" spans="10:10" s="658" customFormat="1" ht="21.75" customHeight="1">
      <c r="J330" s="2866"/>
    </row>
    <row r="331" spans="10:10" s="658" customFormat="1" ht="21.75" customHeight="1">
      <c r="J331" s="2866"/>
    </row>
    <row r="332" spans="10:10" s="658" customFormat="1" ht="21.75" customHeight="1">
      <c r="J332" s="2866"/>
    </row>
    <row r="333" spans="10:10" s="658" customFormat="1" ht="21.75" customHeight="1">
      <c r="J333" s="2866"/>
    </row>
    <row r="334" spans="10:10" s="658" customFormat="1" ht="21.75" customHeight="1">
      <c r="J334" s="2866"/>
    </row>
    <row r="335" spans="10:10" s="658" customFormat="1" ht="21.75" customHeight="1">
      <c r="J335" s="2866"/>
    </row>
    <row r="336" spans="10:10" s="658" customFormat="1" ht="21.75" customHeight="1">
      <c r="J336" s="2866"/>
    </row>
    <row r="337" spans="10:10" s="658" customFormat="1" ht="21.75" customHeight="1">
      <c r="J337" s="2866"/>
    </row>
    <row r="338" spans="10:10" s="658" customFormat="1" ht="21.75" customHeight="1">
      <c r="J338" s="2866"/>
    </row>
    <row r="339" spans="10:10" s="658" customFormat="1" ht="21.75" customHeight="1">
      <c r="J339" s="2866"/>
    </row>
    <row r="340" spans="10:10" s="658" customFormat="1" ht="21.75" customHeight="1">
      <c r="J340" s="2866"/>
    </row>
    <row r="341" spans="10:10" s="658" customFormat="1" ht="21.75" customHeight="1">
      <c r="J341" s="2866"/>
    </row>
    <row r="342" spans="10:10" s="658" customFormat="1" ht="21.75" customHeight="1">
      <c r="J342" s="2866"/>
    </row>
    <row r="343" spans="10:10" s="658" customFormat="1" ht="21.75" customHeight="1">
      <c r="J343" s="2866"/>
    </row>
    <row r="344" spans="10:10" s="658" customFormat="1" ht="21.75" customHeight="1">
      <c r="J344" s="2866"/>
    </row>
    <row r="345" spans="10:10" s="658" customFormat="1" ht="21.75" customHeight="1">
      <c r="J345" s="2866"/>
    </row>
    <row r="346" spans="10:10" s="658" customFormat="1" ht="21.75" customHeight="1">
      <c r="J346" s="2866"/>
    </row>
    <row r="347" spans="10:10" s="658" customFormat="1" ht="21.75" customHeight="1">
      <c r="J347" s="2866"/>
    </row>
    <row r="348" spans="10:10" s="658" customFormat="1" ht="21.75" customHeight="1">
      <c r="J348" s="2866"/>
    </row>
    <row r="349" spans="10:10" s="658" customFormat="1" ht="21.75" customHeight="1">
      <c r="J349" s="2866"/>
    </row>
    <row r="350" spans="10:10" s="658" customFormat="1" ht="21.75" customHeight="1">
      <c r="J350" s="2866"/>
    </row>
    <row r="351" spans="10:10" s="658" customFormat="1" ht="21.75" customHeight="1">
      <c r="J351" s="2866"/>
    </row>
    <row r="352" spans="10:10" s="658" customFormat="1" ht="21.75" customHeight="1">
      <c r="J352" s="2866"/>
    </row>
    <row r="353" spans="10:10" s="658" customFormat="1" ht="21.75" customHeight="1">
      <c r="J353" s="2866"/>
    </row>
    <row r="354" spans="10:10" s="658" customFormat="1" ht="21.75" customHeight="1">
      <c r="J354" s="2866"/>
    </row>
    <row r="355" spans="10:10" s="658" customFormat="1" ht="21.75" customHeight="1">
      <c r="J355" s="2866"/>
    </row>
    <row r="356" spans="10:10" s="658" customFormat="1" ht="21.75" customHeight="1">
      <c r="J356" s="2866"/>
    </row>
    <row r="357" spans="10:10" s="658" customFormat="1" ht="21.75" customHeight="1">
      <c r="J357" s="2866"/>
    </row>
    <row r="358" spans="10:10" s="658" customFormat="1" ht="21.75" customHeight="1">
      <c r="J358" s="2866"/>
    </row>
    <row r="359" spans="10:10" s="658" customFormat="1" ht="21.75" customHeight="1">
      <c r="J359" s="2866"/>
    </row>
    <row r="360" spans="10:10" s="658" customFormat="1" ht="21.75" customHeight="1">
      <c r="J360" s="2866"/>
    </row>
    <row r="361" spans="10:10" s="658" customFormat="1" ht="21.75" customHeight="1">
      <c r="J361" s="2866"/>
    </row>
    <row r="362" spans="10:10" s="658" customFormat="1" ht="21.75" customHeight="1">
      <c r="J362" s="2866"/>
    </row>
    <row r="363" spans="10:10" s="658" customFormat="1" ht="21.75" customHeight="1">
      <c r="J363" s="2866"/>
    </row>
    <row r="364" spans="10:10" s="658" customFormat="1" ht="21.75" customHeight="1">
      <c r="J364" s="2866"/>
    </row>
    <row r="365" spans="10:10" s="658" customFormat="1" ht="21.75" customHeight="1">
      <c r="J365" s="2866"/>
    </row>
    <row r="366" spans="10:10" s="658" customFormat="1" ht="21.75" customHeight="1">
      <c r="J366" s="2866"/>
    </row>
    <row r="367" spans="10:10" s="658" customFormat="1" ht="21.75" customHeight="1">
      <c r="J367" s="2866"/>
    </row>
    <row r="368" spans="10:10" s="658" customFormat="1" ht="21.75" customHeight="1">
      <c r="J368" s="2866"/>
    </row>
    <row r="369" spans="10:27" s="658" customFormat="1" ht="21.75" customHeight="1">
      <c r="J369" s="2866"/>
    </row>
    <row r="370" spans="10:27" s="658" customFormat="1" ht="21.75" customHeight="1">
      <c r="J370" s="2866"/>
    </row>
    <row r="371" spans="10:27" s="658" customFormat="1" ht="21.75" customHeight="1">
      <c r="J371" s="2866"/>
    </row>
    <row r="372" spans="10:27" s="658" customFormat="1" ht="21.75" customHeight="1">
      <c r="J372" s="2866"/>
    </row>
    <row r="373" spans="10:27" s="658" customFormat="1" ht="21.75" customHeight="1">
      <c r="J373" s="2866"/>
    </row>
    <row r="374" spans="10:27" s="658" customFormat="1" ht="21.75" customHeight="1">
      <c r="J374" s="2866"/>
    </row>
    <row r="375" spans="10:27" s="658" customFormat="1" ht="21.75" customHeight="1">
      <c r="J375" s="2866"/>
    </row>
    <row r="376" spans="10:27" s="658" customFormat="1" ht="21.75" customHeight="1">
      <c r="J376" s="2866"/>
    </row>
    <row r="377" spans="10:27" s="658" customFormat="1" ht="21.75" customHeight="1">
      <c r="J377" s="2866"/>
    </row>
    <row r="378" spans="10:27" s="658" customFormat="1" ht="21.75" customHeight="1">
      <c r="J378" s="2866"/>
    </row>
    <row r="379" spans="10:27" s="658" customFormat="1" ht="21.75" customHeight="1">
      <c r="J379" s="2866"/>
    </row>
    <row r="380" spans="10:27" s="658" customFormat="1" ht="21.75" customHeight="1">
      <c r="J380" s="2866"/>
    </row>
    <row r="381" spans="10:27" s="658" customFormat="1" ht="21.75" customHeight="1">
      <c r="J381" s="2866"/>
    </row>
    <row r="382" spans="10:27" s="658" customFormat="1" ht="21.75" customHeight="1">
      <c r="J382" s="2866"/>
    </row>
    <row r="383" spans="10:27" s="1307" customFormat="1" ht="21.75" customHeight="1">
      <c r="J383" s="2836"/>
      <c r="K383" s="658"/>
      <c r="L383" s="658"/>
      <c r="M383" s="658"/>
      <c r="N383" s="658"/>
      <c r="O383" s="658"/>
      <c r="P383" s="658"/>
      <c r="Q383" s="658"/>
      <c r="R383" s="658"/>
      <c r="S383" s="658"/>
      <c r="T383" s="658"/>
      <c r="U383" s="658"/>
      <c r="V383" s="658"/>
      <c r="W383" s="658"/>
      <c r="X383" s="658"/>
      <c r="Y383" s="658"/>
      <c r="Z383" s="658"/>
      <c r="AA383" s="658"/>
    </row>
    <row r="384" spans="10:27" s="1307" customFormat="1" ht="21.75" customHeight="1">
      <c r="J384" s="2836"/>
      <c r="K384" s="658"/>
      <c r="L384" s="658"/>
      <c r="M384" s="658"/>
      <c r="N384" s="658"/>
      <c r="O384" s="658"/>
      <c r="P384" s="658"/>
      <c r="Q384" s="658"/>
      <c r="R384" s="658"/>
      <c r="S384" s="658"/>
      <c r="T384" s="658"/>
      <c r="U384" s="658"/>
      <c r="V384" s="658"/>
      <c r="W384" s="658"/>
      <c r="X384" s="658"/>
      <c r="Y384" s="658"/>
      <c r="Z384" s="658"/>
      <c r="AA384" s="658"/>
    </row>
    <row r="385" spans="10:27" s="1307" customFormat="1" ht="21.75" customHeight="1">
      <c r="J385" s="2836"/>
      <c r="K385" s="658"/>
      <c r="L385" s="658"/>
      <c r="M385" s="658"/>
      <c r="N385" s="658"/>
      <c r="O385" s="658"/>
      <c r="P385" s="658"/>
      <c r="Q385" s="658"/>
      <c r="R385" s="658"/>
      <c r="S385" s="658"/>
      <c r="T385" s="658"/>
      <c r="U385" s="658"/>
      <c r="V385" s="658"/>
      <c r="W385" s="658"/>
      <c r="X385" s="658"/>
      <c r="Y385" s="658"/>
      <c r="Z385" s="658"/>
      <c r="AA385" s="658"/>
    </row>
    <row r="386" spans="10:27" s="1307" customFormat="1" ht="21.75" customHeight="1">
      <c r="J386" s="2836"/>
      <c r="K386" s="658"/>
      <c r="L386" s="658"/>
      <c r="M386" s="658"/>
      <c r="N386" s="658"/>
      <c r="O386" s="658"/>
      <c r="P386" s="658"/>
      <c r="Q386" s="658"/>
      <c r="R386" s="658"/>
      <c r="S386" s="658"/>
      <c r="T386" s="658"/>
      <c r="U386" s="658"/>
      <c r="V386" s="658"/>
      <c r="W386" s="658"/>
      <c r="X386" s="658"/>
      <c r="Y386" s="658"/>
      <c r="Z386" s="658"/>
      <c r="AA386" s="658"/>
    </row>
    <row r="387" spans="10:27" s="1307" customFormat="1" ht="21.75" customHeight="1">
      <c r="J387" s="2836"/>
      <c r="K387" s="658"/>
      <c r="L387" s="658"/>
      <c r="M387" s="658"/>
      <c r="N387" s="658"/>
      <c r="O387" s="658"/>
      <c r="P387" s="658"/>
      <c r="Q387" s="658"/>
      <c r="R387" s="658"/>
      <c r="S387" s="658"/>
      <c r="T387" s="658"/>
      <c r="U387" s="658"/>
      <c r="V387" s="658"/>
      <c r="W387" s="658"/>
      <c r="X387" s="658"/>
      <c r="Y387" s="658"/>
      <c r="Z387" s="658"/>
      <c r="AA387" s="658"/>
    </row>
    <row r="388" spans="10:27" s="1307" customFormat="1" ht="21.75" customHeight="1">
      <c r="J388" s="2836"/>
      <c r="K388" s="658"/>
      <c r="L388" s="658"/>
      <c r="M388" s="658"/>
      <c r="N388" s="658"/>
      <c r="O388" s="658"/>
      <c r="P388" s="658"/>
      <c r="Q388" s="658"/>
      <c r="R388" s="658"/>
      <c r="S388" s="658"/>
      <c r="T388" s="658"/>
      <c r="U388" s="658"/>
      <c r="V388" s="658"/>
      <c r="W388" s="658"/>
      <c r="X388" s="658"/>
      <c r="Y388" s="658"/>
      <c r="Z388" s="658"/>
      <c r="AA388" s="658"/>
    </row>
    <row r="389" spans="10:27" s="1307" customFormat="1" ht="21.75" customHeight="1">
      <c r="J389" s="2836"/>
      <c r="K389" s="658"/>
      <c r="L389" s="658"/>
      <c r="M389" s="658"/>
      <c r="N389" s="658"/>
      <c r="O389" s="658"/>
      <c r="P389" s="658"/>
      <c r="Q389" s="658"/>
      <c r="R389" s="658"/>
      <c r="S389" s="658"/>
      <c r="T389" s="658"/>
      <c r="U389" s="658"/>
      <c r="V389" s="658"/>
      <c r="W389" s="658"/>
      <c r="X389" s="658"/>
      <c r="Y389" s="658"/>
      <c r="Z389" s="658"/>
      <c r="AA389" s="658"/>
    </row>
    <row r="390" spans="10:27" s="1307" customFormat="1" ht="21.75" customHeight="1">
      <c r="J390" s="2836"/>
      <c r="K390" s="658"/>
      <c r="L390" s="658"/>
      <c r="M390" s="658"/>
      <c r="N390" s="658"/>
      <c r="O390" s="658"/>
      <c r="P390" s="658"/>
      <c r="Q390" s="658"/>
      <c r="R390" s="658"/>
      <c r="S390" s="658"/>
      <c r="T390" s="658"/>
      <c r="U390" s="658"/>
      <c r="V390" s="658"/>
      <c r="W390" s="658"/>
      <c r="X390" s="658"/>
      <c r="Y390" s="658"/>
      <c r="Z390" s="658"/>
      <c r="AA390" s="658"/>
    </row>
    <row r="391" spans="10:27" s="1307" customFormat="1" ht="21.75" customHeight="1">
      <c r="J391" s="2836"/>
      <c r="K391" s="658"/>
      <c r="L391" s="658"/>
      <c r="M391" s="658"/>
      <c r="N391" s="658"/>
      <c r="O391" s="658"/>
      <c r="P391" s="658"/>
      <c r="Q391" s="658"/>
      <c r="R391" s="658"/>
      <c r="S391" s="658"/>
      <c r="T391" s="658"/>
      <c r="U391" s="658"/>
      <c r="V391" s="658"/>
      <c r="W391" s="658"/>
      <c r="X391" s="658"/>
      <c r="Y391" s="658"/>
      <c r="Z391" s="658"/>
      <c r="AA391" s="658"/>
    </row>
    <row r="392" spans="10:27" s="1307" customFormat="1" ht="21.75" customHeight="1">
      <c r="J392" s="2836"/>
      <c r="K392" s="658"/>
      <c r="L392" s="658"/>
      <c r="M392" s="658"/>
      <c r="N392" s="658"/>
      <c r="O392" s="658"/>
      <c r="P392" s="658"/>
      <c r="Q392" s="658"/>
      <c r="R392" s="658"/>
      <c r="S392" s="658"/>
      <c r="T392" s="658"/>
      <c r="U392" s="658"/>
      <c r="V392" s="658"/>
      <c r="W392" s="658"/>
      <c r="X392" s="658"/>
      <c r="Y392" s="658"/>
      <c r="Z392" s="658"/>
      <c r="AA392" s="658"/>
    </row>
    <row r="393" spans="10:27" s="1307" customFormat="1" ht="21.75" customHeight="1">
      <c r="J393" s="2836"/>
      <c r="K393" s="658"/>
      <c r="L393" s="658"/>
      <c r="M393" s="658"/>
      <c r="N393" s="658"/>
      <c r="O393" s="658"/>
      <c r="P393" s="658"/>
      <c r="Q393" s="658"/>
      <c r="R393" s="658"/>
      <c r="S393" s="658"/>
      <c r="T393" s="658"/>
      <c r="U393" s="658"/>
      <c r="V393" s="658"/>
      <c r="W393" s="658"/>
      <c r="X393" s="658"/>
      <c r="Y393" s="658"/>
      <c r="Z393" s="658"/>
      <c r="AA393" s="658"/>
    </row>
    <row r="394" spans="10:27" s="1307" customFormat="1" ht="21.75" customHeight="1">
      <c r="J394" s="2836"/>
      <c r="K394" s="658"/>
      <c r="L394" s="658"/>
      <c r="M394" s="658"/>
      <c r="N394" s="658"/>
      <c r="O394" s="658"/>
      <c r="P394" s="658"/>
      <c r="Q394" s="658"/>
      <c r="R394" s="658"/>
      <c r="S394" s="658"/>
      <c r="T394" s="658"/>
      <c r="U394" s="658"/>
      <c r="V394" s="658"/>
      <c r="W394" s="658"/>
      <c r="X394" s="658"/>
      <c r="Y394" s="658"/>
      <c r="Z394" s="658"/>
      <c r="AA394" s="658"/>
    </row>
    <row r="395" spans="10:27" s="1307" customFormat="1" ht="21.75" customHeight="1">
      <c r="J395" s="2836"/>
      <c r="K395" s="658"/>
      <c r="L395" s="658"/>
      <c r="M395" s="658"/>
      <c r="N395" s="658"/>
      <c r="O395" s="658"/>
      <c r="P395" s="658"/>
      <c r="Q395" s="658"/>
      <c r="R395" s="658"/>
      <c r="S395" s="658"/>
      <c r="T395" s="658"/>
      <c r="U395" s="658"/>
      <c r="V395" s="658"/>
      <c r="W395" s="658"/>
      <c r="X395" s="658"/>
      <c r="Y395" s="658"/>
      <c r="Z395" s="658"/>
      <c r="AA395" s="658"/>
    </row>
    <row r="396" spans="10:27" s="1307" customFormat="1" ht="21.75" customHeight="1">
      <c r="J396" s="2836"/>
      <c r="K396" s="658"/>
      <c r="L396" s="658"/>
      <c r="M396" s="658"/>
      <c r="N396" s="658"/>
      <c r="O396" s="658"/>
      <c r="P396" s="658"/>
      <c r="Q396" s="658"/>
      <c r="R396" s="658"/>
      <c r="S396" s="658"/>
      <c r="T396" s="658"/>
      <c r="U396" s="658"/>
      <c r="V396" s="658"/>
      <c r="W396" s="658"/>
      <c r="X396" s="658"/>
      <c r="Y396" s="658"/>
      <c r="Z396" s="658"/>
      <c r="AA396" s="658"/>
    </row>
    <row r="397" spans="10:27" s="1307" customFormat="1" ht="21.75" customHeight="1">
      <c r="J397" s="2836"/>
      <c r="K397" s="658"/>
      <c r="L397" s="658"/>
      <c r="M397" s="658"/>
      <c r="N397" s="658"/>
      <c r="O397" s="658"/>
      <c r="P397" s="658"/>
      <c r="Q397" s="658"/>
      <c r="R397" s="658"/>
      <c r="S397" s="658"/>
      <c r="T397" s="658"/>
      <c r="U397" s="658"/>
      <c r="V397" s="658"/>
      <c r="W397" s="658"/>
      <c r="X397" s="658"/>
      <c r="Y397" s="658"/>
      <c r="Z397" s="658"/>
      <c r="AA397" s="658"/>
    </row>
    <row r="398" spans="10:27" s="1307" customFormat="1" ht="21.75" customHeight="1">
      <c r="J398" s="2836"/>
      <c r="K398" s="658"/>
      <c r="L398" s="658"/>
      <c r="M398" s="658"/>
      <c r="N398" s="658"/>
      <c r="O398" s="658"/>
      <c r="P398" s="658"/>
      <c r="Q398" s="658"/>
      <c r="R398" s="658"/>
      <c r="S398" s="658"/>
      <c r="T398" s="658"/>
      <c r="U398" s="658"/>
      <c r="V398" s="658"/>
      <c r="W398" s="658"/>
      <c r="X398" s="658"/>
      <c r="Y398" s="658"/>
      <c r="Z398" s="658"/>
      <c r="AA398" s="658"/>
    </row>
    <row r="399" spans="10:27" s="1307" customFormat="1" ht="21.75" customHeight="1">
      <c r="J399" s="2836"/>
      <c r="K399" s="658"/>
      <c r="L399" s="658"/>
      <c r="M399" s="658"/>
      <c r="N399" s="658"/>
      <c r="O399" s="658"/>
      <c r="P399" s="658"/>
      <c r="Q399" s="658"/>
      <c r="R399" s="658"/>
      <c r="S399" s="658"/>
      <c r="T399" s="658"/>
      <c r="U399" s="658"/>
      <c r="V399" s="658"/>
      <c r="W399" s="658"/>
      <c r="X399" s="658"/>
      <c r="Y399" s="658"/>
      <c r="Z399" s="658"/>
      <c r="AA399" s="658"/>
    </row>
    <row r="400" spans="10:27" s="1307" customFormat="1" ht="21.75" customHeight="1">
      <c r="J400" s="2836"/>
      <c r="K400" s="658"/>
      <c r="L400" s="658"/>
      <c r="M400" s="658"/>
      <c r="N400" s="658"/>
      <c r="O400" s="658"/>
      <c r="P400" s="658"/>
      <c r="Q400" s="658"/>
      <c r="R400" s="658"/>
      <c r="S400" s="658"/>
      <c r="T400" s="658"/>
      <c r="U400" s="658"/>
      <c r="V400" s="658"/>
      <c r="W400" s="658"/>
      <c r="X400" s="658"/>
      <c r="Y400" s="658"/>
      <c r="Z400" s="658"/>
      <c r="AA400" s="658"/>
    </row>
    <row r="401" spans="10:27" s="1307" customFormat="1" ht="21.75" customHeight="1">
      <c r="J401" s="2836"/>
      <c r="K401" s="658"/>
      <c r="L401" s="658"/>
      <c r="M401" s="658"/>
      <c r="N401" s="658"/>
      <c r="O401" s="658"/>
      <c r="P401" s="658"/>
      <c r="Q401" s="658"/>
      <c r="R401" s="658"/>
      <c r="S401" s="658"/>
      <c r="T401" s="658"/>
      <c r="U401" s="658"/>
      <c r="V401" s="658"/>
      <c r="W401" s="658"/>
      <c r="X401" s="658"/>
      <c r="Y401" s="658"/>
      <c r="Z401" s="658"/>
      <c r="AA401" s="658"/>
    </row>
    <row r="402" spans="10:27" s="1307" customFormat="1" ht="21.75" customHeight="1">
      <c r="J402" s="2836"/>
      <c r="K402" s="658"/>
      <c r="L402" s="658"/>
      <c r="M402" s="658"/>
      <c r="N402" s="658"/>
      <c r="O402" s="658"/>
      <c r="P402" s="658"/>
      <c r="Q402" s="658"/>
      <c r="R402" s="658"/>
      <c r="S402" s="658"/>
      <c r="T402" s="658"/>
      <c r="U402" s="658"/>
      <c r="V402" s="658"/>
      <c r="W402" s="658"/>
      <c r="X402" s="658"/>
      <c r="Y402" s="658"/>
      <c r="Z402" s="658"/>
      <c r="AA402" s="658"/>
    </row>
    <row r="403" spans="10:27" s="1307" customFormat="1" ht="21.75" customHeight="1">
      <c r="J403" s="2836"/>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36"/>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36"/>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36"/>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36"/>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36"/>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36"/>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36"/>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36"/>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36"/>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36"/>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36"/>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36"/>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36"/>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36"/>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36"/>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36"/>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36"/>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36"/>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36"/>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36"/>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36"/>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36"/>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36"/>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36"/>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36"/>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36"/>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36"/>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36"/>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36"/>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36"/>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36"/>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36"/>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36"/>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36"/>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36"/>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36"/>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36"/>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36"/>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36"/>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36"/>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36"/>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36"/>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36"/>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36"/>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36"/>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36"/>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36"/>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36"/>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36"/>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36"/>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36"/>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36"/>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36"/>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36"/>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36"/>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36"/>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36"/>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36"/>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36"/>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36"/>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36"/>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36"/>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36"/>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36"/>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36"/>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36"/>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36"/>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36"/>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36"/>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36"/>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36"/>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36"/>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36"/>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36"/>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36"/>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36"/>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36"/>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36"/>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36"/>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36"/>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36"/>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36"/>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36"/>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36"/>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36"/>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36"/>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36"/>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36"/>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36"/>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36"/>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36"/>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36"/>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36"/>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36"/>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36"/>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36"/>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36"/>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36"/>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36"/>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36"/>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36"/>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36"/>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36"/>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36"/>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36"/>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36"/>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36"/>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36"/>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36"/>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36"/>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36"/>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36"/>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J516" s="2836"/>
      <c r="K516" s="658"/>
      <c r="L516" s="658"/>
      <c r="M516" s="658"/>
      <c r="N516" s="658"/>
      <c r="O516" s="658"/>
      <c r="P516" s="658"/>
      <c r="Q516" s="658"/>
      <c r="R516" s="658"/>
      <c r="S516" s="658"/>
      <c r="T516" s="658"/>
      <c r="U516" s="658"/>
      <c r="V516" s="658"/>
      <c r="W516" s="658"/>
      <c r="X516" s="658"/>
      <c r="Y516" s="658"/>
      <c r="Z516" s="658"/>
      <c r="AA516" s="658"/>
    </row>
    <row r="517" spans="6:27" s="1307" customFormat="1" ht="21.75" customHeight="1">
      <c r="J517" s="2836"/>
      <c r="K517" s="658"/>
      <c r="L517" s="658"/>
      <c r="M517" s="658"/>
      <c r="N517" s="658"/>
      <c r="O517" s="658"/>
      <c r="P517" s="658"/>
      <c r="Q517" s="658"/>
      <c r="R517" s="658"/>
      <c r="S517" s="658"/>
      <c r="T517" s="658"/>
      <c r="U517" s="658"/>
      <c r="V517" s="658"/>
      <c r="W517" s="658"/>
      <c r="X517" s="658"/>
      <c r="Y517" s="658"/>
      <c r="Z517" s="658"/>
      <c r="AA517" s="658"/>
    </row>
    <row r="518" spans="6:27" s="1307" customFormat="1" ht="21.75" customHeight="1">
      <c r="J518" s="2836"/>
      <c r="K518" s="658"/>
      <c r="L518" s="658"/>
      <c r="M518" s="658"/>
      <c r="N518" s="658"/>
      <c r="O518" s="658"/>
      <c r="P518" s="658"/>
      <c r="Q518" s="658"/>
      <c r="R518" s="658"/>
      <c r="S518" s="658"/>
      <c r="T518" s="658"/>
      <c r="U518" s="658"/>
      <c r="V518" s="658"/>
      <c r="W518" s="658"/>
      <c r="X518" s="658"/>
      <c r="Y518" s="658"/>
      <c r="Z518" s="658"/>
      <c r="AA518" s="658"/>
    </row>
    <row r="519" spans="6:27" s="1307" customFormat="1" ht="21.75" customHeight="1">
      <c r="J519" s="2836"/>
      <c r="K519" s="658"/>
      <c r="L519" s="658"/>
      <c r="M519" s="658"/>
      <c r="N519" s="658"/>
      <c r="O519" s="658"/>
      <c r="P519" s="658"/>
      <c r="Q519" s="658"/>
      <c r="R519" s="658"/>
      <c r="S519" s="658"/>
      <c r="T519" s="658"/>
      <c r="U519" s="658"/>
      <c r="V519" s="658"/>
      <c r="W519" s="658"/>
      <c r="X519" s="658"/>
      <c r="Y519" s="658"/>
      <c r="Z519" s="658"/>
      <c r="AA519" s="658"/>
    </row>
    <row r="520" spans="6:27" s="1307" customFormat="1" ht="21.75" customHeight="1">
      <c r="F520" s="1459"/>
      <c r="G520" s="1459"/>
      <c r="H520" s="1459"/>
      <c r="I520" s="1459"/>
      <c r="J520" s="2836"/>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1788584</v>
      </c>
      <c r="C2" s="79" t="str">
        <f>'数据-取费表'!B3</f>
        <v>元</v>
      </c>
      <c r="D2" s="1513" t="s">
        <v>1241</v>
      </c>
      <c r="E2" s="1179" t="e">
        <f ca="1">SUMIF(INDIRECT("'"&amp;G2&amp;"'"&amp;"!A:A"),"承租人权益价值",INDIRECT("'"&amp;G2&amp;"'"&amp;"!c:c"))</f>
        <v>#REF!</v>
      </c>
      <c r="F2" s="1514" t="str">
        <f>C2</f>
        <v>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21719</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row>
    <row r="5" spans="1:123" s="91" customFormat="1" ht="13.5" customHeight="1">
      <c r="A5" s="120" t="s">
        <v>1918</v>
      </c>
      <c r="B5" s="89" t="s">
        <v>1919</v>
      </c>
      <c r="C5" s="111">
        <f>C6+C7+C8</f>
        <v>1050501.03</v>
      </c>
      <c r="D5" s="111" t="s">
        <v>1920</v>
      </c>
      <c r="E5" s="1165" t="s">
        <v>1921</v>
      </c>
      <c r="F5" s="1165"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4">
        <v>1000000</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50500</v>
      </c>
      <c r="D7" s="115"/>
      <c r="E7" s="1167"/>
      <c r="F7" s="1168">
        <f>'数据-取费表'!E36+'数据-取费表'!E37</f>
        <v>5.0500000000000003E-2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1.03</v>
      </c>
      <c r="D8" s="1169"/>
      <c r="E8" s="115"/>
      <c r="F8" s="1168"/>
      <c r="G8" s="1515"/>
    </row>
    <row r="9" spans="1:123" s="91" customFormat="1" ht="13.5" customHeight="1">
      <c r="A9" s="992" t="s">
        <v>945</v>
      </c>
      <c r="B9" s="97" t="s">
        <v>1929</v>
      </c>
      <c r="C9" s="1170">
        <f>ROUND(D9*E9,0)</f>
        <v>10294</v>
      </c>
      <c r="D9" s="1171">
        <f>IF('数据-取费表'!B10="住宅",IF(B1="仅计算典型户型",'数据-取费表'!E5,'数据-取费表'!B5),0)</f>
        <v>82.35</v>
      </c>
      <c r="E9" s="1170">
        <f>'数据-取费表'!E11</f>
        <v>125</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70">
        <f>ROUND(D10*E10,0)</f>
        <v>0</v>
      </c>
      <c r="D10" s="1171">
        <f>IF('数据-取费表'!B10&lt;&gt;"住宅",IF(B1="仅计算典型户型",'数据-取费表'!E5,'数据-取费表'!B5),0)</f>
        <v>0</v>
      </c>
      <c r="E10" s="1170">
        <f>'数据-取费表'!E12</f>
        <v>145</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7"/>
      <c r="F14" s="1167"/>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7"/>
      <c r="F15" s="1167"/>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3"/>
      <c r="D17" s="1173"/>
      <c r="E17" s="1173"/>
      <c r="F17" s="1173"/>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7"/>
      <c r="F18" s="1168">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16470</v>
      </c>
      <c r="D19" s="1174">
        <f>IF(B1="仅计算典型户型",'数据-取费表'!E5,'数据-取费表'!B5)</f>
        <v>82.35</v>
      </c>
      <c r="E19" s="111">
        <f>'数据-取费表'!E15</f>
        <v>200</v>
      </c>
      <c r="F19" s="112"/>
      <c r="G19" s="1515"/>
    </row>
    <row r="20" spans="1:123" s="91" customFormat="1" ht="13.5" customHeight="1">
      <c r="A20" s="120" t="s">
        <v>1942</v>
      </c>
      <c r="B20" s="89" t="s">
        <v>1943</v>
      </c>
      <c r="C20" s="99">
        <f>ROUND((C5+C19)*F20,0)</f>
        <v>21339</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95773</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4">
        <f ca="1">ROUND(IF('数据-取费表'!B24&lt;=1,C5*F22*'数据-取费表'!B25,C5*(POWER((1+F22),'数据-取费表'!B25)-1)),0)</f>
        <v>93381</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4">
        <f ca="1">ROUND(IF('数据-取费表'!B24&lt;=1,C19*F22*('数据-取费表'!B21/2+'数据-取费表'!B23),C19*(POWER((1+F22),('数据-取费表'!B21/2+'数据-取费表'!B23))-1)),0)</f>
        <v>1464</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4">
        <f ca="1">ROUND(IF('数据-取费表'!B24&lt;=1,C20*F22*'数据-取费表'!B25/2,C20*(POWER((1+F22),'数据-取费表'!B25/2)-1)),0)</f>
        <v>928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163247</v>
      </c>
      <c r="D27" s="101">
        <f>C29</f>
        <v>3.0000000000000001E-3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163247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1460046</v>
      </c>
      <c r="D31" s="1174"/>
      <c r="E31" s="111"/>
      <c r="F31" s="1175"/>
      <c r="G31" s="100" t="s">
        <v>1969</v>
      </c>
    </row>
    <row r="32" spans="1:123" s="88" customFormat="1" ht="15.75">
      <c r="A32" s="117" t="s">
        <v>1970</v>
      </c>
      <c r="B32" s="118"/>
      <c r="C32" s="1176"/>
      <c r="D32" s="1176"/>
      <c r="E32" s="1176"/>
      <c r="F32" s="1176"/>
      <c r="G32" s="119"/>
      <c r="H32" s="2979"/>
      <c r="I32" s="2979"/>
      <c r="J32" s="2979"/>
      <c r="K32" s="2979"/>
      <c r="L32" s="2979"/>
      <c r="M32" s="2979"/>
      <c r="N32" s="2979"/>
      <c r="O32" s="2979"/>
      <c r="P32" s="2979"/>
      <c r="Q32" s="2979"/>
      <c r="R32" s="2979"/>
      <c r="S32" s="2979"/>
      <c r="T32" s="2979"/>
      <c r="U32" s="2979"/>
      <c r="V32" s="2979"/>
      <c r="W32" s="2979"/>
      <c r="X32" s="2979"/>
      <c r="Y32" s="2979"/>
      <c r="Z32" s="2979"/>
      <c r="AA32" s="2979"/>
      <c r="AB32" s="2979"/>
      <c r="AC32" s="2979"/>
      <c r="AD32" s="2979"/>
      <c r="AE32" s="2979"/>
      <c r="AF32" s="2979"/>
      <c r="AG32" s="2979"/>
      <c r="AH32" s="2979"/>
      <c r="AI32" s="2979"/>
      <c r="AJ32" s="2979"/>
      <c r="AK32" s="2979"/>
      <c r="AL32" s="2979"/>
      <c r="AM32" s="2979"/>
      <c r="AN32" s="2979"/>
      <c r="AO32" s="2979"/>
      <c r="AP32" s="2979"/>
      <c r="AQ32" s="2979"/>
      <c r="AR32" s="2979"/>
      <c r="AS32" s="2979"/>
      <c r="AT32" s="2979"/>
      <c r="AU32" s="2979"/>
      <c r="AV32" s="2979"/>
      <c r="AW32" s="2979"/>
      <c r="AX32" s="2979"/>
      <c r="AY32" s="2979"/>
      <c r="AZ32" s="2979"/>
      <c r="BA32" s="2979"/>
      <c r="BB32" s="2979"/>
      <c r="BC32" s="2979"/>
      <c r="BD32" s="2979"/>
      <c r="BE32" s="2979"/>
      <c r="BF32" s="2979"/>
      <c r="BG32" s="2979"/>
      <c r="BH32" s="2979"/>
      <c r="BI32" s="2979"/>
      <c r="BJ32" s="2979"/>
      <c r="BK32" s="2979"/>
      <c r="BL32" s="2979"/>
      <c r="BM32" s="2979"/>
      <c r="BN32" s="2979"/>
      <c r="BO32" s="2979"/>
      <c r="BP32" s="2979"/>
      <c r="BQ32" s="2979"/>
      <c r="BR32" s="2979"/>
      <c r="BS32" s="2979"/>
      <c r="BT32" s="2979"/>
      <c r="BU32" s="2979"/>
      <c r="BV32" s="2979"/>
      <c r="BW32" s="2979"/>
      <c r="BX32" s="2979"/>
      <c r="BY32" s="2979"/>
      <c r="BZ32" s="2979"/>
      <c r="CA32" s="2979"/>
      <c r="CB32" s="2979"/>
      <c r="CC32" s="2979"/>
      <c r="CD32" s="2979"/>
      <c r="CE32" s="2979"/>
      <c r="CF32" s="2979"/>
      <c r="CG32" s="2979"/>
      <c r="CH32" s="2979"/>
      <c r="CI32" s="2979"/>
      <c r="CJ32" s="2979"/>
      <c r="CK32" s="2979"/>
      <c r="CL32" s="2979"/>
      <c r="CM32" s="2979"/>
      <c r="CN32" s="2979"/>
      <c r="CO32" s="2979"/>
      <c r="CP32" s="2979"/>
      <c r="CQ32" s="2979"/>
      <c r="CR32" s="2979"/>
      <c r="CS32" s="2979"/>
      <c r="CT32" s="2979"/>
      <c r="CU32" s="2979"/>
      <c r="CV32" s="2979"/>
      <c r="CW32" s="2979"/>
      <c r="CX32" s="2979"/>
      <c r="CY32" s="2979"/>
      <c r="CZ32" s="2979"/>
      <c r="DA32" s="2979"/>
      <c r="DB32" s="2979"/>
      <c r="DC32" s="2979"/>
      <c r="DD32" s="2979"/>
      <c r="DE32" s="2979"/>
      <c r="DF32" s="2979"/>
      <c r="DG32" s="2979"/>
      <c r="DH32" s="2979"/>
      <c r="DI32" s="2979"/>
      <c r="DJ32" s="2979"/>
      <c r="DK32" s="2979"/>
      <c r="DL32" s="2979"/>
      <c r="DM32" s="2979"/>
      <c r="DN32" s="2979"/>
      <c r="DO32" s="2979"/>
      <c r="DP32" s="2979"/>
      <c r="DQ32" s="2979"/>
      <c r="DR32" s="2979"/>
      <c r="DS32" s="2979"/>
    </row>
    <row r="33" spans="1:123" s="91" customFormat="1" ht="13.5" customHeight="1">
      <c r="A33" s="120" t="s">
        <v>1971</v>
      </c>
      <c r="B33" s="89" t="s">
        <v>1972</v>
      </c>
      <c r="C33" s="121">
        <f>SUM(C34:C38)</f>
        <v>323430</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288225</v>
      </c>
      <c r="D34" s="1166"/>
      <c r="E34" s="115"/>
      <c r="F34" s="1177" t="str">
        <f>IF('数据-取费表'!B26=0,"",'数据-取费表'!E20)</f>
        <v/>
      </c>
      <c r="G34" s="95"/>
    </row>
    <row r="35" spans="1:123" ht="13.5" customHeight="1">
      <c r="A35" s="92" t="s">
        <v>1925</v>
      </c>
      <c r="B35" s="93" t="s">
        <v>1974</v>
      </c>
      <c r="C35" s="115">
        <f>ROUND(C34*F35,0)</f>
        <v>8647</v>
      </c>
      <c r="D35" s="115"/>
      <c r="E35" s="115"/>
      <c r="F35" s="1178">
        <f>'数据-取费表'!E21</f>
        <v>0.03</v>
      </c>
      <c r="G35" s="95" t="s">
        <v>1975</v>
      </c>
    </row>
    <row r="36" spans="1:123" ht="24">
      <c r="A36" s="92" t="s">
        <v>1927</v>
      </c>
      <c r="B36" s="93" t="s">
        <v>1976</v>
      </c>
      <c r="C36" s="115">
        <f>ROUND(IF('数据-取费表'!B10="住宅",C34*F36,0),0)</f>
        <v>5765</v>
      </c>
      <c r="D36" s="115"/>
      <c r="E36" s="115"/>
      <c r="F36" s="1178">
        <f>'数据-取费表'!E22</f>
        <v>0.02</v>
      </c>
      <c r="G36" s="123" t="s">
        <v>1977</v>
      </c>
    </row>
    <row r="37" spans="1:123" s="122" customFormat="1" ht="13.5" customHeight="1">
      <c r="A37" s="92" t="s">
        <v>1958</v>
      </c>
      <c r="B37" s="93" t="s">
        <v>1978</v>
      </c>
      <c r="C37" s="115">
        <f>ROUND(E37*D37,0)</f>
        <v>16470</v>
      </c>
      <c r="D37" s="1166">
        <f>IF(B1="仅计算典型户型",'数据-取费表'!E5,'数据-取费表'!B5)</f>
        <v>82.35</v>
      </c>
      <c r="E37" s="115">
        <f>'数据-取费表'!E23</f>
        <v>200</v>
      </c>
      <c r="F37" s="1178"/>
      <c r="G37" s="124" t="s">
        <v>1979</v>
      </c>
    </row>
    <row r="38" spans="1:123" ht="13.5" customHeight="1">
      <c r="A38" s="92" t="s">
        <v>1980</v>
      </c>
      <c r="B38" s="93" t="s">
        <v>1981</v>
      </c>
      <c r="C38" s="115">
        <f>ROUND(C34*F38,0)</f>
        <v>4323</v>
      </c>
      <c r="D38" s="115"/>
      <c r="E38" s="115"/>
      <c r="F38" s="1178">
        <f>'数据-取费表'!E24</f>
        <v>1.4999999999999999E-2</v>
      </c>
      <c r="G38" s="95" t="s">
        <v>1975</v>
      </c>
    </row>
    <row r="39" spans="1:123" s="91" customFormat="1" ht="13.5" customHeight="1">
      <c r="A39" s="120" t="s">
        <v>1940</v>
      </c>
      <c r="B39" s="89" t="s">
        <v>1943</v>
      </c>
      <c r="C39" s="99">
        <f>ROUND(C33*F20,0)</f>
        <v>6469</v>
      </c>
      <c r="D39" s="99"/>
      <c r="E39" s="99"/>
      <c r="F39" s="2881">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1">
        <f>F21</f>
        <v>0.02</v>
      </c>
      <c r="D40" s="102" t="s">
        <v>1983</v>
      </c>
      <c r="E40" s="99"/>
      <c r="F40" s="2881">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14350</v>
      </c>
      <c r="D41" s="101">
        <f ca="1">C44</f>
        <v>8.9999999999999998E-4</v>
      </c>
      <c r="E41" s="102" t="s">
        <v>1983</v>
      </c>
      <c r="F41" s="2881">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14069</v>
      </c>
      <c r="D42" s="104"/>
      <c r="E42" s="104"/>
      <c r="F42" s="105"/>
      <c r="G42" s="3404" t="s">
        <v>1985</v>
      </c>
    </row>
    <row r="43" spans="1:123" ht="13.5" customHeight="1">
      <c r="A43" s="92" t="s">
        <v>1925</v>
      </c>
      <c r="B43" s="93" t="s">
        <v>1954</v>
      </c>
      <c r="C43" s="104">
        <f ca="1">ROUND(IF('数据-取费表'!B24&lt;=1,C39*F22*'数据-取费表'!B23/2,C39*(POWER((1+F22),'数据-取费表'!B23/2)-1)),0)</f>
        <v>281</v>
      </c>
      <c r="D43" s="104"/>
      <c r="E43" s="104"/>
      <c r="F43" s="105"/>
      <c r="G43" s="3405"/>
    </row>
    <row r="44" spans="1:123" ht="13.5" customHeight="1">
      <c r="A44" s="92" t="s">
        <v>1927</v>
      </c>
      <c r="B44" s="93" t="s">
        <v>1956</v>
      </c>
      <c r="C44" s="104">
        <f ca="1">ROUND(IF('数据-取费表'!B24&lt;=1,C40*F22*'数据-取费表'!B23/2,C40*(POWER((1+F22),'数据-取费表'!B23/2)-1)),4)</f>
        <v>8.9999999999999998E-4</v>
      </c>
      <c r="D44" s="104"/>
      <c r="E44" s="104"/>
      <c r="F44" s="105"/>
      <c r="G44" s="3406"/>
    </row>
    <row r="45" spans="1:123" s="91" customFormat="1" ht="13.5" customHeight="1">
      <c r="A45" s="120" t="s">
        <v>1949</v>
      </c>
      <c r="B45" s="110" t="s">
        <v>1961</v>
      </c>
      <c r="C45" s="111">
        <f>C46</f>
        <v>49485</v>
      </c>
      <c r="D45" s="101">
        <f>C47</f>
        <v>3.0000000000000001E-3</v>
      </c>
      <c r="E45" s="102" t="s">
        <v>1983</v>
      </c>
      <c r="F45" s="2882">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49485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301">
        <f>ROUND(F30/(1+'数据-取费表'!F30),4)</f>
        <v>5.33E-2</v>
      </c>
      <c r="D48" s="102" t="s">
        <v>1983</v>
      </c>
      <c r="E48" s="99"/>
      <c r="F48" s="2881">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426673</v>
      </c>
      <c r="D49" s="99"/>
      <c r="E49" s="99"/>
      <c r="F49" s="126"/>
      <c r="G49" s="100" t="s">
        <v>1993</v>
      </c>
    </row>
    <row r="50" spans="1:123" s="122" customFormat="1" ht="24">
      <c r="A50" s="993" t="s">
        <v>1994</v>
      </c>
      <c r="B50" s="89" t="s">
        <v>1995</v>
      </c>
      <c r="C50" s="99"/>
      <c r="D50" s="99"/>
      <c r="E50" s="99"/>
      <c r="F50" s="126">
        <f>IF('数据-取费表'!B26=0,'数据-取费表'!E20,1)</f>
        <v>0.77</v>
      </c>
      <c r="G50" s="113" t="s">
        <v>1996</v>
      </c>
    </row>
    <row r="51" spans="1:123" ht="16.5" customHeight="1">
      <c r="A51" s="993" t="s">
        <v>1997</v>
      </c>
      <c r="B51" s="89" t="s">
        <v>1998</v>
      </c>
      <c r="C51" s="99">
        <f ca="1">ROUND(C49*F50,0)</f>
        <v>328538</v>
      </c>
      <c r="D51" s="99"/>
      <c r="E51" s="99"/>
      <c r="F51" s="126"/>
      <c r="G51" s="100" t="s">
        <v>1999</v>
      </c>
    </row>
    <row r="52" spans="1:123" s="88" customFormat="1" ht="16.5" thickBot="1">
      <c r="A52" s="127" t="s">
        <v>2000</v>
      </c>
      <c r="B52" s="128"/>
      <c r="C52" s="129">
        <f ca="1">C31+C51</f>
        <v>1788584</v>
      </c>
      <c r="D52" s="128"/>
      <c r="E52" s="128"/>
      <c r="F52" s="128"/>
      <c r="G52" s="130"/>
      <c r="H52" s="2979"/>
      <c r="I52" s="2979"/>
      <c r="J52" s="2979"/>
      <c r="K52" s="2979"/>
      <c r="L52" s="2979"/>
      <c r="M52" s="2979"/>
      <c r="N52" s="2979"/>
      <c r="O52" s="2979"/>
      <c r="P52" s="2979"/>
      <c r="Q52" s="2979"/>
      <c r="R52" s="2979"/>
      <c r="S52" s="2979"/>
      <c r="T52" s="2979"/>
      <c r="U52" s="2979"/>
      <c r="V52" s="2979"/>
      <c r="W52" s="2979"/>
      <c r="X52" s="2979"/>
      <c r="Y52" s="2979"/>
      <c r="Z52" s="2979"/>
      <c r="AA52" s="2979"/>
      <c r="AB52" s="2979"/>
      <c r="AC52" s="2979"/>
      <c r="AD52" s="2979"/>
      <c r="AE52" s="2979"/>
      <c r="AF52" s="2979"/>
      <c r="AG52" s="2979"/>
      <c r="AH52" s="2979"/>
      <c r="AI52" s="2979"/>
      <c r="AJ52" s="2979"/>
      <c r="AK52" s="2979"/>
      <c r="AL52" s="2979"/>
      <c r="AM52" s="2979"/>
      <c r="AN52" s="2979"/>
      <c r="AO52" s="2979"/>
      <c r="AP52" s="2979"/>
      <c r="AQ52" s="2979"/>
      <c r="AR52" s="2979"/>
      <c r="AS52" s="2979"/>
      <c r="AT52" s="2979"/>
      <c r="AU52" s="2979"/>
      <c r="AV52" s="2979"/>
      <c r="AW52" s="2979"/>
      <c r="AX52" s="2979"/>
      <c r="AY52" s="2979"/>
      <c r="AZ52" s="2979"/>
      <c r="BA52" s="2979"/>
      <c r="BB52" s="2979"/>
      <c r="BC52" s="2979"/>
      <c r="BD52" s="2979"/>
      <c r="BE52" s="2979"/>
      <c r="BF52" s="2979"/>
      <c r="BG52" s="2979"/>
      <c r="BH52" s="2979"/>
      <c r="BI52" s="2979"/>
      <c r="BJ52" s="2979"/>
      <c r="BK52" s="2979"/>
      <c r="BL52" s="2979"/>
      <c r="BM52" s="2979"/>
      <c r="BN52" s="2979"/>
      <c r="BO52" s="2979"/>
      <c r="BP52" s="2979"/>
      <c r="BQ52" s="2979"/>
      <c r="BR52" s="2979"/>
      <c r="BS52" s="2979"/>
      <c r="BT52" s="2979"/>
      <c r="BU52" s="2979"/>
      <c r="BV52" s="2979"/>
      <c r="BW52" s="2979"/>
      <c r="BX52" s="2979"/>
      <c r="BY52" s="2979"/>
      <c r="BZ52" s="2979"/>
      <c r="CA52" s="2979"/>
      <c r="CB52" s="2979"/>
      <c r="CC52" s="2979"/>
      <c r="CD52" s="2979"/>
      <c r="CE52" s="2979"/>
      <c r="CF52" s="2979"/>
      <c r="CG52" s="2979"/>
      <c r="CH52" s="2979"/>
      <c r="CI52" s="2979"/>
      <c r="CJ52" s="2979"/>
      <c r="CK52" s="2979"/>
      <c r="CL52" s="2979"/>
      <c r="CM52" s="2979"/>
      <c r="CN52" s="2979"/>
      <c r="CO52" s="2979"/>
      <c r="CP52" s="2979"/>
      <c r="CQ52" s="2979"/>
      <c r="CR52" s="2979"/>
      <c r="CS52" s="2979"/>
      <c r="CT52" s="2979"/>
      <c r="CU52" s="2979"/>
      <c r="CV52" s="2979"/>
      <c r="CW52" s="2979"/>
      <c r="CX52" s="2979"/>
      <c r="CY52" s="2979"/>
      <c r="CZ52" s="2979"/>
      <c r="DA52" s="2979"/>
      <c r="DB52" s="2979"/>
      <c r="DC52" s="2979"/>
      <c r="DD52" s="2979"/>
      <c r="DE52" s="2979"/>
      <c r="DF52" s="2979"/>
      <c r="DG52" s="2979"/>
      <c r="DH52" s="2979"/>
      <c r="DI52" s="2979"/>
      <c r="DJ52" s="2979"/>
      <c r="DK52" s="2979"/>
      <c r="DL52" s="2979"/>
      <c r="DM52" s="2979"/>
      <c r="DN52" s="2979"/>
      <c r="DO52" s="2979"/>
      <c r="DP52" s="2979"/>
      <c r="DQ52" s="2979"/>
      <c r="DR52" s="2979"/>
      <c r="DS52" s="2979"/>
    </row>
    <row r="55" spans="1:123" ht="15">
      <c r="B55" s="132" t="s">
        <v>2001</v>
      </c>
      <c r="C55" s="133"/>
    </row>
    <row r="56" spans="1:123">
      <c r="B56" s="135" t="s">
        <v>2002</v>
      </c>
      <c r="C56" s="136">
        <f ca="1">ROUND(C51/C52,3)</f>
        <v>0.184</v>
      </c>
    </row>
    <row r="57" spans="1:123">
      <c r="B57" s="135" t="s">
        <v>2003</v>
      </c>
      <c r="C57" s="137">
        <f ca="1">1-C56</f>
        <v>0.81600000000000006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3"/>
      <c r="E1" s="923"/>
      <c r="F1" s="923"/>
      <c r="G1" s="923"/>
      <c r="H1" s="923"/>
      <c r="I1" s="923"/>
      <c r="J1" s="923"/>
      <c r="K1" s="923"/>
    </row>
    <row r="2" spans="1:33" s="139" customFormat="1" ht="18" customHeight="1">
      <c r="A2" s="81" t="s">
        <v>1288</v>
      </c>
      <c r="B2" s="84">
        <f ca="1">IF(C2="元",C32,ROUND(C32/10000,0))</f>
        <v>1938689</v>
      </c>
      <c r="C2" s="1400" t="str">
        <f>'数据-取费表'!B3</f>
        <v>元</v>
      </c>
      <c r="D2" s="923"/>
      <c r="E2" s="923"/>
      <c r="F2" s="923"/>
      <c r="G2" s="923"/>
      <c r="H2" s="923"/>
      <c r="I2" s="923"/>
      <c r="J2" s="923"/>
      <c r="K2" s="923"/>
    </row>
    <row r="3" spans="1:33" s="139" customFormat="1" ht="18" customHeight="1" thickBot="1">
      <c r="A3" s="83" t="s">
        <v>1289</v>
      </c>
      <c r="B3" s="84">
        <f ca="1">ROUND(C32/IF(C1="仅计算典型户型",'数据-取费表'!E5,'数据-取费表'!B5),0)</f>
        <v>23542</v>
      </c>
      <c r="C3" s="1400" t="s">
        <v>1290</v>
      </c>
      <c r="D3" s="923"/>
      <c r="E3" s="923"/>
      <c r="F3" s="923"/>
      <c r="G3" s="923"/>
      <c r="H3" s="923"/>
      <c r="I3" s="923"/>
      <c r="J3" s="923"/>
      <c r="K3" s="923"/>
    </row>
    <row r="4" spans="1:33" s="143" customFormat="1" ht="16.5" customHeight="1">
      <c r="A4" s="140" t="s">
        <v>1291</v>
      </c>
      <c r="B4" s="141"/>
      <c r="C4" s="1122">
        <f>SUM(C8:K8)</f>
        <v>2882250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9"/>
      <c r="E6" s="1119"/>
      <c r="F6" s="1119"/>
      <c r="G6" s="1119"/>
      <c r="H6" s="1119"/>
      <c r="I6" s="1119"/>
      <c r="J6" s="1119"/>
      <c r="K6" s="112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82.35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1" t="s">
        <v>1298</v>
      </c>
      <c r="B8" s="147" t="s">
        <v>1299</v>
      </c>
      <c r="C8" s="609">
        <f>C6*C7</f>
        <v>2882250</v>
      </c>
      <c r="D8" s="1121"/>
      <c r="E8" s="1121"/>
      <c r="F8" s="1119"/>
      <c r="G8" s="1119"/>
      <c r="H8" s="1119"/>
      <c r="I8" s="1119"/>
      <c r="J8" s="1119"/>
      <c r="K8" s="112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288225</v>
      </c>
      <c r="D11" s="164"/>
      <c r="E11" s="34"/>
      <c r="F11" s="165">
        <f>1-'数据-取费表'!E20</f>
        <v>0.22999999999999998</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8647</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5765</v>
      </c>
      <c r="D13" s="164"/>
      <c r="E13" s="34"/>
      <c r="F13" s="167">
        <f>'数据-取费表'!E22</f>
        <v>0.02</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3788</v>
      </c>
      <c r="D14" s="164">
        <f>IF(C1="仅计算典型户型",'数据-取费表'!E5,'数据-取费表'!B5)</f>
        <v>82.35</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4323</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310748</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82.35</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10292.969999999999</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10294</v>
      </c>
      <c r="D19" s="164">
        <f>IF('数据-取费表'!B10="住宅",IF(C1="仅计算典型户型",'数据-取费表'!E5,'数据-取费表'!B5),0)</f>
        <v>82.35</v>
      </c>
      <c r="E19" s="13">
        <f>'数据-取费表'!E11</f>
        <v>125</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0</v>
      </c>
      <c r="D20" s="164">
        <f>IF('数据-取费表'!B10&lt;&gt;"住宅",IF(C1="仅计算典型户型",'数据-取费表'!E5,'数据-取费表'!B5),0)</f>
        <v>0</v>
      </c>
      <c r="E20" s="13">
        <f>'数据-取费表'!E12</f>
        <v>145</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321040.96999999997</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6421</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13258</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4.8099999999999997E-2</v>
      </c>
      <c r="D24" s="184" t="s">
        <v>12</v>
      </c>
      <c r="E24" s="184"/>
      <c r="F24" s="181">
        <f>'数据-取费表'!E36+'数据-取费表'!E37</f>
        <v>5.0500000000000003E-2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51108</v>
      </c>
      <c r="D28" s="183">
        <f>C29</f>
        <v>0.15720000000000001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0.15720000000000001</v>
      </c>
      <c r="D29" s="193"/>
      <c r="E29" s="194"/>
      <c r="F29" s="203"/>
      <c r="G29" s="147" t="s">
        <v>1344</v>
      </c>
      <c r="H29" s="170"/>
      <c r="I29" s="170"/>
      <c r="J29" s="170"/>
      <c r="K29" s="171"/>
    </row>
    <row r="30" spans="1:33" s="204" customFormat="1" ht="13.5" customHeight="1">
      <c r="A30" s="995" t="s">
        <v>1345</v>
      </c>
      <c r="B30" s="202" t="s">
        <v>1346</v>
      </c>
      <c r="C30" s="205">
        <f>ROUND((C21+C22+C23)*F28,0)</f>
        <v>51108</v>
      </c>
      <c r="D30" s="193"/>
      <c r="E30" s="206"/>
      <c r="F30" s="203"/>
      <c r="G30" s="147"/>
      <c r="H30" s="170"/>
      <c r="I30" s="170"/>
      <c r="J30" s="170"/>
      <c r="K30" s="171"/>
    </row>
    <row r="31" spans="1:33" s="182" customFormat="1" ht="13.5" customHeight="1" thickBot="1">
      <c r="A31" s="1402" t="s">
        <v>1347</v>
      </c>
      <c r="B31" s="177" t="s">
        <v>1348</v>
      </c>
      <c r="C31" s="207">
        <f>ROUND(C4*F31/(1+'数据-取费表'!F30),0)</f>
        <v>153720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1938689</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70" zoomScaleSheetLayoutView="90" workbookViewId="0">
      <selection activeCell="C26" sqref="C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2240</v>
      </c>
      <c r="C1" s="1636" t="s">
        <v>2743</v>
      </c>
      <c r="D1" s="1637"/>
      <c r="E1" s="1638" t="s">
        <v>2741</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1914</v>
      </c>
      <c r="B2" s="1647">
        <f>IF(D2="——",IF(C2="元",ROUND(C49*D3,0),ROUND(C49*D3/10000,0)),IF(C2="元",ROUND(C49*D3,0),ROUND(C49*D3/10000,0))-E2)</f>
        <v>656412</v>
      </c>
      <c r="C2" s="1648" t="str">
        <f>'数据-取费表'!B3</f>
        <v>元</v>
      </c>
      <c r="D2" s="1649" t="s">
        <v>1241</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1915</v>
      </c>
      <c r="B3" s="1657">
        <f>ROUND(IF(D2="——",C49,IF(C2="万元",B2*10000/D3,B2/D3)),0)</f>
        <v>7971</v>
      </c>
      <c r="C3" s="1657" t="s">
        <v>2242</v>
      </c>
      <c r="D3" s="1657">
        <f>IF(C1="仅计算典型户型",'数据-取费表'!E5,'数据-取费表'!B5)</f>
        <v>82.35</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2243</v>
      </c>
      <c r="B4" s="1661"/>
      <c r="C4" s="3410" t="s">
        <v>2244</v>
      </c>
      <c r="D4" s="3411"/>
      <c r="E4" s="3412" t="s">
        <v>2245</v>
      </c>
      <c r="F4" s="3413"/>
      <c r="G4" s="3410" t="s">
        <v>2246</v>
      </c>
      <c r="H4" s="3411"/>
      <c r="I4" s="3410" t="s">
        <v>2247</v>
      </c>
      <c r="J4" s="3411"/>
      <c r="K4" s="1662" t="s">
        <v>2248</v>
      </c>
      <c r="L4" s="2990"/>
      <c r="M4" s="2991"/>
      <c r="N4" s="2991"/>
      <c r="O4" s="2991"/>
      <c r="P4" s="3414" t="s">
        <v>2249</v>
      </c>
      <c r="Q4" s="3415"/>
      <c r="R4" s="3420" t="s">
        <v>2245</v>
      </c>
      <c r="S4" s="3421"/>
      <c r="T4" s="3420" t="s">
        <v>2246</v>
      </c>
      <c r="U4" s="3421"/>
      <c r="V4" s="3426" t="s">
        <v>2247</v>
      </c>
      <c r="W4" s="3426"/>
      <c r="X4" s="1663"/>
      <c r="Y4" s="3420" t="s">
        <v>2249</v>
      </c>
      <c r="Z4" s="3421"/>
      <c r="AA4" s="3407" t="s">
        <v>2245</v>
      </c>
      <c r="AB4" s="3407" t="s">
        <v>2246</v>
      </c>
      <c r="AC4" s="3407" t="s">
        <v>2247</v>
      </c>
    </row>
    <row r="5" spans="1:29" ht="15">
      <c r="A5" s="1665"/>
      <c r="B5" s="1666"/>
      <c r="C5" s="3429" t="s">
        <v>2914</v>
      </c>
      <c r="D5" s="3430"/>
      <c r="E5" s="3427" t="str">
        <f>案例!B76</f>
        <v>金碧阁</v>
      </c>
      <c r="F5" s="3428"/>
      <c r="G5" s="3433" t="str">
        <f>案例!B77</f>
        <v>解民小区</v>
      </c>
      <c r="H5" s="3430"/>
      <c r="I5" s="3433" t="str">
        <f>案例!B78</f>
        <v>平阳小区</v>
      </c>
      <c r="J5" s="3430"/>
      <c r="K5" s="1667"/>
      <c r="L5" s="2990"/>
      <c r="M5" s="2991"/>
      <c r="N5" s="2991"/>
      <c r="O5" s="2991"/>
      <c r="P5" s="3416"/>
      <c r="Q5" s="3417"/>
      <c r="R5" s="3422"/>
      <c r="S5" s="3423"/>
      <c r="T5" s="3422"/>
      <c r="U5" s="3423"/>
      <c r="V5" s="3426"/>
      <c r="W5" s="3426"/>
      <c r="X5" s="1663"/>
      <c r="Y5" s="3422"/>
      <c r="Z5" s="3423"/>
      <c r="AA5" s="3408"/>
      <c r="AB5" s="3408"/>
      <c r="AC5" s="3408"/>
    </row>
    <row r="6" spans="1:29" ht="15.75" thickBot="1">
      <c r="A6" s="1668"/>
      <c r="B6" s="1669"/>
      <c r="C6" s="3431" t="s">
        <v>2254</v>
      </c>
      <c r="D6" s="3432"/>
      <c r="E6" s="3434" t="s">
        <v>2254</v>
      </c>
      <c r="F6" s="3435"/>
      <c r="G6" s="3431" t="s">
        <v>2254</v>
      </c>
      <c r="H6" s="3432"/>
      <c r="I6" s="3431" t="s">
        <v>2254</v>
      </c>
      <c r="J6" s="3432"/>
      <c r="K6" s="1667" t="s">
        <v>2255</v>
      </c>
      <c r="L6" s="2990"/>
      <c r="M6" s="2991"/>
      <c r="N6" s="2991"/>
      <c r="O6" s="2991"/>
      <c r="P6" s="3418"/>
      <c r="Q6" s="3419"/>
      <c r="R6" s="3422"/>
      <c r="S6" s="3423"/>
      <c r="T6" s="3424"/>
      <c r="U6" s="3425"/>
      <c r="V6" s="3426"/>
      <c r="W6" s="3426"/>
      <c r="X6" s="1663"/>
      <c r="Y6" s="3424"/>
      <c r="Z6" s="3425"/>
      <c r="AA6" s="3409"/>
      <c r="AB6" s="3409"/>
      <c r="AC6" s="3409"/>
    </row>
    <row r="7" spans="1:29" s="1682" customFormat="1" ht="15.75" thickBot="1">
      <c r="A7" s="1670" t="s">
        <v>2256</v>
      </c>
      <c r="B7" s="1671"/>
      <c r="C7" s="1672">
        <f>'数据-取费表'!B2</f>
        <v>44296</v>
      </c>
      <c r="D7" s="1673">
        <v>100</v>
      </c>
      <c r="E7" s="1674">
        <f>案例!C76</f>
        <v>44081</v>
      </c>
      <c r="F7" s="1675">
        <f>SUMIF(58:58,YEAR(E7)&amp;"-"&amp;MONTH(E7),59:59)</f>
        <v>99</v>
      </c>
      <c r="G7" s="1674">
        <f>案例!C77</f>
        <v>44265</v>
      </c>
      <c r="H7" s="1673">
        <f>SUMIF(58:58,YEAR(G7)&amp;"-"&amp;MONTH(G7),59:59)</f>
        <v>100</v>
      </c>
      <c r="I7" s="1674">
        <f>案例!C78</f>
        <v>44111</v>
      </c>
      <c r="J7" s="1673">
        <f>SUMIF(58:58,YEAR(I7)&amp;"-"&amp;MONTH(I7),59:59)</f>
        <v>99</v>
      </c>
      <c r="K7" s="1676"/>
      <c r="L7" s="2990"/>
      <c r="M7" s="2963"/>
      <c r="N7" s="2963"/>
      <c r="O7" s="2963"/>
      <c r="P7" s="3443" t="s">
        <v>2257</v>
      </c>
      <c r="Q7" s="3445"/>
      <c r="R7" s="1678" t="s">
        <v>34</v>
      </c>
      <c r="S7" s="1679">
        <f t="shared" ref="S7:S15" si="0">F7</f>
        <v>99</v>
      </c>
      <c r="T7" s="1678" t="s">
        <v>34</v>
      </c>
      <c r="U7" s="1679">
        <f t="shared" ref="U7:U15" si="1">H7</f>
        <v>100</v>
      </c>
      <c r="V7" s="1678" t="s">
        <v>34</v>
      </c>
      <c r="W7" s="1679">
        <f t="shared" ref="W7:W15" si="2">J7</f>
        <v>99</v>
      </c>
      <c r="X7" s="1680"/>
      <c r="Y7" s="3443" t="s">
        <v>2257</v>
      </c>
      <c r="Z7" s="3444"/>
      <c r="AA7" s="1681">
        <f>D7/F7</f>
        <v>1.0101010101010102</v>
      </c>
      <c r="AB7" s="1681">
        <f>D7/H7</f>
        <v>1</v>
      </c>
      <c r="AC7" s="1681">
        <f>D7/J7</f>
        <v>1.0101010101010102</v>
      </c>
    </row>
    <row r="8" spans="1:29" s="1682" customFormat="1" ht="15.75" thickBot="1">
      <c r="A8" s="1670" t="s">
        <v>2258</v>
      </c>
      <c r="B8" s="1671"/>
      <c r="C8" s="1683" t="s">
        <v>2259</v>
      </c>
      <c r="D8" s="1673">
        <v>100</v>
      </c>
      <c r="E8" s="1683" t="s">
        <v>2259</v>
      </c>
      <c r="F8" s="1675">
        <f>SUMIF(61:61,E8,62:62)-SUMIF(61:61,C8,62:62)+100</f>
        <v>100</v>
      </c>
      <c r="G8" s="1683" t="s">
        <v>2259</v>
      </c>
      <c r="H8" s="1673">
        <f>SUMIF(61:61,G8,62:62)-SUMIF(61:61,C8,62:62)+100</f>
        <v>100</v>
      </c>
      <c r="I8" s="1683" t="s">
        <v>2259</v>
      </c>
      <c r="J8" s="1673">
        <f>SUMIF(61:61,I8,62:62)-SUMIF(61:61,C8,62:62)+100</f>
        <v>100</v>
      </c>
      <c r="K8" s="1676"/>
      <c r="L8" s="2990"/>
      <c r="M8" s="2963"/>
      <c r="N8" s="2963"/>
      <c r="O8" s="2963"/>
      <c r="P8" s="3443" t="s">
        <v>2260</v>
      </c>
      <c r="Q8" s="3444"/>
      <c r="R8" s="1678" t="s">
        <v>34</v>
      </c>
      <c r="S8" s="1679">
        <f t="shared" si="0"/>
        <v>100</v>
      </c>
      <c r="T8" s="1678" t="s">
        <v>34</v>
      </c>
      <c r="U8" s="1679">
        <f t="shared" si="1"/>
        <v>100</v>
      </c>
      <c r="V8" s="1678" t="s">
        <v>34</v>
      </c>
      <c r="W8" s="1679">
        <f t="shared" si="2"/>
        <v>100</v>
      </c>
      <c r="X8" s="1680"/>
      <c r="Y8" s="3443" t="s">
        <v>2260</v>
      </c>
      <c r="Z8" s="3444"/>
      <c r="AA8" s="1681">
        <f t="shared" ref="AA8:AA46" si="3">D8/F8</f>
        <v>1</v>
      </c>
      <c r="AB8" s="1681">
        <f t="shared" ref="AB8:AB46" si="4">D8/H8</f>
        <v>1</v>
      </c>
      <c r="AC8" s="1681">
        <f t="shared" ref="AC8:AC46" si="5">D8/J8</f>
        <v>1</v>
      </c>
    </row>
    <row r="9" spans="1:29" s="1682" customFormat="1">
      <c r="A9" s="1633" t="s">
        <v>2261</v>
      </c>
      <c r="B9" s="1684" t="s">
        <v>2262</v>
      </c>
      <c r="C9" s="3156" t="s">
        <v>2915</v>
      </c>
      <c r="D9" s="1686">
        <v>100</v>
      </c>
      <c r="E9" s="1687" t="s">
        <v>2882</v>
      </c>
      <c r="F9" s="1688">
        <f>SUMIF(63:63,E9,64:64)-SUMIF(63:63,C9,64:64)+100</f>
        <v>100</v>
      </c>
      <c r="G9" s="1687" t="s">
        <v>2882</v>
      </c>
      <c r="H9" s="1686">
        <f>SUMIF(63:63,G9,64:64)-SUMIF(63:63,C9,64:64)+100</f>
        <v>100</v>
      </c>
      <c r="I9" s="1687" t="s">
        <v>2882</v>
      </c>
      <c r="J9" s="1686">
        <f>SUMIF(63:63,I9,64:64)-SUMIF(63:63,C9,64:64)+100</f>
        <v>100</v>
      </c>
      <c r="K9" s="1676"/>
      <c r="L9" s="2990"/>
      <c r="M9" s="2963"/>
      <c r="N9" s="2963"/>
      <c r="O9" s="2963"/>
      <c r="P9" s="3446" t="s">
        <v>2263</v>
      </c>
      <c r="Q9" s="1632" t="str">
        <f t="shared" ref="Q9:Q15" si="6">B9</f>
        <v>用途</v>
      </c>
      <c r="R9" s="1678" t="s">
        <v>25</v>
      </c>
      <c r="S9" s="1679">
        <f t="shared" si="0"/>
        <v>100</v>
      </c>
      <c r="T9" s="1678" t="s">
        <v>25</v>
      </c>
      <c r="U9" s="1679">
        <f t="shared" si="1"/>
        <v>100</v>
      </c>
      <c r="V9" s="1678" t="s">
        <v>25</v>
      </c>
      <c r="W9" s="1679">
        <f t="shared" si="2"/>
        <v>100</v>
      </c>
      <c r="X9" s="1680"/>
      <c r="Y9" s="3337" t="s">
        <v>2264</v>
      </c>
      <c r="Z9" s="1690" t="str">
        <f t="shared" ref="Z9:Z15" si="7">Q9</f>
        <v>用途</v>
      </c>
      <c r="AA9" s="1681">
        <f t="shared" si="3"/>
        <v>1</v>
      </c>
      <c r="AB9" s="1681">
        <f t="shared" si="4"/>
        <v>1</v>
      </c>
      <c r="AC9" s="1681">
        <f t="shared" si="5"/>
        <v>1</v>
      </c>
    </row>
    <row r="10" spans="1:29" s="1698" customFormat="1" ht="27">
      <c r="A10" s="1691"/>
      <c r="B10" s="1692" t="s">
        <v>2265</v>
      </c>
      <c r="C10" s="1693" t="s">
        <v>2916</v>
      </c>
      <c r="D10" s="1694">
        <v>100</v>
      </c>
      <c r="E10" s="1693" t="s">
        <v>2916</v>
      </c>
      <c r="F10" s="1696">
        <f>SUMIF(65:65,E10,66:66)-SUMIF(65:65,C10,66:66)+100</f>
        <v>100</v>
      </c>
      <c r="G10" s="1693" t="s">
        <v>2958</v>
      </c>
      <c r="H10" s="1694">
        <f>SUMIF(65:65,G10,66:66)-SUMIF(65:65,C10,66:66)+100</f>
        <v>96</v>
      </c>
      <c r="I10" s="1693" t="s">
        <v>2958</v>
      </c>
      <c r="J10" s="1694">
        <f>SUMIF(65:65,I10,66:66)-SUMIF(65:65,C10,66:66)+100</f>
        <v>96</v>
      </c>
      <c r="K10" s="1697">
        <v>2</v>
      </c>
      <c r="L10" s="2992"/>
      <c r="M10" s="2993"/>
      <c r="N10" s="2993"/>
      <c r="O10" s="2993"/>
      <c r="P10" s="3446"/>
      <c r="Q10" s="1632" t="str">
        <f t="shared" si="6"/>
        <v>土地使用年限（年）</v>
      </c>
      <c r="R10" s="1678" t="s">
        <v>25</v>
      </c>
      <c r="S10" s="1679">
        <f t="shared" si="0"/>
        <v>100</v>
      </c>
      <c r="T10" s="1678" t="s">
        <v>25</v>
      </c>
      <c r="U10" s="1679">
        <f t="shared" si="1"/>
        <v>96</v>
      </c>
      <c r="V10" s="1678" t="s">
        <v>25</v>
      </c>
      <c r="W10" s="1679">
        <f t="shared" si="2"/>
        <v>96</v>
      </c>
      <c r="X10" s="1680"/>
      <c r="Y10" s="3337"/>
      <c r="Z10" s="1690" t="str">
        <f t="shared" si="7"/>
        <v>土地使用年限（年）</v>
      </c>
      <c r="AA10" s="1681">
        <f t="shared" si="3"/>
        <v>1</v>
      </c>
      <c r="AB10" s="1681">
        <f t="shared" si="4"/>
        <v>1.0416666666666667</v>
      </c>
      <c r="AC10" s="1681">
        <f t="shared" si="5"/>
        <v>1.0416666666666667</v>
      </c>
    </row>
    <row r="11" spans="1:29" ht="15.75" thickBot="1">
      <c r="A11" s="1699"/>
      <c r="B11" s="1692" t="s">
        <v>2266</v>
      </c>
      <c r="C11" s="1700">
        <v>2</v>
      </c>
      <c r="D11" s="1694">
        <v>100</v>
      </c>
      <c r="E11" s="1700">
        <v>2</v>
      </c>
      <c r="F11" s="1696">
        <f>LOOKUP(E11,68:68,69:69)-LOOKUP(C11,68:68,69:69)+100</f>
        <v>100</v>
      </c>
      <c r="G11" s="1700">
        <v>2</v>
      </c>
      <c r="H11" s="1694">
        <f>LOOKUP(G11,68:68,69:69)-LOOKUP(C11,68:68,69:69)+100</f>
        <v>100</v>
      </c>
      <c r="I11" s="1700">
        <v>2</v>
      </c>
      <c r="J11" s="1694">
        <f>LOOKUP(I11,68:68,69:69)-LOOKUP(C11,68:68,69:69)+100</f>
        <v>100</v>
      </c>
      <c r="K11" s="1697">
        <v>2</v>
      </c>
      <c r="L11" s="2994"/>
      <c r="M11" s="2991"/>
      <c r="N11" s="2991"/>
      <c r="O11" s="2991"/>
      <c r="P11" s="3446"/>
      <c r="Q11" s="1632" t="str">
        <f t="shared" si="6"/>
        <v>容积率</v>
      </c>
      <c r="R11" s="1678" t="s">
        <v>28</v>
      </c>
      <c r="S11" s="1679">
        <f t="shared" si="0"/>
        <v>100</v>
      </c>
      <c r="T11" s="1678" t="s">
        <v>28</v>
      </c>
      <c r="U11" s="1679">
        <f t="shared" si="1"/>
        <v>100</v>
      </c>
      <c r="V11" s="1678" t="s">
        <v>28</v>
      </c>
      <c r="W11" s="1679">
        <f t="shared" si="2"/>
        <v>100</v>
      </c>
      <c r="X11" s="1680"/>
      <c r="Y11" s="3337"/>
      <c r="Z11" s="1690" t="str">
        <f t="shared" si="7"/>
        <v>容积率</v>
      </c>
      <c r="AA11" s="1681">
        <f t="shared" si="3"/>
        <v>1</v>
      </c>
      <c r="AB11" s="1681">
        <f t="shared" si="4"/>
        <v>1</v>
      </c>
      <c r="AC11" s="1681">
        <f t="shared" si="5"/>
        <v>1</v>
      </c>
    </row>
    <row r="12" spans="1:29" s="1682" customFormat="1" ht="15" hidden="1">
      <c r="A12" s="1702"/>
      <c r="B12" s="1703">
        <v>111</v>
      </c>
      <c r="C12" s="1704"/>
      <c r="D12" s="1705">
        <v>100</v>
      </c>
      <c r="E12" s="1704"/>
      <c r="F12" s="1696">
        <f>SUMIF(70:70,E12,71:71)-SUMIF(70:70,C12,71:71)+100</f>
        <v>100</v>
      </c>
      <c r="G12" s="1704"/>
      <c r="H12" s="1694">
        <f>SUMIF(70:70,G12,71:71)-SUMIF(70:70,C12,71:71)+100</f>
        <v>100</v>
      </c>
      <c r="I12" s="1704"/>
      <c r="J12" s="1694">
        <f>SUMIF(70:70,I12,71:71)-SUMIF(70:70,C12,71:71)+100</f>
        <v>100</v>
      </c>
      <c r="K12" s="1706"/>
      <c r="L12" s="2990"/>
      <c r="M12" s="2963"/>
      <c r="N12" s="2963"/>
      <c r="O12" s="2963"/>
      <c r="P12" s="3446"/>
      <c r="Q12" s="1632">
        <f t="shared" si="6"/>
        <v>111</v>
      </c>
      <c r="R12" s="1678" t="s">
        <v>28</v>
      </c>
      <c r="S12" s="1679">
        <f t="shared" si="0"/>
        <v>100</v>
      </c>
      <c r="T12" s="1678" t="s">
        <v>28</v>
      </c>
      <c r="U12" s="1679">
        <f t="shared" si="1"/>
        <v>100</v>
      </c>
      <c r="V12" s="1678" t="s">
        <v>28</v>
      </c>
      <c r="W12" s="1679">
        <f t="shared" si="2"/>
        <v>100</v>
      </c>
      <c r="X12" s="1680"/>
      <c r="Y12" s="3337"/>
      <c r="Z12" s="1690">
        <f t="shared" si="7"/>
        <v>111</v>
      </c>
      <c r="AA12" s="1681">
        <f>D12/F12</f>
        <v>1</v>
      </c>
      <c r="AB12" s="1681">
        <f>D12/H12</f>
        <v>1</v>
      </c>
      <c r="AC12" s="1681">
        <f>D12/J12</f>
        <v>1</v>
      </c>
    </row>
    <row r="13" spans="1:29" ht="15" hidden="1">
      <c r="A13" s="1699"/>
      <c r="B13" s="1703">
        <v>111</v>
      </c>
      <c r="C13" s="1707"/>
      <c r="D13" s="1708">
        <v>100</v>
      </c>
      <c r="E13" s="1707"/>
      <c r="F13" s="1696">
        <f>SUMIF(72:72,E13,73:73)-SUMIF(72:72,C13,73:73)+100</f>
        <v>100</v>
      </c>
      <c r="G13" s="1707"/>
      <c r="H13" s="1708">
        <f>SUMIF(72:72,G13,73:73)-SUMIF(72:72,C13,73:73)+100</f>
        <v>100</v>
      </c>
      <c r="I13" s="1707"/>
      <c r="J13" s="1708">
        <f>SUMIF(72:72,I13,73:73)-SUMIF(72:72,C13,73:73)+100</f>
        <v>100</v>
      </c>
      <c r="K13" s="1706"/>
      <c r="L13" s="2995"/>
      <c r="M13" s="2991"/>
      <c r="N13" s="2991"/>
      <c r="O13" s="2991"/>
      <c r="P13" s="3446"/>
      <c r="Q13" s="1632">
        <f t="shared" si="6"/>
        <v>111</v>
      </c>
      <c r="R13" s="1678" t="s">
        <v>28</v>
      </c>
      <c r="S13" s="1679">
        <f t="shared" si="0"/>
        <v>100</v>
      </c>
      <c r="T13" s="1678" t="s">
        <v>28</v>
      </c>
      <c r="U13" s="1679">
        <f t="shared" si="1"/>
        <v>100</v>
      </c>
      <c r="V13" s="1678" t="s">
        <v>28</v>
      </c>
      <c r="W13" s="1679">
        <f t="shared" si="2"/>
        <v>100</v>
      </c>
      <c r="X13" s="1680"/>
      <c r="Y13" s="3337"/>
      <c r="Z13" s="1690">
        <f t="shared" si="7"/>
        <v>111</v>
      </c>
      <c r="AA13" s="1681">
        <f t="shared" si="3"/>
        <v>1</v>
      </c>
      <c r="AB13" s="1681">
        <f t="shared" si="4"/>
        <v>1</v>
      </c>
      <c r="AC13" s="1681">
        <f t="shared" si="5"/>
        <v>1</v>
      </c>
    </row>
    <row r="14" spans="1:29" ht="15.75" hidden="1" thickBot="1">
      <c r="A14" s="1709"/>
      <c r="B14" s="1710">
        <v>111</v>
      </c>
      <c r="C14" s="1711"/>
      <c r="D14" s="1712">
        <v>100</v>
      </c>
      <c r="E14" s="1711"/>
      <c r="F14" s="1713">
        <f>SUMIF(74:74,E14,75:75)-SUMIF(74:74,C14,75:75)+100</f>
        <v>100</v>
      </c>
      <c r="G14" s="1711"/>
      <c r="H14" s="1712">
        <f>SUMIF(74:74,G14,75:75)-SUMIF(74:74,C14,75:75)+100</f>
        <v>100</v>
      </c>
      <c r="I14" s="1711"/>
      <c r="J14" s="1712">
        <f>SUMIF(74:74,I14,75:75)-SUMIF(74:74,C14,75:75)+100</f>
        <v>100</v>
      </c>
      <c r="K14" s="1706"/>
      <c r="L14" s="2995"/>
      <c r="M14" s="2991"/>
      <c r="N14" s="2991"/>
      <c r="O14" s="2991"/>
      <c r="P14" s="3446"/>
      <c r="Q14" s="1632">
        <f t="shared" si="6"/>
        <v>111</v>
      </c>
      <c r="R14" s="1678" t="s">
        <v>28</v>
      </c>
      <c r="S14" s="1679">
        <f t="shared" si="0"/>
        <v>100</v>
      </c>
      <c r="T14" s="1678" t="s">
        <v>28</v>
      </c>
      <c r="U14" s="1679">
        <f t="shared" si="1"/>
        <v>100</v>
      </c>
      <c r="V14" s="1678" t="s">
        <v>28</v>
      </c>
      <c r="W14" s="1679">
        <f t="shared" si="2"/>
        <v>100</v>
      </c>
      <c r="X14" s="1680"/>
      <c r="Y14" s="3337"/>
      <c r="Z14" s="1690">
        <f t="shared" si="7"/>
        <v>111</v>
      </c>
      <c r="AA14" s="1681">
        <f t="shared" si="3"/>
        <v>1</v>
      </c>
      <c r="AB14" s="1681">
        <f t="shared" si="4"/>
        <v>1</v>
      </c>
      <c r="AC14" s="1681">
        <f t="shared" si="5"/>
        <v>1</v>
      </c>
    </row>
    <row r="15" spans="1:29" ht="15">
      <c r="A15" s="1714" t="s">
        <v>2267</v>
      </c>
      <c r="B15" s="1715" t="s">
        <v>1704</v>
      </c>
      <c r="C15" s="1716" t="str">
        <f>估价对象房地状况!C3</f>
        <v>较好</v>
      </c>
      <c r="D15" s="1717">
        <v>100</v>
      </c>
      <c r="E15" s="1718" t="s">
        <v>30</v>
      </c>
      <c r="F15" s="1719">
        <f>SUMIF(76:76,E16,77:77)-SUMIF(76:76,C16,77:77)+100</f>
        <v>100</v>
      </c>
      <c r="G15" s="1718" t="s">
        <v>30</v>
      </c>
      <c r="H15" s="1717">
        <f>SUMIF(76:76,G16,77:77)-SUMIF(76:76,C16,77:77)+100</f>
        <v>100</v>
      </c>
      <c r="I15" s="1718" t="s">
        <v>30</v>
      </c>
      <c r="J15" s="1717">
        <f>SUMIF(76:76,I16,77:77)-SUMIF(76:76,C16,77:77)+100</f>
        <v>100</v>
      </c>
      <c r="K15" s="1721">
        <v>2</v>
      </c>
      <c r="L15" s="2995"/>
      <c r="M15" s="2991"/>
      <c r="N15" s="2991"/>
      <c r="O15" s="2991"/>
      <c r="P15" s="3449" t="s">
        <v>2268</v>
      </c>
      <c r="Q15" s="1613" t="str">
        <f t="shared" si="6"/>
        <v>居住社区成熟度</v>
      </c>
      <c r="R15" s="1722" t="s">
        <v>28</v>
      </c>
      <c r="S15" s="1723">
        <f t="shared" si="0"/>
        <v>100</v>
      </c>
      <c r="T15" s="1722" t="s">
        <v>28</v>
      </c>
      <c r="U15" s="1723">
        <f t="shared" si="1"/>
        <v>100</v>
      </c>
      <c r="V15" s="1722" t="s">
        <v>28</v>
      </c>
      <c r="W15" s="1723">
        <f t="shared" si="2"/>
        <v>100</v>
      </c>
      <c r="X15" s="1663"/>
      <c r="Y15" s="3436" t="s">
        <v>2268</v>
      </c>
      <c r="Z15" s="1724" t="str">
        <f t="shared" si="7"/>
        <v>居住社区成熟度</v>
      </c>
      <c r="AA15" s="1725">
        <f t="shared" si="3"/>
        <v>1</v>
      </c>
      <c r="AB15" s="1725">
        <f t="shared" si="4"/>
        <v>1</v>
      </c>
      <c r="AC15" s="1725">
        <f t="shared" si="5"/>
        <v>1</v>
      </c>
    </row>
    <row r="16" spans="1:29" ht="15">
      <c r="A16" s="1699"/>
      <c r="B16" s="1726"/>
      <c r="C16" s="1727" t="s">
        <v>30</v>
      </c>
      <c r="D16" s="1728"/>
      <c r="E16" s="1729" t="s">
        <v>30</v>
      </c>
      <c r="F16" s="1730"/>
      <c r="G16" s="1729" t="s">
        <v>30</v>
      </c>
      <c r="H16" s="1732"/>
      <c r="I16" s="1729" t="s">
        <v>30</v>
      </c>
      <c r="J16" s="1728"/>
      <c r="K16" s="1733"/>
      <c r="L16" s="2995"/>
      <c r="M16" s="2991"/>
      <c r="N16" s="2991"/>
      <c r="O16" s="2991"/>
      <c r="P16" s="3450"/>
      <c r="Q16" s="1613"/>
      <c r="R16" s="1722"/>
      <c r="S16" s="1723"/>
      <c r="T16" s="1722"/>
      <c r="U16" s="1723"/>
      <c r="V16" s="1722"/>
      <c r="W16" s="1723"/>
      <c r="X16" s="1663"/>
      <c r="Y16" s="3437"/>
      <c r="Z16" s="1724"/>
      <c r="AA16" s="1725">
        <v>1</v>
      </c>
      <c r="AB16" s="1725">
        <v>1</v>
      </c>
      <c r="AC16" s="1725">
        <v>1</v>
      </c>
    </row>
    <row r="17" spans="1:29" ht="15">
      <c r="A17" s="1699"/>
      <c r="B17" s="1734" t="s">
        <v>1706</v>
      </c>
      <c r="C17" s="1735" t="str">
        <f>估价对象房地状况!C6</f>
        <v>较好</v>
      </c>
      <c r="D17" s="1732">
        <v>100</v>
      </c>
      <c r="E17" s="1736" t="s">
        <v>30</v>
      </c>
      <c r="F17" s="1737">
        <f>SUMIF(78:78,E18,79:79)-SUMIF(78:78,C18,79:79)+100</f>
        <v>100</v>
      </c>
      <c r="G17" s="1736" t="s">
        <v>30</v>
      </c>
      <c r="H17" s="1739">
        <f>SUMIF(78:78,G18,79:79)-SUMIF(78:78,C18,79:79)+100</f>
        <v>100</v>
      </c>
      <c r="I17" s="1736" t="s">
        <v>30</v>
      </c>
      <c r="J17" s="1739">
        <f>SUMIF(78:78,I18,79:79)-SUMIF(78:78,C18,79:79)+100</f>
        <v>100</v>
      </c>
      <c r="K17" s="1721">
        <v>2</v>
      </c>
      <c r="L17" s="2995"/>
      <c r="M17" s="2991"/>
      <c r="N17" s="2991"/>
      <c r="O17" s="2991"/>
      <c r="P17" s="3450"/>
      <c r="Q17" s="1613" t="str">
        <f>B17</f>
        <v>交通便捷度</v>
      </c>
      <c r="R17" s="1722" t="s">
        <v>28</v>
      </c>
      <c r="S17" s="1723">
        <f>F17</f>
        <v>100</v>
      </c>
      <c r="T17" s="1722" t="s">
        <v>28</v>
      </c>
      <c r="U17" s="1723">
        <f>H17</f>
        <v>100</v>
      </c>
      <c r="V17" s="1722" t="s">
        <v>28</v>
      </c>
      <c r="W17" s="1723">
        <f>J17</f>
        <v>100</v>
      </c>
      <c r="X17" s="1663"/>
      <c r="Y17" s="3437"/>
      <c r="Z17" s="1724" t="str">
        <f>Q17</f>
        <v>交通便捷度</v>
      </c>
      <c r="AA17" s="1725">
        <f t="shared" si="3"/>
        <v>1</v>
      </c>
      <c r="AB17" s="1725">
        <f t="shared" si="4"/>
        <v>1</v>
      </c>
      <c r="AC17" s="1725">
        <f t="shared" si="5"/>
        <v>1</v>
      </c>
    </row>
    <row r="18" spans="1:29" ht="15">
      <c r="A18" s="1699"/>
      <c r="B18" s="1740"/>
      <c r="C18" s="1741" t="s">
        <v>30</v>
      </c>
      <c r="D18" s="1732"/>
      <c r="E18" s="1742" t="s">
        <v>30</v>
      </c>
      <c r="F18" s="1737"/>
      <c r="G18" s="1742" t="s">
        <v>30</v>
      </c>
      <c r="H18" s="1728"/>
      <c r="I18" s="1742" t="s">
        <v>30</v>
      </c>
      <c r="J18" s="1728"/>
      <c r="K18" s="1733"/>
      <c r="L18" s="2995"/>
      <c r="M18" s="2991"/>
      <c r="N18" s="2991"/>
      <c r="O18" s="2991"/>
      <c r="P18" s="3450"/>
      <c r="Q18" s="1613"/>
      <c r="R18" s="1722"/>
      <c r="S18" s="1723"/>
      <c r="T18" s="1722"/>
      <c r="U18" s="1723"/>
      <c r="V18" s="1722"/>
      <c r="W18" s="1723"/>
      <c r="X18" s="1663"/>
      <c r="Y18" s="3437"/>
      <c r="Z18" s="1724"/>
      <c r="AA18" s="1725">
        <v>1</v>
      </c>
      <c r="AB18" s="1725">
        <v>1</v>
      </c>
      <c r="AC18" s="1725">
        <v>1</v>
      </c>
    </row>
    <row r="19" spans="1:29" ht="15">
      <c r="A19" s="1699"/>
      <c r="B19" s="1734" t="s">
        <v>1705</v>
      </c>
      <c r="C19" s="1735" t="str">
        <f>估价对象房地状况!C7</f>
        <v>较好</v>
      </c>
      <c r="D19" s="1739">
        <v>100</v>
      </c>
      <c r="E19" s="1744" t="s">
        <v>30</v>
      </c>
      <c r="F19" s="1745">
        <f>SUMIF(80:80,E20,81:81)-SUMIF(80:80,C20,81:81)+100</f>
        <v>100</v>
      </c>
      <c r="G19" s="1744" t="s">
        <v>30</v>
      </c>
      <c r="H19" s="1732">
        <f>SUMIF(80:80,G20,81:81)-SUMIF(80:80,C20,81:81)+100</f>
        <v>100</v>
      </c>
      <c r="I19" s="1744" t="s">
        <v>30</v>
      </c>
      <c r="J19" s="1732">
        <f>SUMIF(80:80,I20,81:81)-SUMIF(80:80,C20,81:81)+100</f>
        <v>100</v>
      </c>
      <c r="K19" s="1721">
        <v>2</v>
      </c>
      <c r="L19" s="2995"/>
      <c r="M19" s="2991"/>
      <c r="N19" s="2991"/>
      <c r="O19" s="2991"/>
      <c r="P19" s="3450"/>
      <c r="Q19" s="1613" t="str">
        <f>B19</f>
        <v>公共配套设施</v>
      </c>
      <c r="R19" s="1722" t="s">
        <v>28</v>
      </c>
      <c r="S19" s="1723">
        <f>F19</f>
        <v>100</v>
      </c>
      <c r="T19" s="1722" t="s">
        <v>28</v>
      </c>
      <c r="U19" s="1723">
        <f>H19</f>
        <v>100</v>
      </c>
      <c r="V19" s="1722" t="s">
        <v>28</v>
      </c>
      <c r="W19" s="1723">
        <f>J19</f>
        <v>100</v>
      </c>
      <c r="X19" s="1663"/>
      <c r="Y19" s="3437"/>
      <c r="Z19" s="1724" t="str">
        <f>Q19</f>
        <v>公共配套设施</v>
      </c>
      <c r="AA19" s="1725">
        <f t="shared" si="3"/>
        <v>1</v>
      </c>
      <c r="AB19" s="1725">
        <f t="shared" si="4"/>
        <v>1</v>
      </c>
      <c r="AC19" s="1725">
        <f t="shared" si="5"/>
        <v>1</v>
      </c>
    </row>
    <row r="20" spans="1:29" ht="15">
      <c r="A20" s="1699"/>
      <c r="B20" s="1740"/>
      <c r="C20" s="1727" t="s">
        <v>30</v>
      </c>
      <c r="D20" s="1728"/>
      <c r="E20" s="1729" t="s">
        <v>30</v>
      </c>
      <c r="F20" s="1730"/>
      <c r="G20" s="1729" t="s">
        <v>30</v>
      </c>
      <c r="H20" s="1728"/>
      <c r="I20" s="1729" t="s">
        <v>30</v>
      </c>
      <c r="J20" s="1728"/>
      <c r="K20" s="1733"/>
      <c r="L20" s="2995"/>
      <c r="M20" s="2991"/>
      <c r="N20" s="2991"/>
      <c r="O20" s="2991"/>
      <c r="P20" s="3450"/>
      <c r="Q20" s="1613"/>
      <c r="R20" s="1722"/>
      <c r="S20" s="1723"/>
      <c r="T20" s="1722"/>
      <c r="U20" s="1723"/>
      <c r="V20" s="1722"/>
      <c r="W20" s="1723"/>
      <c r="X20" s="1663"/>
      <c r="Y20" s="3437"/>
      <c r="Z20" s="1724"/>
      <c r="AA20" s="1725">
        <v>1</v>
      </c>
      <c r="AB20" s="1725">
        <v>1</v>
      </c>
      <c r="AC20" s="1725">
        <v>1</v>
      </c>
    </row>
    <row r="21" spans="1:29" ht="15">
      <c r="A21" s="1699"/>
      <c r="B21" s="1747" t="s">
        <v>1707</v>
      </c>
      <c r="C21" s="1735" t="str">
        <f>估价对象房地状况!C8</f>
        <v>七通</v>
      </c>
      <c r="D21" s="1739">
        <v>100</v>
      </c>
      <c r="E21" s="1744" t="s">
        <v>2919</v>
      </c>
      <c r="F21" s="1745">
        <f>SUMIF(82:82,E22,83:83)-SUMIF(82:82,C22,83:83)+100</f>
        <v>100</v>
      </c>
      <c r="G21" s="1744" t="s">
        <v>2919</v>
      </c>
      <c r="H21" s="1732">
        <f>SUMIF(82:82,G22,83:83)-SUMIF(82:82,C22,83:83)+100</f>
        <v>100</v>
      </c>
      <c r="I21" s="1744" t="s">
        <v>2919</v>
      </c>
      <c r="J21" s="1732">
        <f>SUMIF(82:82,I22,83:83)-SUMIF(82:82,C22,83:83)+100</f>
        <v>100</v>
      </c>
      <c r="K21" s="1721">
        <v>1</v>
      </c>
      <c r="L21" s="2995"/>
      <c r="M21" s="2991"/>
      <c r="N21" s="2991"/>
      <c r="O21" s="2991"/>
      <c r="P21" s="3450"/>
      <c r="Q21" s="1613" t="str">
        <f>B21</f>
        <v>基础设施水平</v>
      </c>
      <c r="R21" s="1722" t="s">
        <v>28</v>
      </c>
      <c r="S21" s="1723">
        <f>F21</f>
        <v>100</v>
      </c>
      <c r="T21" s="1722" t="s">
        <v>28</v>
      </c>
      <c r="U21" s="1723">
        <f>H21</f>
        <v>100</v>
      </c>
      <c r="V21" s="1722" t="s">
        <v>28</v>
      </c>
      <c r="W21" s="1723">
        <f>J21</f>
        <v>100</v>
      </c>
      <c r="X21" s="1663"/>
      <c r="Y21" s="3437"/>
      <c r="Z21" s="1724" t="str">
        <f>Q21</f>
        <v>基础设施水平</v>
      </c>
      <c r="AA21" s="1725">
        <f t="shared" ref="AA21" si="8">D21/F21</f>
        <v>1</v>
      </c>
      <c r="AB21" s="1725">
        <f t="shared" ref="AB21" si="9">D21/H21</f>
        <v>1</v>
      </c>
      <c r="AC21" s="1725">
        <f t="shared" ref="AC21" si="10">D21/J21</f>
        <v>1</v>
      </c>
    </row>
    <row r="22" spans="1:29" ht="15">
      <c r="A22" s="1699"/>
      <c r="B22" s="1747"/>
      <c r="C22" s="1741" t="s">
        <v>2919</v>
      </c>
      <c r="D22" s="1728"/>
      <c r="E22" s="1727" t="s">
        <v>2919</v>
      </c>
      <c r="F22" s="1730"/>
      <c r="G22" s="1727" t="s">
        <v>2919</v>
      </c>
      <c r="H22" s="1728"/>
      <c r="I22" s="1727" t="s">
        <v>2919</v>
      </c>
      <c r="J22" s="1728"/>
      <c r="K22" s="1748"/>
      <c r="L22" s="2995"/>
      <c r="M22" s="2991"/>
      <c r="N22" s="2991"/>
      <c r="O22" s="2991"/>
      <c r="P22" s="3450"/>
      <c r="Q22" s="1613"/>
      <c r="R22" s="1722"/>
      <c r="S22" s="1723"/>
      <c r="T22" s="1722"/>
      <c r="U22" s="1723"/>
      <c r="V22" s="1722"/>
      <c r="W22" s="1723"/>
      <c r="X22" s="1663"/>
      <c r="Y22" s="3437"/>
      <c r="Z22" s="1724"/>
      <c r="AA22" s="1725">
        <v>1</v>
      </c>
      <c r="AB22" s="1725">
        <v>1</v>
      </c>
      <c r="AC22" s="1725">
        <v>1</v>
      </c>
    </row>
    <row r="23" spans="1:29" ht="15">
      <c r="A23" s="1699"/>
      <c r="B23" s="1734" t="s">
        <v>1708</v>
      </c>
      <c r="C23" s="1735" t="str">
        <f>估价对象房地状况!C9</f>
        <v>较好</v>
      </c>
      <c r="D23" s="1732">
        <v>100</v>
      </c>
      <c r="E23" s="1736" t="s">
        <v>30</v>
      </c>
      <c r="F23" s="1737">
        <f>SUMIF(84:84,E24,85:85)-SUMIF(84:84,C24,85:85)+100</f>
        <v>100</v>
      </c>
      <c r="G23" s="1736" t="s">
        <v>30</v>
      </c>
      <c r="H23" s="1732">
        <f>SUMIF(84:84,G24,85:85)-SUMIF(84:84,C24,85:85)+100</f>
        <v>100</v>
      </c>
      <c r="I23" s="1736" t="s">
        <v>30</v>
      </c>
      <c r="J23" s="1732">
        <f>SUMIF(84:84,I24,85:85)-SUMIF(84:84,C24,85:85)+100</f>
        <v>100</v>
      </c>
      <c r="K23" s="1721">
        <v>2</v>
      </c>
      <c r="L23" s="2995"/>
      <c r="M23" s="2991"/>
      <c r="N23" s="2991"/>
      <c r="O23" s="2991"/>
      <c r="P23" s="3450"/>
      <c r="Q23" s="1613" t="str">
        <f>B23</f>
        <v>自然及人文环境</v>
      </c>
      <c r="R23" s="1722" t="s">
        <v>28</v>
      </c>
      <c r="S23" s="1723">
        <f>F23</f>
        <v>100</v>
      </c>
      <c r="T23" s="1722" t="s">
        <v>28</v>
      </c>
      <c r="U23" s="1723">
        <f>H23</f>
        <v>100</v>
      </c>
      <c r="V23" s="1722" t="s">
        <v>28</v>
      </c>
      <c r="W23" s="1723">
        <f>J23</f>
        <v>100</v>
      </c>
      <c r="X23" s="1663"/>
      <c r="Y23" s="3437"/>
      <c r="Z23" s="1724" t="str">
        <f>Q23</f>
        <v>自然及人文环境</v>
      </c>
      <c r="AA23" s="1725">
        <f t="shared" si="3"/>
        <v>1</v>
      </c>
      <c r="AB23" s="1725">
        <f t="shared" si="4"/>
        <v>1</v>
      </c>
      <c r="AC23" s="1725">
        <f t="shared" si="5"/>
        <v>1</v>
      </c>
    </row>
    <row r="24" spans="1:29" ht="15">
      <c r="A24" s="1699"/>
      <c r="B24" s="1740"/>
      <c r="C24" s="1727" t="s">
        <v>30</v>
      </c>
      <c r="D24" s="1728"/>
      <c r="E24" s="1729" t="s">
        <v>30</v>
      </c>
      <c r="F24" s="1730"/>
      <c r="G24" s="1729" t="s">
        <v>30</v>
      </c>
      <c r="H24" s="1728"/>
      <c r="I24" s="1729" t="s">
        <v>30</v>
      </c>
      <c r="J24" s="1728"/>
      <c r="K24" s="1733"/>
      <c r="L24" s="2995"/>
      <c r="M24" s="2991"/>
      <c r="N24" s="2991"/>
      <c r="O24" s="2991"/>
      <c r="P24" s="3450"/>
      <c r="Q24" s="1613"/>
      <c r="R24" s="1722"/>
      <c r="S24" s="1723"/>
      <c r="T24" s="1722"/>
      <c r="U24" s="1723"/>
      <c r="V24" s="1722"/>
      <c r="W24" s="1723"/>
      <c r="X24" s="1663"/>
      <c r="Y24" s="3437"/>
      <c r="Z24" s="1724"/>
      <c r="AA24" s="1725">
        <v>1</v>
      </c>
      <c r="AB24" s="1725">
        <v>1</v>
      </c>
      <c r="AC24" s="1725">
        <v>1</v>
      </c>
    </row>
    <row r="25" spans="1:29" ht="15" hidden="1">
      <c r="A25" s="1699"/>
      <c r="B25" s="1692" t="s">
        <v>2269</v>
      </c>
      <c r="C25" s="1749"/>
      <c r="D25" s="1708">
        <v>100</v>
      </c>
      <c r="E25" s="1750"/>
      <c r="F25" s="1751">
        <f>SUMIF(86:86,E25,87:87)-SUMIF(86:86,C25,87:87)+100</f>
        <v>100</v>
      </c>
      <c r="G25" s="1752"/>
      <c r="H25" s="1708">
        <f>SUMIF(86:86,G25,87:87)-SUMIF(86:86,C25,87:87)+100</f>
        <v>100</v>
      </c>
      <c r="I25" s="1750"/>
      <c r="J25" s="1708">
        <f>SUMIF(86:86,I25,87:87)-SUMIF(86:86,C25,87:87)+100</f>
        <v>100</v>
      </c>
      <c r="K25" s="1697"/>
      <c r="L25" s="2995"/>
      <c r="M25" s="2991"/>
      <c r="N25" s="2991"/>
      <c r="O25" s="2991"/>
      <c r="P25" s="3450"/>
      <c r="Q25" s="1613" t="str">
        <f t="shared" ref="Q25:Q46" si="11">B25</f>
        <v>楼层-1</v>
      </c>
      <c r="R25" s="1722" t="s">
        <v>28</v>
      </c>
      <c r="S25" s="1723">
        <f>F25</f>
        <v>100</v>
      </c>
      <c r="T25" s="1722" t="s">
        <v>28</v>
      </c>
      <c r="U25" s="1723">
        <f>H25</f>
        <v>100</v>
      </c>
      <c r="V25" s="1722" t="s">
        <v>28</v>
      </c>
      <c r="W25" s="1723">
        <f>J25</f>
        <v>100</v>
      </c>
      <c r="X25" s="1663"/>
      <c r="Y25" s="3437"/>
      <c r="Z25" s="1724" t="str">
        <f>Q25</f>
        <v>楼层-1</v>
      </c>
      <c r="AA25" s="1725">
        <f t="shared" si="3"/>
        <v>1</v>
      </c>
      <c r="AB25" s="1725">
        <f t="shared" si="4"/>
        <v>1</v>
      </c>
      <c r="AC25" s="1725">
        <f t="shared" si="5"/>
        <v>1</v>
      </c>
    </row>
    <row r="26" spans="1:29" ht="15">
      <c r="A26" s="1699"/>
      <c r="B26" s="1692" t="s">
        <v>2270</v>
      </c>
      <c r="C26" s="3164" t="s">
        <v>2936</v>
      </c>
      <c r="D26" s="1708">
        <v>100</v>
      </c>
      <c r="E26" s="1750" t="s">
        <v>2906</v>
      </c>
      <c r="F26" s="1751">
        <f>SUMIF(88:88,E26,89:89)-SUMIF(88:88,C26,89:89)+100</f>
        <v>102</v>
      </c>
      <c r="G26" s="1752" t="s">
        <v>2909</v>
      </c>
      <c r="H26" s="1708">
        <f>SUMIF(88:88,G26,89:89)-SUMIF(88:88,C26,89:89)+100</f>
        <v>103</v>
      </c>
      <c r="I26" s="1750" t="s">
        <v>2912</v>
      </c>
      <c r="J26" s="1708">
        <f>SUMIF(88:88,I26,89:89)-SUMIF(88:88,C26,89:89)+100</f>
        <v>102.5</v>
      </c>
      <c r="K26" s="1697">
        <v>0.5</v>
      </c>
      <c r="L26" s="2995"/>
      <c r="M26" s="2991"/>
      <c r="N26" s="2991"/>
      <c r="O26" s="2991"/>
      <c r="P26" s="3450"/>
      <c r="Q26" s="1613" t="str">
        <f t="shared" si="11"/>
        <v>朝向</v>
      </c>
      <c r="R26" s="1722" t="s">
        <v>28</v>
      </c>
      <c r="S26" s="1723">
        <f>F26</f>
        <v>102</v>
      </c>
      <c r="T26" s="1722" t="s">
        <v>28</v>
      </c>
      <c r="U26" s="1723">
        <f>H26</f>
        <v>103</v>
      </c>
      <c r="V26" s="1722" t="s">
        <v>28</v>
      </c>
      <c r="W26" s="1723">
        <f>J26</f>
        <v>102.5</v>
      </c>
      <c r="X26" s="1663"/>
      <c r="Y26" s="3437"/>
      <c r="Z26" s="1724" t="str">
        <f>Q26</f>
        <v>朝向</v>
      </c>
      <c r="AA26" s="1725">
        <f t="shared" si="3"/>
        <v>0.98039215686274506</v>
      </c>
      <c r="AB26" s="1725">
        <f t="shared" si="4"/>
        <v>0.970873786407767</v>
      </c>
      <c r="AC26" s="1725">
        <f t="shared" si="5"/>
        <v>0.97560975609756095</v>
      </c>
    </row>
    <row r="27" spans="1:29" s="1682" customFormat="1" ht="15.75" thickBot="1">
      <c r="A27" s="1702"/>
      <c r="B27" s="3161" t="s">
        <v>2928</v>
      </c>
      <c r="C27" s="3165" t="s">
        <v>2922</v>
      </c>
      <c r="D27" s="1753">
        <v>100</v>
      </c>
      <c r="E27" s="3166" t="s">
        <v>2923</v>
      </c>
      <c r="F27" s="1755">
        <f>SUMIF(90:90,E27,91:91)-SUMIF(90:90,C27,91:91)+100</f>
        <v>98</v>
      </c>
      <c r="G27" s="3167" t="s">
        <v>2922</v>
      </c>
      <c r="H27" s="1753">
        <f>SUMIF(90:90,G27,91:91)-SUMIF(90:90,C27,91:91)+100</f>
        <v>100</v>
      </c>
      <c r="I27" s="3166" t="s">
        <v>2924</v>
      </c>
      <c r="J27" s="1753">
        <f>SUMIF(90:90,I27,91:91)-SUMIF(90:90,C27,91:91)+100</f>
        <v>96</v>
      </c>
      <c r="K27" s="1706"/>
      <c r="L27" s="2990"/>
      <c r="M27" s="2963"/>
      <c r="N27" s="2963"/>
      <c r="O27" s="2963"/>
      <c r="P27" s="3450"/>
      <c r="Q27" s="1632" t="str">
        <f t="shared" si="11"/>
        <v>楼层</v>
      </c>
      <c r="R27" s="1678" t="s">
        <v>28</v>
      </c>
      <c r="S27" s="1679">
        <f>F27</f>
        <v>98</v>
      </c>
      <c r="T27" s="1678" t="s">
        <v>28</v>
      </c>
      <c r="U27" s="1679">
        <f>H27</f>
        <v>100</v>
      </c>
      <c r="V27" s="1678" t="s">
        <v>28</v>
      </c>
      <c r="W27" s="1679">
        <f>J27</f>
        <v>96</v>
      </c>
      <c r="X27" s="1680"/>
      <c r="Y27" s="3437"/>
      <c r="Z27" s="1690" t="str">
        <f>Q27</f>
        <v>楼层</v>
      </c>
      <c r="AA27" s="1725">
        <f>D27/F27</f>
        <v>1.0204081632653061</v>
      </c>
      <c r="AB27" s="1725">
        <f>D27/H27</f>
        <v>1</v>
      </c>
      <c r="AC27" s="1725">
        <f>D27/J27</f>
        <v>1.0416666666666667</v>
      </c>
    </row>
    <row r="28" spans="1:29" ht="15" hidden="1">
      <c r="A28" s="1699"/>
      <c r="B28" s="1757">
        <v>111</v>
      </c>
      <c r="C28" s="1707"/>
      <c r="D28" s="1708">
        <v>100</v>
      </c>
      <c r="E28" s="1707"/>
      <c r="F28" s="1751">
        <f>SUMIF(92:92,E28,93:93)-SUMIF(92:92,C28,93:93)+100</f>
        <v>100</v>
      </c>
      <c r="G28" s="1707"/>
      <c r="H28" s="1708">
        <f>SUMIF(92:92,G28,93:93)-SUMIF(92:92,C28,93:93)+100</f>
        <v>100</v>
      </c>
      <c r="I28" s="1707"/>
      <c r="J28" s="1708">
        <f>SUMIF(92:92,I28,93:93)-SUMIF(92:92,C28,93:93)+100</f>
        <v>100</v>
      </c>
      <c r="K28" s="1706"/>
      <c r="L28" s="2995"/>
      <c r="M28" s="2991"/>
      <c r="N28" s="2991"/>
      <c r="O28" s="2991"/>
      <c r="P28" s="3450"/>
      <c r="Q28" s="1613">
        <f t="shared" si="11"/>
        <v>111</v>
      </c>
      <c r="R28" s="1722" t="s">
        <v>28</v>
      </c>
      <c r="S28" s="1723">
        <f t="shared" ref="S28:S46" si="12">F28</f>
        <v>100</v>
      </c>
      <c r="T28" s="1722" t="s">
        <v>28</v>
      </c>
      <c r="U28" s="1723">
        <f t="shared" ref="U28:U46" si="13">H28</f>
        <v>100</v>
      </c>
      <c r="V28" s="1722" t="s">
        <v>28</v>
      </c>
      <c r="W28" s="1723">
        <f t="shared" ref="W28:W46" si="14">J28</f>
        <v>100</v>
      </c>
      <c r="X28" s="1663"/>
      <c r="Y28" s="3437"/>
      <c r="Z28" s="1724">
        <f t="shared" ref="Z28:Z46" si="15">Q28</f>
        <v>111</v>
      </c>
      <c r="AA28" s="1725">
        <f t="shared" si="3"/>
        <v>1</v>
      </c>
      <c r="AB28" s="1725">
        <f t="shared" si="4"/>
        <v>1</v>
      </c>
      <c r="AC28" s="1725">
        <f t="shared" si="5"/>
        <v>1</v>
      </c>
    </row>
    <row r="29" spans="1:29" ht="15" hidden="1">
      <c r="A29" s="1699"/>
      <c r="B29" s="1757">
        <v>111</v>
      </c>
      <c r="C29" s="1707"/>
      <c r="D29" s="1708">
        <v>100</v>
      </c>
      <c r="E29" s="1707"/>
      <c r="F29" s="1751">
        <f>SUMIF(94:94,E29,95:95)-SUMIF(94:94,C29,95:95)+100</f>
        <v>100</v>
      </c>
      <c r="G29" s="1707"/>
      <c r="H29" s="1708">
        <f>SUMIF(94:94,G29,95:95)-SUMIF(94:94,C29,95:95)+100</f>
        <v>100</v>
      </c>
      <c r="I29" s="1707"/>
      <c r="J29" s="1708">
        <f>SUMIF(94:94,I29,95:95)-SUMIF(94:94,C29,95:95)+100</f>
        <v>100</v>
      </c>
      <c r="K29" s="1706"/>
      <c r="L29" s="2995"/>
      <c r="M29" s="2991"/>
      <c r="N29" s="2991"/>
      <c r="O29" s="2991"/>
      <c r="P29" s="3450"/>
      <c r="Q29" s="1613">
        <f t="shared" si="11"/>
        <v>111</v>
      </c>
      <c r="R29" s="1722" t="s">
        <v>28</v>
      </c>
      <c r="S29" s="1723">
        <f t="shared" si="12"/>
        <v>100</v>
      </c>
      <c r="T29" s="1722" t="s">
        <v>28</v>
      </c>
      <c r="U29" s="1723">
        <f t="shared" si="13"/>
        <v>100</v>
      </c>
      <c r="V29" s="1722" t="s">
        <v>28</v>
      </c>
      <c r="W29" s="1723">
        <f t="shared" si="14"/>
        <v>100</v>
      </c>
      <c r="X29" s="1663"/>
      <c r="Y29" s="3437"/>
      <c r="Z29" s="1724">
        <f t="shared" si="15"/>
        <v>111</v>
      </c>
      <c r="AA29" s="1725">
        <f t="shared" si="3"/>
        <v>1</v>
      </c>
      <c r="AB29" s="1725">
        <f t="shared" si="4"/>
        <v>1</v>
      </c>
      <c r="AC29" s="1725">
        <f t="shared" si="5"/>
        <v>1</v>
      </c>
    </row>
    <row r="30" spans="1:29" ht="15" hidden="1">
      <c r="A30" s="1699"/>
      <c r="B30" s="1757">
        <v>111</v>
      </c>
      <c r="C30" s="1707"/>
      <c r="D30" s="1708">
        <v>100</v>
      </c>
      <c r="E30" s="1707"/>
      <c r="F30" s="1751">
        <f>SUMIF(96:96,E30,97:97)-SUMIF(96:96,C30,97:97)+100</f>
        <v>100</v>
      </c>
      <c r="G30" s="1707"/>
      <c r="H30" s="1708">
        <f>SUMIF(96:96,G30,97:97)-SUMIF(96:96,C30,97:97)+100</f>
        <v>100</v>
      </c>
      <c r="I30" s="1707"/>
      <c r="J30" s="1708">
        <f>SUMIF(96:96,I30,97:97)-SUMIF(96:96,C30,97:97)+100</f>
        <v>100</v>
      </c>
      <c r="K30" s="1706"/>
      <c r="L30" s="2995"/>
      <c r="M30" s="2991"/>
      <c r="N30" s="2991"/>
      <c r="O30" s="2991"/>
      <c r="P30" s="3450"/>
      <c r="Q30" s="1613">
        <f t="shared" si="11"/>
        <v>111</v>
      </c>
      <c r="R30" s="1722" t="s">
        <v>28</v>
      </c>
      <c r="S30" s="1723">
        <f t="shared" si="12"/>
        <v>100</v>
      </c>
      <c r="T30" s="1722" t="s">
        <v>28</v>
      </c>
      <c r="U30" s="1723">
        <f t="shared" si="13"/>
        <v>100</v>
      </c>
      <c r="V30" s="1722" t="s">
        <v>28</v>
      </c>
      <c r="W30" s="1723">
        <f t="shared" si="14"/>
        <v>100</v>
      </c>
      <c r="X30" s="1663"/>
      <c r="Y30" s="3437"/>
      <c r="Z30" s="1724">
        <f t="shared" si="15"/>
        <v>111</v>
      </c>
      <c r="AA30" s="1725">
        <f t="shared" si="3"/>
        <v>1</v>
      </c>
      <c r="AB30" s="1725">
        <f t="shared" si="4"/>
        <v>1</v>
      </c>
      <c r="AC30" s="1725">
        <f t="shared" si="5"/>
        <v>1</v>
      </c>
    </row>
    <row r="31" spans="1:29" ht="15.75" hidden="1" thickBot="1">
      <c r="A31" s="1709"/>
      <c r="B31" s="1757">
        <v>111</v>
      </c>
      <c r="C31" s="1711"/>
      <c r="D31" s="1712">
        <v>100</v>
      </c>
      <c r="E31" s="1711"/>
      <c r="F31" s="1713">
        <f>SUMIF(98:98,E31,99:99)-SUMIF(98:98,C31,99:99)+100</f>
        <v>100</v>
      </c>
      <c r="G31" s="1711"/>
      <c r="H31" s="1712">
        <f>SUMIF(98:98,G31,99:99)-SUMIF(98:98,C31,99:99)+100</f>
        <v>100</v>
      </c>
      <c r="I31" s="1711"/>
      <c r="J31" s="1712">
        <f>SUMIF(98:98,I31,99:99)-SUMIF(98:98,C31,99:99)+100</f>
        <v>100</v>
      </c>
      <c r="K31" s="1706"/>
      <c r="L31" s="2995"/>
      <c r="M31" s="2991"/>
      <c r="N31" s="2991"/>
      <c r="O31" s="2991"/>
      <c r="P31" s="3450"/>
      <c r="Q31" s="1613">
        <f t="shared" si="11"/>
        <v>111</v>
      </c>
      <c r="R31" s="1722" t="s">
        <v>28</v>
      </c>
      <c r="S31" s="1723">
        <f t="shared" si="12"/>
        <v>100</v>
      </c>
      <c r="T31" s="1722" t="s">
        <v>28</v>
      </c>
      <c r="U31" s="1723">
        <f t="shared" si="13"/>
        <v>100</v>
      </c>
      <c r="V31" s="1722" t="s">
        <v>28</v>
      </c>
      <c r="W31" s="1723">
        <f t="shared" si="14"/>
        <v>100</v>
      </c>
      <c r="X31" s="1663"/>
      <c r="Y31" s="3437"/>
      <c r="Z31" s="1724">
        <f t="shared" si="15"/>
        <v>111</v>
      </c>
      <c r="AA31" s="1725">
        <f t="shared" si="3"/>
        <v>1</v>
      </c>
      <c r="AB31" s="1725">
        <f t="shared" si="4"/>
        <v>1</v>
      </c>
      <c r="AC31" s="1725">
        <f t="shared" si="5"/>
        <v>1</v>
      </c>
    </row>
    <row r="32" spans="1:29" ht="15">
      <c r="A32" s="1714" t="s">
        <v>2271</v>
      </c>
      <c r="B32" s="1684" t="s">
        <v>2272</v>
      </c>
      <c r="C32" s="1758" t="s">
        <v>2929</v>
      </c>
      <c r="D32" s="1759">
        <v>100</v>
      </c>
      <c r="E32" s="1758" t="s">
        <v>2929</v>
      </c>
      <c r="F32" s="1751">
        <f>SUMIF(100:100,E32,101:101)-SUMIF(100:100,C32,101:101)+100</f>
        <v>100</v>
      </c>
      <c r="G32" s="1758" t="s">
        <v>2971</v>
      </c>
      <c r="H32" s="1759">
        <f>SUMIF(100:100,G32,101:101)-SUMIF(100:100,C32,101:101)+100</f>
        <v>104</v>
      </c>
      <c r="I32" s="1758" t="s">
        <v>2971</v>
      </c>
      <c r="J32" s="1708">
        <f>SUMIF(100:100,I32,101:101)-SUMIF(100:100,C32,101:101)+100</f>
        <v>104</v>
      </c>
      <c r="K32" s="1697">
        <v>2</v>
      </c>
      <c r="L32" s="2995"/>
      <c r="M32" s="2991"/>
      <c r="N32" s="2991"/>
      <c r="O32" s="2991"/>
      <c r="P32" s="3438" t="s">
        <v>2273</v>
      </c>
      <c r="Q32" s="1613" t="str">
        <f t="shared" si="11"/>
        <v>建筑类型</v>
      </c>
      <c r="R32" s="1722" t="s">
        <v>28</v>
      </c>
      <c r="S32" s="1723">
        <f t="shared" si="12"/>
        <v>100</v>
      </c>
      <c r="T32" s="1722" t="s">
        <v>28</v>
      </c>
      <c r="U32" s="1723">
        <f t="shared" si="13"/>
        <v>104</v>
      </c>
      <c r="V32" s="1722" t="s">
        <v>28</v>
      </c>
      <c r="W32" s="1723">
        <f t="shared" si="14"/>
        <v>104</v>
      </c>
      <c r="X32" s="1663"/>
      <c r="Y32" s="3441" t="s">
        <v>2273</v>
      </c>
      <c r="Z32" s="1724" t="str">
        <f t="shared" si="15"/>
        <v>建筑类型</v>
      </c>
      <c r="AA32" s="1725">
        <f t="shared" si="3"/>
        <v>1</v>
      </c>
      <c r="AB32" s="1725">
        <f t="shared" si="4"/>
        <v>0.96153846153846156</v>
      </c>
      <c r="AC32" s="1725">
        <f t="shared" si="5"/>
        <v>0.96153846153846156</v>
      </c>
    </row>
    <row r="33" spans="1:29" s="1767" customFormat="1" ht="15">
      <c r="A33" s="1760"/>
      <c r="B33" s="1692" t="s">
        <v>2274</v>
      </c>
      <c r="C33" s="1761">
        <f>D3</f>
        <v>82.35</v>
      </c>
      <c r="D33" s="1694">
        <v>100</v>
      </c>
      <c r="E33" s="1701">
        <f>案例!E76</f>
        <v>55</v>
      </c>
      <c r="F33" s="1696">
        <f>LOOKUP(E33,103:103,104:104)-LOOKUP(C33,103:103,104:104)+100</f>
        <v>100</v>
      </c>
      <c r="G33" s="1700">
        <f>案例!E77</f>
        <v>35.11</v>
      </c>
      <c r="H33" s="1694">
        <f>LOOKUP(G33,103:103,104:104)-LOOKUP(C33,103:103,104:104)+100</f>
        <v>102</v>
      </c>
      <c r="I33" s="1701">
        <f>案例!E78</f>
        <v>74.62</v>
      </c>
      <c r="J33" s="1694">
        <f>LOOKUP(I33,103:103,104:104)-LOOKUP(C33,103:103,104:104)+100</f>
        <v>100</v>
      </c>
      <c r="K33" s="1706"/>
      <c r="L33" s="2994"/>
      <c r="M33" s="2055"/>
      <c r="N33" s="2055"/>
      <c r="O33" s="2055"/>
      <c r="P33" s="3439"/>
      <c r="Q33" s="1762" t="str">
        <f t="shared" si="11"/>
        <v>项目建筑规模</v>
      </c>
      <c r="R33" s="1763" t="s">
        <v>28</v>
      </c>
      <c r="S33" s="1764">
        <f t="shared" si="12"/>
        <v>100</v>
      </c>
      <c r="T33" s="1763" t="s">
        <v>28</v>
      </c>
      <c r="U33" s="1764">
        <f t="shared" si="13"/>
        <v>102</v>
      </c>
      <c r="V33" s="1763" t="s">
        <v>28</v>
      </c>
      <c r="W33" s="1764">
        <f t="shared" si="14"/>
        <v>100</v>
      </c>
      <c r="X33" s="1765"/>
      <c r="Y33" s="3441"/>
      <c r="Z33" s="1766" t="str">
        <f t="shared" si="15"/>
        <v>项目建筑规模</v>
      </c>
      <c r="AA33" s="1725">
        <f t="shared" si="3"/>
        <v>1</v>
      </c>
      <c r="AB33" s="1725">
        <f t="shared" si="4"/>
        <v>0.98039215686274506</v>
      </c>
      <c r="AC33" s="1725">
        <f t="shared" si="5"/>
        <v>1</v>
      </c>
    </row>
    <row r="34" spans="1:29" ht="15">
      <c r="A34" s="1768"/>
      <c r="B34" s="1692" t="s">
        <v>2275</v>
      </c>
      <c r="C34" s="1769" t="s">
        <v>2941</v>
      </c>
      <c r="D34" s="1708">
        <v>100</v>
      </c>
      <c r="E34" s="1769" t="s">
        <v>2941</v>
      </c>
      <c r="F34" s="1751">
        <f>SUMIF(105:105,E34,106:106)-SUMIF(105:105,C34,106:106)+100</f>
        <v>100</v>
      </c>
      <c r="G34" s="1769" t="s">
        <v>2941</v>
      </c>
      <c r="H34" s="1708">
        <f>SUMIF(105:105,G34,106:106)-SUMIF(105:105,C34,106:106)+100</f>
        <v>100</v>
      </c>
      <c r="I34" s="1769" t="s">
        <v>2941</v>
      </c>
      <c r="J34" s="1708">
        <f>SUMIF(105:105,I34,106:106)-SUMIF(105:105,C34,106:106)+100</f>
        <v>100</v>
      </c>
      <c r="K34" s="1697">
        <v>5</v>
      </c>
      <c r="L34" s="2995"/>
      <c r="M34" s="2991"/>
      <c r="N34" s="2991"/>
      <c r="O34" s="2991"/>
      <c r="P34" s="3439"/>
      <c r="Q34" s="1613" t="str">
        <f t="shared" si="11"/>
        <v>建筑结构</v>
      </c>
      <c r="R34" s="1722" t="s">
        <v>28</v>
      </c>
      <c r="S34" s="1723">
        <f t="shared" si="12"/>
        <v>100</v>
      </c>
      <c r="T34" s="1722" t="s">
        <v>28</v>
      </c>
      <c r="U34" s="1723">
        <f t="shared" si="13"/>
        <v>100</v>
      </c>
      <c r="V34" s="1722" t="s">
        <v>28</v>
      </c>
      <c r="W34" s="1723">
        <f t="shared" si="14"/>
        <v>100</v>
      </c>
      <c r="X34" s="1663"/>
      <c r="Y34" s="3441"/>
      <c r="Z34" s="1724" t="str">
        <f t="shared" si="15"/>
        <v>建筑结构</v>
      </c>
      <c r="AA34" s="1725">
        <f t="shared" si="3"/>
        <v>1</v>
      </c>
      <c r="AB34" s="1725">
        <f t="shared" si="4"/>
        <v>1</v>
      </c>
      <c r="AC34" s="1725">
        <f t="shared" si="5"/>
        <v>1</v>
      </c>
    </row>
    <row r="35" spans="1:29" ht="15">
      <c r="A35" s="1768"/>
      <c r="B35" s="1692" t="s">
        <v>2276</v>
      </c>
      <c r="C35" s="1752" t="s">
        <v>2944</v>
      </c>
      <c r="D35" s="1708">
        <v>100</v>
      </c>
      <c r="E35" s="1752" t="s">
        <v>2944</v>
      </c>
      <c r="F35" s="1751">
        <f>SUMIF(107:107,E35,108:108)-SUMIF(107:107,C35,108:108)+100</f>
        <v>100</v>
      </c>
      <c r="G35" s="1752" t="s">
        <v>2944</v>
      </c>
      <c r="H35" s="1708">
        <f>SUMIF(107:107,G35,108:108)-SUMIF(107:107,C35,108:108)+100</f>
        <v>100</v>
      </c>
      <c r="I35" s="1752" t="s">
        <v>2944</v>
      </c>
      <c r="J35" s="1708">
        <f>SUMIF(107:107,I35,108:108)-SUMIF(107:107,C35,108:108)+100</f>
        <v>100</v>
      </c>
      <c r="K35" s="1697">
        <v>5</v>
      </c>
      <c r="L35" s="2995"/>
      <c r="M35" s="2991"/>
      <c r="N35" s="2991"/>
      <c r="O35" s="2991"/>
      <c r="P35" s="3439"/>
      <c r="Q35" s="1613" t="str">
        <f t="shared" si="11"/>
        <v>建筑品质</v>
      </c>
      <c r="R35" s="1722" t="s">
        <v>28</v>
      </c>
      <c r="S35" s="1723">
        <f t="shared" si="12"/>
        <v>100</v>
      </c>
      <c r="T35" s="1722" t="s">
        <v>28</v>
      </c>
      <c r="U35" s="1723">
        <f t="shared" si="13"/>
        <v>100</v>
      </c>
      <c r="V35" s="1722" t="s">
        <v>28</v>
      </c>
      <c r="W35" s="1723">
        <f t="shared" si="14"/>
        <v>100</v>
      </c>
      <c r="X35" s="1663"/>
      <c r="Y35" s="3441"/>
      <c r="Z35" s="1724" t="str">
        <f t="shared" si="15"/>
        <v>建筑品质</v>
      </c>
      <c r="AA35" s="1725">
        <f t="shared" si="3"/>
        <v>1</v>
      </c>
      <c r="AB35" s="1725">
        <f t="shared" si="4"/>
        <v>1</v>
      </c>
      <c r="AC35" s="1725">
        <f t="shared" si="5"/>
        <v>1</v>
      </c>
    </row>
    <row r="36" spans="1:29" ht="15">
      <c r="A36" s="1768"/>
      <c r="B36" s="1692" t="s">
        <v>2277</v>
      </c>
      <c r="C36" s="1752" t="s">
        <v>2948</v>
      </c>
      <c r="D36" s="1708">
        <v>100</v>
      </c>
      <c r="E36" s="1752" t="s">
        <v>2948</v>
      </c>
      <c r="F36" s="1751">
        <f>SUMIF(109:109,E36,110:110)-SUMIF(109:109,C36,110:110)+100</f>
        <v>100</v>
      </c>
      <c r="G36" s="1752" t="s">
        <v>2948</v>
      </c>
      <c r="H36" s="1708">
        <f>SUMIF(109:109,G36,110:110)-SUMIF(109:109,C36,110:110)+100</f>
        <v>100</v>
      </c>
      <c r="I36" s="1752" t="s">
        <v>2948</v>
      </c>
      <c r="J36" s="1708">
        <f>SUMIF(109:109,I36,110:110)-SUMIF(109:109,C36,110:110)+100</f>
        <v>100</v>
      </c>
      <c r="K36" s="1697">
        <v>2</v>
      </c>
      <c r="L36" s="2995"/>
      <c r="M36" s="2991"/>
      <c r="N36" s="2991"/>
      <c r="O36" s="2991"/>
      <c r="P36" s="3439"/>
      <c r="Q36" s="1613" t="str">
        <f t="shared" si="11"/>
        <v>公共部分装修</v>
      </c>
      <c r="R36" s="1722" t="s">
        <v>28</v>
      </c>
      <c r="S36" s="1723">
        <f t="shared" si="12"/>
        <v>100</v>
      </c>
      <c r="T36" s="1722" t="s">
        <v>28</v>
      </c>
      <c r="U36" s="1723">
        <f t="shared" si="13"/>
        <v>100</v>
      </c>
      <c r="V36" s="1722" t="s">
        <v>28</v>
      </c>
      <c r="W36" s="1723">
        <f t="shared" si="14"/>
        <v>100</v>
      </c>
      <c r="X36" s="1663"/>
      <c r="Y36" s="3441"/>
      <c r="Z36" s="1724" t="str">
        <f t="shared" si="15"/>
        <v>公共部分装修</v>
      </c>
      <c r="AA36" s="1725">
        <f t="shared" si="3"/>
        <v>1</v>
      </c>
      <c r="AB36" s="1725">
        <f t="shared" si="4"/>
        <v>1</v>
      </c>
      <c r="AC36" s="1725">
        <f t="shared" si="5"/>
        <v>1</v>
      </c>
    </row>
    <row r="37" spans="1:29" s="1682" customFormat="1" ht="15">
      <c r="A37" s="1771"/>
      <c r="B37" s="1692" t="s">
        <v>2278</v>
      </c>
      <c r="C37" s="1772">
        <f>'数据-取费表'!E20</f>
        <v>0.77</v>
      </c>
      <c r="D37" s="1694">
        <v>100</v>
      </c>
      <c r="E37" s="1773">
        <f>C37</f>
        <v>0.77</v>
      </c>
      <c r="F37" s="1696">
        <f>LOOKUP(E37,112:112,113:113)-LOOKUP(C37,112:112,113:113)+100</f>
        <v>100</v>
      </c>
      <c r="G37" s="1774">
        <v>0.65</v>
      </c>
      <c r="H37" s="1694">
        <f>LOOKUP(G37,112:112,113:113)-LOOKUP(C37,112:112,113:113)+100</f>
        <v>98</v>
      </c>
      <c r="I37" s="1773">
        <f>G37</f>
        <v>0.65</v>
      </c>
      <c r="J37" s="1694">
        <f>LOOKUP(I37,112:112,113:113)-LOOKUP(C37,112:112,113:113)+100</f>
        <v>98</v>
      </c>
      <c r="K37" s="1697">
        <v>2</v>
      </c>
      <c r="L37" s="2990"/>
      <c r="M37" s="2963"/>
      <c r="N37" s="2963"/>
      <c r="O37" s="2963"/>
      <c r="P37" s="3439"/>
      <c r="Q37" s="1632" t="str">
        <f t="shared" si="11"/>
        <v>成新度</v>
      </c>
      <c r="R37" s="1678" t="s">
        <v>28</v>
      </c>
      <c r="S37" s="1679">
        <f t="shared" si="12"/>
        <v>100</v>
      </c>
      <c r="T37" s="1678" t="s">
        <v>28</v>
      </c>
      <c r="U37" s="1679">
        <f t="shared" si="13"/>
        <v>98</v>
      </c>
      <c r="V37" s="1678" t="s">
        <v>28</v>
      </c>
      <c r="W37" s="1679">
        <f t="shared" si="14"/>
        <v>98</v>
      </c>
      <c r="X37" s="1680"/>
      <c r="Y37" s="3441"/>
      <c r="Z37" s="1690" t="str">
        <f t="shared" si="15"/>
        <v>成新度</v>
      </c>
      <c r="AA37" s="1681">
        <f t="shared" si="3"/>
        <v>1</v>
      </c>
      <c r="AB37" s="1681">
        <f t="shared" si="4"/>
        <v>1.0204081632653061</v>
      </c>
      <c r="AC37" s="1681">
        <f t="shared" si="5"/>
        <v>1.0204081632653061</v>
      </c>
    </row>
    <row r="38" spans="1:29" ht="15">
      <c r="A38" s="1768"/>
      <c r="B38" s="1692" t="s">
        <v>2279</v>
      </c>
      <c r="C38" s="1752" t="s">
        <v>2952</v>
      </c>
      <c r="D38" s="1708">
        <v>100</v>
      </c>
      <c r="E38" s="1752" t="s">
        <v>2952</v>
      </c>
      <c r="F38" s="1751">
        <f>SUMIF(114:114,E38,115:115)-SUMIF(114:114,C38,115:115)+100</f>
        <v>100</v>
      </c>
      <c r="G38" s="1752" t="s">
        <v>2952</v>
      </c>
      <c r="H38" s="1708">
        <f>SUMIF(114:114,G38,115:115)-SUMIF(114:114,C38,115:115)+100</f>
        <v>100</v>
      </c>
      <c r="I38" s="1752" t="s">
        <v>2952</v>
      </c>
      <c r="J38" s="1708">
        <f>SUMIF(114:114,I38,115:115)-SUMIF(114:114,C38,115:115)+100</f>
        <v>100</v>
      </c>
      <c r="K38" s="1697">
        <v>2</v>
      </c>
      <c r="L38" s="2995"/>
      <c r="M38" s="2991"/>
      <c r="N38" s="2991"/>
      <c r="O38" s="2991"/>
      <c r="P38" s="3439" t="s">
        <v>2273</v>
      </c>
      <c r="Q38" s="1613" t="str">
        <f t="shared" si="11"/>
        <v>物业管理</v>
      </c>
      <c r="R38" s="1722" t="s">
        <v>28</v>
      </c>
      <c r="S38" s="1723">
        <f t="shared" si="12"/>
        <v>100</v>
      </c>
      <c r="T38" s="1722" t="s">
        <v>28</v>
      </c>
      <c r="U38" s="1723">
        <f t="shared" si="13"/>
        <v>100</v>
      </c>
      <c r="V38" s="1722" t="s">
        <v>28</v>
      </c>
      <c r="W38" s="1723">
        <f t="shared" si="14"/>
        <v>100</v>
      </c>
      <c r="X38" s="1663"/>
      <c r="Y38" s="3441" t="s">
        <v>2273</v>
      </c>
      <c r="Z38" s="1724" t="str">
        <f t="shared" si="15"/>
        <v>物业管理</v>
      </c>
      <c r="AA38" s="1725">
        <f t="shared" si="3"/>
        <v>1</v>
      </c>
      <c r="AB38" s="1725">
        <f t="shared" si="4"/>
        <v>1</v>
      </c>
      <c r="AC38" s="1725">
        <f t="shared" si="5"/>
        <v>1</v>
      </c>
    </row>
    <row r="39" spans="1:29" ht="15">
      <c r="A39" s="1768"/>
      <c r="B39" s="1692" t="s">
        <v>2280</v>
      </c>
      <c r="C39" s="1752" t="s">
        <v>2919</v>
      </c>
      <c r="D39" s="1708">
        <v>100</v>
      </c>
      <c r="E39" s="1752" t="s">
        <v>2919</v>
      </c>
      <c r="F39" s="1751">
        <f>SUMIF(116:116,E39,117:117)-SUMIF(116:116,C39,117:117)+100</f>
        <v>100</v>
      </c>
      <c r="G39" s="1752" t="s">
        <v>2919</v>
      </c>
      <c r="H39" s="1708">
        <f>SUMIF(116:116,G39,117:117)-SUMIF(116:116,C39,117:117)+100</f>
        <v>100</v>
      </c>
      <c r="I39" s="1752" t="s">
        <v>2919</v>
      </c>
      <c r="J39" s="1708">
        <f>SUMIF(116:116,I39,117:117)-SUMIF(116:116,C39,117:117)+100</f>
        <v>100</v>
      </c>
      <c r="K39" s="1697">
        <v>1</v>
      </c>
      <c r="L39" s="2995"/>
      <c r="M39" s="2991"/>
      <c r="N39" s="2991"/>
      <c r="O39" s="2991"/>
      <c r="P39" s="3439"/>
      <c r="Q39" s="1613" t="str">
        <f t="shared" si="11"/>
        <v>市政基础设施</v>
      </c>
      <c r="R39" s="1722" t="s">
        <v>28</v>
      </c>
      <c r="S39" s="1723">
        <f t="shared" si="12"/>
        <v>100</v>
      </c>
      <c r="T39" s="1722" t="s">
        <v>28</v>
      </c>
      <c r="U39" s="1723">
        <f t="shared" si="13"/>
        <v>100</v>
      </c>
      <c r="V39" s="1722" t="s">
        <v>28</v>
      </c>
      <c r="W39" s="1723">
        <f t="shared" si="14"/>
        <v>100</v>
      </c>
      <c r="X39" s="1663"/>
      <c r="Y39" s="3441"/>
      <c r="Z39" s="1724" t="str">
        <f t="shared" si="15"/>
        <v>市政基础设施</v>
      </c>
      <c r="AA39" s="1725">
        <f t="shared" si="3"/>
        <v>1</v>
      </c>
      <c r="AB39" s="1725">
        <f t="shared" si="4"/>
        <v>1</v>
      </c>
      <c r="AC39" s="1725">
        <f t="shared" si="5"/>
        <v>1</v>
      </c>
    </row>
    <row r="40" spans="1:29" ht="15">
      <c r="A40" s="1768"/>
      <c r="B40" s="1692" t="s">
        <v>2281</v>
      </c>
      <c r="C40" s="1752" t="s">
        <v>2954</v>
      </c>
      <c r="D40" s="1708">
        <v>100</v>
      </c>
      <c r="E40" s="1752" t="s">
        <v>2954</v>
      </c>
      <c r="F40" s="1751">
        <f>SUMIF(118:118,E40,119:119)-SUMIF(118:118,C40,119:119)+100</f>
        <v>100</v>
      </c>
      <c r="G40" s="1752" t="s">
        <v>2954</v>
      </c>
      <c r="H40" s="1708">
        <f>SUMIF(118:118,G40,119:119)-SUMIF(118:118,C40,119:119)+100</f>
        <v>100</v>
      </c>
      <c r="I40" s="1752" t="s">
        <v>2954</v>
      </c>
      <c r="J40" s="1708">
        <f>SUMIF(118:118,I40,119:119)-SUMIF(118:118,C40,119:119)+100</f>
        <v>100</v>
      </c>
      <c r="K40" s="1697">
        <v>5</v>
      </c>
      <c r="L40" s="2995"/>
      <c r="M40" s="2991"/>
      <c r="N40" s="2991"/>
      <c r="O40" s="2991"/>
      <c r="P40" s="3439"/>
      <c r="Q40" s="1613" t="str">
        <f t="shared" si="11"/>
        <v>房型</v>
      </c>
      <c r="R40" s="1722" t="s">
        <v>28</v>
      </c>
      <c r="S40" s="1723">
        <f t="shared" si="12"/>
        <v>100</v>
      </c>
      <c r="T40" s="1722" t="s">
        <v>28</v>
      </c>
      <c r="U40" s="1723">
        <f t="shared" si="13"/>
        <v>100</v>
      </c>
      <c r="V40" s="1722" t="s">
        <v>28</v>
      </c>
      <c r="W40" s="1723">
        <f t="shared" si="14"/>
        <v>100</v>
      </c>
      <c r="X40" s="1663"/>
      <c r="Y40" s="3441"/>
      <c r="Z40" s="1724" t="str">
        <f t="shared" si="15"/>
        <v>房型</v>
      </c>
      <c r="AA40" s="1725">
        <f t="shared" si="3"/>
        <v>1</v>
      </c>
      <c r="AB40" s="1725">
        <f t="shared" si="4"/>
        <v>1</v>
      </c>
      <c r="AC40" s="1725">
        <f t="shared" si="5"/>
        <v>1</v>
      </c>
    </row>
    <row r="41" spans="1:29" s="1767" customFormat="1" ht="28.5">
      <c r="A41" s="1760"/>
      <c r="B41" s="1692" t="s">
        <v>2282</v>
      </c>
      <c r="C41" s="1761"/>
      <c r="D41" s="1694">
        <v>100</v>
      </c>
      <c r="E41" s="1701"/>
      <c r="F41" s="1696">
        <f>SUMIF(120:120,E41,121:121)-SUMIF(120:120,C41,121:121)+100</f>
        <v>100</v>
      </c>
      <c r="G41" s="1700"/>
      <c r="H41" s="1694">
        <f>SUMIF(120:120,G41,121:121)-SUMIF(120:120,C41,121:121)+100</f>
        <v>100</v>
      </c>
      <c r="I41" s="1775"/>
      <c r="J41" s="1708">
        <f>SUMIF(120:120,I41,121:121)-SUMIF(120:120,C41,121:121)+100</f>
        <v>100</v>
      </c>
      <c r="K41" s="1706"/>
      <c r="L41" s="2994"/>
      <c r="M41" s="2055"/>
      <c r="N41" s="2055"/>
      <c r="O41" s="2055"/>
      <c r="P41" s="3439"/>
      <c r="Q41" s="1762" t="str">
        <f t="shared" si="11"/>
        <v>单套/主力户型建筑面积</v>
      </c>
      <c r="R41" s="1763" t="s">
        <v>28</v>
      </c>
      <c r="S41" s="1764">
        <f t="shared" si="12"/>
        <v>100</v>
      </c>
      <c r="T41" s="1763" t="s">
        <v>28</v>
      </c>
      <c r="U41" s="1764">
        <f t="shared" si="13"/>
        <v>100</v>
      </c>
      <c r="V41" s="1763" t="s">
        <v>28</v>
      </c>
      <c r="W41" s="1764">
        <f t="shared" si="14"/>
        <v>100</v>
      </c>
      <c r="X41" s="1765"/>
      <c r="Y41" s="3441"/>
      <c r="Z41" s="1766" t="str">
        <f t="shared" si="15"/>
        <v>单套/主力户型建筑面积</v>
      </c>
      <c r="AA41" s="1725">
        <f t="shared" si="3"/>
        <v>1</v>
      </c>
      <c r="AB41" s="1725">
        <f t="shared" si="4"/>
        <v>1</v>
      </c>
      <c r="AC41" s="1725">
        <f t="shared" si="5"/>
        <v>1</v>
      </c>
    </row>
    <row r="42" spans="1:29" ht="15">
      <c r="A42" s="1768"/>
      <c r="B42" s="1692" t="s">
        <v>2283</v>
      </c>
      <c r="C42" s="1752" t="s">
        <v>2948</v>
      </c>
      <c r="D42" s="1708">
        <v>100</v>
      </c>
      <c r="E42" s="1752" t="s">
        <v>2948</v>
      </c>
      <c r="F42" s="1751">
        <f>SUMIF(122:122,E42,123:123)-SUMIF(122:122,C42,123:123)+100</f>
        <v>100</v>
      </c>
      <c r="G42" s="1752" t="s">
        <v>2948</v>
      </c>
      <c r="H42" s="1708">
        <f>SUMIF(122:122,G42,123:123)-SUMIF(122:122,C42,123:123)+100</f>
        <v>100</v>
      </c>
      <c r="I42" s="1752" t="s">
        <v>2948</v>
      </c>
      <c r="J42" s="1708">
        <f>SUMIF(122:122,I42,123:123)-SUMIF(122:122,C42,123:123)+100</f>
        <v>100</v>
      </c>
      <c r="K42" s="1697">
        <v>2</v>
      </c>
      <c r="L42" s="2995"/>
      <c r="M42" s="2991"/>
      <c r="N42" s="2991"/>
      <c r="O42" s="2991"/>
      <c r="P42" s="3439"/>
      <c r="Q42" s="1613" t="str">
        <f t="shared" si="11"/>
        <v>内部装修</v>
      </c>
      <c r="R42" s="1722" t="s">
        <v>28</v>
      </c>
      <c r="S42" s="1723">
        <f t="shared" si="12"/>
        <v>100</v>
      </c>
      <c r="T42" s="1722" t="s">
        <v>28</v>
      </c>
      <c r="U42" s="1723">
        <f t="shared" si="13"/>
        <v>100</v>
      </c>
      <c r="V42" s="1722" t="s">
        <v>28</v>
      </c>
      <c r="W42" s="1723">
        <f t="shared" si="14"/>
        <v>100</v>
      </c>
      <c r="X42" s="1663"/>
      <c r="Y42" s="3441"/>
      <c r="Z42" s="1724" t="str">
        <f t="shared" si="15"/>
        <v>内部装修</v>
      </c>
      <c r="AA42" s="1725">
        <f t="shared" si="3"/>
        <v>1</v>
      </c>
      <c r="AB42" s="1725">
        <f t="shared" si="4"/>
        <v>1</v>
      </c>
      <c r="AC42" s="1725">
        <f t="shared" si="5"/>
        <v>1</v>
      </c>
    </row>
    <row r="43" spans="1:29" ht="15.75" thickBot="1">
      <c r="A43" s="1768"/>
      <c r="B43" s="1692" t="s">
        <v>2284</v>
      </c>
      <c r="C43" s="1752" t="s">
        <v>30</v>
      </c>
      <c r="D43" s="1708">
        <v>100</v>
      </c>
      <c r="E43" s="1752" t="s">
        <v>30</v>
      </c>
      <c r="F43" s="1751">
        <f>SUMIF(124:124,E43,125:125)-SUMIF(124:124,C43,125:125)+100</f>
        <v>100</v>
      </c>
      <c r="G43" s="1752" t="s">
        <v>30</v>
      </c>
      <c r="H43" s="1708">
        <f>SUMIF(124:124,G43,125:125)-SUMIF(124:124,C43,125:125)+100</f>
        <v>100</v>
      </c>
      <c r="I43" s="1752" t="s">
        <v>30</v>
      </c>
      <c r="J43" s="1708">
        <f>SUMIF(124:124,I43,125:125)-SUMIF(124:124,C43,125:125)+100</f>
        <v>100</v>
      </c>
      <c r="K43" s="1697">
        <v>2</v>
      </c>
      <c r="L43" s="2995"/>
      <c r="M43" s="2991"/>
      <c r="N43" s="2991"/>
      <c r="O43" s="2991"/>
      <c r="P43" s="3439"/>
      <c r="Q43" s="1613" t="str">
        <f t="shared" si="11"/>
        <v>内部装修维护情况</v>
      </c>
      <c r="R43" s="1722" t="s">
        <v>28</v>
      </c>
      <c r="S43" s="1723">
        <f t="shared" si="12"/>
        <v>100</v>
      </c>
      <c r="T43" s="1722" t="s">
        <v>28</v>
      </c>
      <c r="U43" s="1723">
        <f t="shared" si="13"/>
        <v>100</v>
      </c>
      <c r="V43" s="1722" t="s">
        <v>28</v>
      </c>
      <c r="W43" s="1723">
        <f t="shared" si="14"/>
        <v>100</v>
      </c>
      <c r="X43" s="1663"/>
      <c r="Y43" s="3441"/>
      <c r="Z43" s="1724" t="str">
        <f t="shared" si="15"/>
        <v>内部装修维护情况</v>
      </c>
      <c r="AA43" s="1725">
        <f t="shared" si="3"/>
        <v>1</v>
      </c>
      <c r="AB43" s="1725">
        <f t="shared" si="4"/>
        <v>1</v>
      </c>
      <c r="AC43" s="1725">
        <f t="shared" si="5"/>
        <v>1</v>
      </c>
    </row>
    <row r="44" spans="1:29" s="1682" customFormat="1" ht="15" hidden="1">
      <c r="A44" s="1771"/>
      <c r="B44" s="1757">
        <v>111</v>
      </c>
      <c r="C44" s="1761"/>
      <c r="D44" s="1694">
        <v>100</v>
      </c>
      <c r="E44" s="1761"/>
      <c r="F44" s="1696">
        <f>SUMIF(126:126,E44,127:127)-SUMIF(126:126,C44,127:127)+100</f>
        <v>100</v>
      </c>
      <c r="G44" s="1761"/>
      <c r="H44" s="1694">
        <f>SUMIF(126:126,G44,127:127)-SUMIF(126:126,C44,127:127)+100</f>
        <v>100</v>
      </c>
      <c r="I44" s="1761"/>
      <c r="J44" s="1694">
        <f>SUMIF(126:126,I44,127:127)-SUMIF(126:126,C44,127:127)+100</f>
        <v>100</v>
      </c>
      <c r="K44" s="1706"/>
      <c r="L44" s="2990"/>
      <c r="M44" s="2963"/>
      <c r="N44" s="2963"/>
      <c r="O44" s="2963"/>
      <c r="P44" s="3439"/>
      <c r="Q44" s="1632">
        <f t="shared" si="11"/>
        <v>111</v>
      </c>
      <c r="R44" s="1678" t="s">
        <v>28</v>
      </c>
      <c r="S44" s="1679">
        <f t="shared" si="12"/>
        <v>100</v>
      </c>
      <c r="T44" s="1678" t="s">
        <v>28</v>
      </c>
      <c r="U44" s="1679">
        <f t="shared" si="13"/>
        <v>100</v>
      </c>
      <c r="V44" s="1678" t="s">
        <v>28</v>
      </c>
      <c r="W44" s="1679">
        <f t="shared" si="14"/>
        <v>100</v>
      </c>
      <c r="X44" s="1680"/>
      <c r="Y44" s="3441"/>
      <c r="Z44" s="1690">
        <f t="shared" si="15"/>
        <v>111</v>
      </c>
      <c r="AA44" s="1681">
        <f t="shared" si="3"/>
        <v>1</v>
      </c>
      <c r="AB44" s="1681">
        <f t="shared" si="4"/>
        <v>1</v>
      </c>
      <c r="AC44" s="1681">
        <f t="shared" si="5"/>
        <v>1</v>
      </c>
    </row>
    <row r="45" spans="1:29" ht="15" hidden="1">
      <c r="A45" s="1768"/>
      <c r="B45" s="1757">
        <v>111</v>
      </c>
      <c r="C45" s="1707"/>
      <c r="D45" s="1708">
        <v>100</v>
      </c>
      <c r="E45" s="1707"/>
      <c r="F45" s="1751">
        <f>SUMIF(128:128,E45,129:129)-SUMIF(128:128,C45,129:129)+100</f>
        <v>100</v>
      </c>
      <c r="G45" s="1707"/>
      <c r="H45" s="1708">
        <f>SUMIF(128:128,G45,129:129)-SUMIF(128:128,C45,129:129)+100</f>
        <v>100</v>
      </c>
      <c r="I45" s="1707"/>
      <c r="J45" s="1708">
        <f>SUMIF(128:128,I45,129:129)-SUMIF(128:128,C45,129:129)+100</f>
        <v>100</v>
      </c>
      <c r="K45" s="1706"/>
      <c r="L45" s="2995"/>
      <c r="M45" s="2991"/>
      <c r="N45" s="2991"/>
      <c r="O45" s="2991"/>
      <c r="P45" s="3439"/>
      <c r="Q45" s="1613">
        <f t="shared" si="11"/>
        <v>111</v>
      </c>
      <c r="R45" s="1722" t="s">
        <v>28</v>
      </c>
      <c r="S45" s="1723">
        <f t="shared" si="12"/>
        <v>100</v>
      </c>
      <c r="T45" s="1722" t="s">
        <v>28</v>
      </c>
      <c r="U45" s="1723">
        <f t="shared" si="13"/>
        <v>100</v>
      </c>
      <c r="V45" s="1722" t="s">
        <v>28</v>
      </c>
      <c r="W45" s="1723">
        <f t="shared" si="14"/>
        <v>100</v>
      </c>
      <c r="X45" s="1663"/>
      <c r="Y45" s="3441"/>
      <c r="Z45" s="1724">
        <f t="shared" si="15"/>
        <v>111</v>
      </c>
      <c r="AA45" s="1725">
        <f t="shared" si="3"/>
        <v>1</v>
      </c>
      <c r="AB45" s="1725">
        <f t="shared" si="4"/>
        <v>1</v>
      </c>
      <c r="AC45" s="1725">
        <f t="shared" si="5"/>
        <v>1</v>
      </c>
    </row>
    <row r="46" spans="1:29" ht="15.75" hidden="1" thickBot="1">
      <c r="A46" s="1776"/>
      <c r="B46" s="1710">
        <v>111</v>
      </c>
      <c r="C46" s="1711"/>
      <c r="D46" s="1712">
        <v>100</v>
      </c>
      <c r="E46" s="1711"/>
      <c r="F46" s="1713">
        <f>SUMIF(130:130,E46,131:131)-SUMIF(130:130,C46,131:131)+100</f>
        <v>100</v>
      </c>
      <c r="G46" s="1711"/>
      <c r="H46" s="1712">
        <f>SUMIF(130:130,G46,131:131)-SUMIF(130:130,C46,131:131)+100</f>
        <v>100</v>
      </c>
      <c r="I46" s="1711"/>
      <c r="J46" s="1712">
        <f>SUMIF(130:130,I46,131:131)-SUMIF(130:130,C46,131:131)+100</f>
        <v>100</v>
      </c>
      <c r="K46" s="1706"/>
      <c r="L46" s="2995"/>
      <c r="M46" s="2991"/>
      <c r="N46" s="2991"/>
      <c r="O46" s="2991"/>
      <c r="P46" s="3440"/>
      <c r="Q46" s="1613">
        <f t="shared" si="11"/>
        <v>111</v>
      </c>
      <c r="R46" s="1722" t="s">
        <v>27</v>
      </c>
      <c r="S46" s="1723">
        <f t="shared" si="12"/>
        <v>100</v>
      </c>
      <c r="T46" s="1722" t="s">
        <v>27</v>
      </c>
      <c r="U46" s="1723">
        <f t="shared" si="13"/>
        <v>100</v>
      </c>
      <c r="V46" s="1722" t="s">
        <v>27</v>
      </c>
      <c r="W46" s="1723">
        <f t="shared" si="14"/>
        <v>100</v>
      </c>
      <c r="X46" s="1663"/>
      <c r="Y46" s="3442"/>
      <c r="Z46" s="1724">
        <f t="shared" si="15"/>
        <v>111</v>
      </c>
      <c r="AA46" s="1725">
        <f t="shared" si="3"/>
        <v>1</v>
      </c>
      <c r="AB46" s="1725">
        <f t="shared" si="4"/>
        <v>1</v>
      </c>
      <c r="AC46" s="1725">
        <f t="shared" si="5"/>
        <v>1</v>
      </c>
    </row>
    <row r="47" spans="1:29" ht="15">
      <c r="A47" s="1777" t="s">
        <v>2285</v>
      </c>
      <c r="B47" s="1778"/>
      <c r="C47" s="1779" t="s">
        <v>26</v>
      </c>
      <c r="D47" s="1780"/>
      <c r="E47" s="1781">
        <f>案例!D76</f>
        <v>7819</v>
      </c>
      <c r="F47" s="1782"/>
      <c r="G47" s="1783">
        <f>案例!D77</f>
        <v>8032</v>
      </c>
      <c r="H47" s="1784"/>
      <c r="I47" s="1781">
        <f>案例!D78</f>
        <v>7813</v>
      </c>
      <c r="J47" s="1784"/>
      <c r="K47" s="1785"/>
      <c r="L47" s="2996"/>
      <c r="N47" s="2991"/>
      <c r="P47" s="3447" t="str">
        <f>A47</f>
        <v>成交单价（元/平方米）</v>
      </c>
      <c r="Q47" s="3447"/>
      <c r="R47" s="3448">
        <f>E47</f>
        <v>7819</v>
      </c>
      <c r="S47" s="3448"/>
      <c r="T47" s="3448">
        <f>G47</f>
        <v>8032</v>
      </c>
      <c r="U47" s="3448"/>
      <c r="V47" s="3448">
        <f>I47</f>
        <v>7813</v>
      </c>
      <c r="W47" s="3448"/>
      <c r="X47" s="1787"/>
      <c r="Y47" s="1788"/>
      <c r="Z47" s="1787"/>
      <c r="AA47" s="1787"/>
      <c r="AB47" s="1787"/>
      <c r="AC47" s="1787"/>
    </row>
    <row r="48" spans="1:29" ht="15.75" thickBot="1">
      <c r="A48" s="1789" t="s">
        <v>2286</v>
      </c>
      <c r="B48" s="1790"/>
      <c r="C48" s="1791">
        <f>R49</f>
        <v>7971</v>
      </c>
      <c r="D48" s="1792" t="s">
        <v>2740</v>
      </c>
      <c r="E48" s="1793">
        <f>R48</f>
        <v>7901</v>
      </c>
      <c r="F48" s="1794"/>
      <c r="G48" s="1791">
        <f>T48</f>
        <v>7814</v>
      </c>
      <c r="H48" s="1794"/>
      <c r="I48" s="1793">
        <f>V48</f>
        <v>8197</v>
      </c>
      <c r="J48" s="1794"/>
      <c r="K48" s="2507">
        <f>F48+H48+J48</f>
        <v>0</v>
      </c>
      <c r="L48" s="2996"/>
      <c r="P48" s="3447" t="str">
        <f>A48</f>
        <v>比较价值（元/平方米）</v>
      </c>
      <c r="Q48" s="3447"/>
      <c r="R48" s="3448">
        <f>IF(E1="售价",ROUND(PRODUCT(R47,AA7:AA46),0),ROUND(PRODUCT(R47,AA7:AA46),1))</f>
        <v>7901</v>
      </c>
      <c r="S48" s="3448"/>
      <c r="T48" s="3451">
        <f>IF(E1="售价",ROUND(PRODUCT(T47,AB7:AB46),0),ROUND(PRODUCT(T47,AB7:AB46),1))</f>
        <v>7814</v>
      </c>
      <c r="U48" s="3452"/>
      <c r="V48" s="3448">
        <f>IF(E1="售价",ROUND(PRODUCT(V47,AC7:AC46),0),ROUND(PRODUCT(V47,AC7:AC46),1))</f>
        <v>8197</v>
      </c>
      <c r="W48" s="3448"/>
      <c r="X48" s="1787"/>
      <c r="Y48" s="1787"/>
      <c r="Z48" s="1787"/>
      <c r="AA48" s="1787"/>
      <c r="AB48" s="1787"/>
      <c r="AC48" s="1787"/>
    </row>
    <row r="49" spans="1:29" ht="15.75" thickBot="1">
      <c r="A49" s="1795" t="s">
        <v>2287</v>
      </c>
      <c r="B49" s="1796"/>
      <c r="C49" s="1797">
        <f>R49</f>
        <v>7971</v>
      </c>
      <c r="D49" s="1798"/>
      <c r="E49" s="1798"/>
      <c r="F49" s="1798"/>
      <c r="G49" s="1798"/>
      <c r="H49" s="1798"/>
      <c r="I49" s="1798"/>
      <c r="J49" s="1798"/>
      <c r="K49" s="1799"/>
      <c r="L49" s="2996"/>
      <c r="P49" s="3453" t="str">
        <f>A49</f>
        <v>估价对象XX用房的比较价值（楼面单价，元/平方米）</v>
      </c>
      <c r="Q49" s="3454"/>
      <c r="R49" s="3455">
        <f>IF(E1="售价",ROUND(IF(D48="简单平均",AVERAGE(R48:V48),R48*F48+T48*H48+V48*J48),0),ROUND(IF(D48="简单平均",AVERAGE(R48:V48),R48*F48+T48*H48+V48*J48),1))</f>
        <v>7971</v>
      </c>
      <c r="S49" s="3455"/>
      <c r="T49" s="3455"/>
      <c r="U49" s="3455"/>
      <c r="V49" s="3455"/>
      <c r="W49" s="3455"/>
      <c r="X49" s="1787"/>
      <c r="Y49" s="1787"/>
      <c r="Z49" s="1787"/>
      <c r="AA49" s="1787"/>
      <c r="AB49" s="1787"/>
      <c r="AC49" s="1787"/>
    </row>
    <row r="50" spans="1:29">
      <c r="G50" s="3000"/>
    </row>
    <row r="52" spans="1:29" ht="13.5" customHeight="1">
      <c r="C52" s="383" t="s">
        <v>2288</v>
      </c>
      <c r="D52" s="1803"/>
      <c r="E52" s="1804">
        <f>IF(E47&lt;E48,E48/E47-1,E47/E48-1)</f>
        <v>1.0487274587543061E-2</v>
      </c>
      <c r="F52" s="1805" t="str">
        <f>IF(OR(E52&gt;=0.3,E52&lt;=-0.3),"超过30%","")</f>
        <v/>
      </c>
      <c r="G52" s="1804">
        <f>IF(G47&lt;G48,G48/G47-1,G47/G48-1)</f>
        <v>2.7898643460455563E-2</v>
      </c>
      <c r="H52" s="1805" t="str">
        <f>IF(OR(G52&gt;=0.3,G52&lt;=-0.3),"超过30%","")</f>
        <v/>
      </c>
      <c r="I52" s="1804">
        <f>IF(I47&lt;I48,I48/I47-1,I47/I48-1)</f>
        <v>4.914885447331363E-2</v>
      </c>
      <c r="J52" s="1805" t="str">
        <f>IF(OR(I52&gt;=0.3,I52&lt;=-0.3),"超过30%","")</f>
        <v/>
      </c>
    </row>
    <row r="53" spans="1:29" ht="13.5" customHeight="1">
      <c r="C53" s="383" t="s">
        <v>2289</v>
      </c>
      <c r="D53" s="1806"/>
      <c r="E53" s="1804">
        <f>IF(E48&lt;G48,G48/E48-1,E48/G48-1)</f>
        <v>1.1133862298438713E-2</v>
      </c>
      <c r="F53" s="1805" t="str">
        <f>IF(OR(E53&gt;=0.2,E53&lt;=-0.2),"超过20%","")</f>
        <v/>
      </c>
      <c r="G53" s="1804">
        <f>IF(G48&lt;I48,I48/G48-1,G48/I48-1)</f>
        <v>4.9014589198873804E-2</v>
      </c>
      <c r="H53" s="1805" t="str">
        <f>IF(OR(G53&gt;=0.2,G53&lt;=-0.2),"超过20%","")</f>
        <v/>
      </c>
      <c r="I53" s="1804">
        <f>IF(I48&lt;E48,E48/I48-1,I48/E48-1)</f>
        <v>3.7463612200987262E-2</v>
      </c>
      <c r="J53" s="1805" t="str">
        <f>IF(OR(I53&gt;=0.2,I53&lt;=-0.2),"超过20%","")</f>
        <v/>
      </c>
    </row>
    <row r="54" spans="1:29" s="1809" customFormat="1" ht="13.5" customHeight="1">
      <c r="C54" s="383" t="s">
        <v>2290</v>
      </c>
      <c r="D54" s="1806"/>
      <c r="E54" s="1804">
        <f>IF(E47&lt;G47,G47/E47-1,E47/G47-1)</f>
        <v>2.7241335209106099E-2</v>
      </c>
      <c r="F54" s="1805" t="str">
        <f>IF(OR(E54&gt;=0.3,E54&lt;=-0.3),"超过30%","")</f>
        <v/>
      </c>
      <c r="G54" s="1804">
        <f>IF(G47&lt;I47,I47/G47-1,G47/I47-1)</f>
        <v>2.8030206066811614E-2</v>
      </c>
      <c r="H54" s="1805" t="str">
        <f>IF(OR(G54&gt;=0.3,G54&lt;=-0.3),"超过30%","")</f>
        <v/>
      </c>
      <c r="I54" s="1804">
        <f>IF(I47&lt;E47,E47/I47-1,I47/E47-1)</f>
        <v>7.6795085114556016E-4</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2291</v>
      </c>
      <c r="B57" s="1787"/>
      <c r="C57" s="1813"/>
      <c r="D57" s="1813"/>
      <c r="E57" s="1813"/>
      <c r="F57" s="1813"/>
      <c r="G57" s="1813"/>
      <c r="H57" s="1813"/>
      <c r="I57" s="1813"/>
      <c r="J57" s="1813"/>
      <c r="K57" s="1814"/>
      <c r="L57" s="2998"/>
      <c r="M57" s="2999"/>
      <c r="N57" s="2999"/>
      <c r="O57" s="2999"/>
      <c r="P57" s="1816"/>
      <c r="Q57" s="1817"/>
    </row>
    <row r="58" spans="1:29" s="1823" customFormat="1" ht="15">
      <c r="A58" s="1818" t="s">
        <v>2292</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2" customFormat="1" ht="15">
      <c r="A59" s="1824"/>
      <c r="B59" s="1825"/>
      <c r="C59" s="1826">
        <v>100</v>
      </c>
      <c r="D59" s="1827">
        <v>100</v>
      </c>
      <c r="E59" s="1827">
        <v>100</v>
      </c>
      <c r="F59" s="1827">
        <f>E59-0.5</f>
        <v>99.5</v>
      </c>
      <c r="G59" s="1827">
        <f>F59</f>
        <v>99.5</v>
      </c>
      <c r="H59" s="1827">
        <f>G59</f>
        <v>99.5</v>
      </c>
      <c r="I59" s="1827">
        <f>H59-0.5</f>
        <v>99</v>
      </c>
      <c r="J59" s="1827">
        <f>I59</f>
        <v>99</v>
      </c>
      <c r="K59" s="1827">
        <f>J59</f>
        <v>99</v>
      </c>
      <c r="L59" s="1827">
        <f>K59-0.5</f>
        <v>98.5</v>
      </c>
      <c r="M59" s="1828">
        <f>L59</f>
        <v>98.5</v>
      </c>
      <c r="N59" s="1827">
        <f>M59</f>
        <v>98.5</v>
      </c>
      <c r="O59" s="1828">
        <f>N59-0.5</f>
        <v>98</v>
      </c>
      <c r="P59" s="1829"/>
    </row>
    <row r="60" spans="1:29" s="1682"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2" customFormat="1" ht="15">
      <c r="A61" s="1835" t="s">
        <v>2294</v>
      </c>
      <c r="B61" s="1825"/>
      <c r="C61" s="1836" t="s">
        <v>2295</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2296</v>
      </c>
      <c r="B63" s="1843" t="s">
        <v>2262</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2266</v>
      </c>
      <c r="C67" s="1861" t="str">
        <f>C68&amp;"（含）"&amp;"-"&amp;D68</f>
        <v>0（含）-1</v>
      </c>
      <c r="D67" s="1861" t="str">
        <f t="shared" ref="D67:L67" si="18">D68&amp;"（含）"&amp;"-"&amp;E68</f>
        <v>1（含）-2</v>
      </c>
      <c r="E67" s="1861" t="str">
        <f t="shared" si="18"/>
        <v>2（含）-3</v>
      </c>
      <c r="F67" s="1861" t="str">
        <f t="shared" si="18"/>
        <v>3（含）-4</v>
      </c>
      <c r="G67" s="1861" t="str">
        <f t="shared" si="18"/>
        <v>4（含）-5</v>
      </c>
      <c r="H67" s="1861" t="str">
        <f t="shared" si="18"/>
        <v>5（含）-</v>
      </c>
      <c r="I67" s="1861" t="str">
        <f t="shared" si="18"/>
        <v>（含）-</v>
      </c>
      <c r="J67" s="1861" t="str">
        <f t="shared" si="18"/>
        <v>（含）-</v>
      </c>
      <c r="K67" s="1861" t="str">
        <f t="shared" si="18"/>
        <v>（含）-</v>
      </c>
      <c r="L67" s="1861" t="str">
        <f t="shared" si="18"/>
        <v>（含）-</v>
      </c>
      <c r="M67" s="1728" t="str">
        <f>M68&amp;"（含）"&amp;"-"&amp;P68</f>
        <v>（含）-</v>
      </c>
      <c r="N67" s="1853"/>
      <c r="O67" s="1853"/>
      <c r="P67" s="1848"/>
      <c r="Q67" s="1817"/>
    </row>
    <row r="68" spans="1:17" ht="15">
      <c r="A68" s="1849"/>
      <c r="B68" s="1862"/>
      <c r="C68" s="1863">
        <v>0</v>
      </c>
      <c r="D68" s="1863">
        <v>1</v>
      </c>
      <c r="E68" s="1863">
        <v>2</v>
      </c>
      <c r="F68" s="1863">
        <v>3</v>
      </c>
      <c r="G68" s="1863">
        <v>4</v>
      </c>
      <c r="H68" s="1863">
        <v>5</v>
      </c>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7"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7" customFormat="1" ht="15.75" thickBot="1">
      <c r="A71" s="1865"/>
      <c r="B71" s="1857"/>
      <c r="C71" s="1870"/>
      <c r="D71" s="1851"/>
      <c r="E71" s="1851"/>
      <c r="F71" s="1851"/>
      <c r="G71" s="1851"/>
      <c r="H71" s="1851"/>
      <c r="I71" s="1851"/>
      <c r="J71" s="1851"/>
      <c r="K71" s="1851"/>
      <c r="L71" s="1851"/>
      <c r="M71" s="1852"/>
      <c r="N71" s="1853"/>
      <c r="O71" s="1853"/>
      <c r="P71" s="1868"/>
      <c r="Q71" s="1869"/>
    </row>
    <row r="72" spans="1:17" s="1767"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7" customFormat="1" ht="15.75" thickBot="1">
      <c r="A73" s="1865"/>
      <c r="B73" s="1857"/>
      <c r="C73" s="1870"/>
      <c r="D73" s="1870"/>
      <c r="E73" s="1870"/>
      <c r="F73" s="1870"/>
      <c r="G73" s="1870"/>
      <c r="H73" s="1873"/>
      <c r="I73" s="1873"/>
      <c r="J73" s="1873"/>
      <c r="K73" s="1873"/>
      <c r="L73" s="1873"/>
      <c r="M73" s="1874"/>
      <c r="N73" s="1867"/>
      <c r="O73" s="1867"/>
      <c r="P73" s="1868"/>
      <c r="Q73" s="1869"/>
    </row>
    <row r="74" spans="1:17" s="1767"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7"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1707</v>
      </c>
      <c r="C82" s="1855" t="s">
        <v>2312</v>
      </c>
      <c r="D82" s="1855" t="s">
        <v>2313</v>
      </c>
      <c r="E82" s="1855" t="s">
        <v>2314</v>
      </c>
      <c r="F82" s="1855" t="s">
        <v>2315</v>
      </c>
      <c r="G82" s="1855" t="s">
        <v>2316</v>
      </c>
      <c r="H82" s="1855"/>
      <c r="I82" s="1855"/>
      <c r="J82" s="1855"/>
      <c r="K82" s="1855"/>
      <c r="L82" s="1855"/>
      <c r="M82" s="1883"/>
      <c r="N82" s="1853"/>
      <c r="O82" s="1853"/>
      <c r="P82" s="1848"/>
      <c r="Q82" s="1817"/>
    </row>
    <row r="83" spans="1:17" ht="15.75" thickBot="1">
      <c r="A83" s="1849"/>
      <c r="B83" s="1860"/>
      <c r="C83" s="1858">
        <v>100</v>
      </c>
      <c r="D83" s="1858">
        <f>C83-$K21</f>
        <v>99</v>
      </c>
      <c r="E83" s="1858">
        <f>D83-$K21</f>
        <v>98</v>
      </c>
      <c r="F83" s="1858">
        <f>E83-$K21</f>
        <v>97</v>
      </c>
      <c r="G83" s="1858">
        <f>F83-$K21</f>
        <v>96</v>
      </c>
      <c r="H83" s="1884"/>
      <c r="I83" s="1884"/>
      <c r="J83" s="1884"/>
      <c r="K83" s="1884"/>
      <c r="L83" s="1884"/>
      <c r="M83" s="1732"/>
      <c r="N83" s="1853"/>
      <c r="O83" s="1853"/>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2318</v>
      </c>
      <c r="C86" s="3160" t="s">
        <v>2925</v>
      </c>
      <c r="D86" s="3160" t="s">
        <v>2926</v>
      </c>
      <c r="E86" s="3160" t="s">
        <v>2927</v>
      </c>
      <c r="F86" s="468"/>
      <c r="G86" s="468"/>
      <c r="H86" s="468"/>
      <c r="I86" s="468"/>
      <c r="J86" s="468"/>
      <c r="K86" s="468"/>
      <c r="L86" s="468"/>
      <c r="M86" s="1886"/>
      <c r="N86" s="1838"/>
      <c r="O86" s="1838"/>
      <c r="P86" s="1848"/>
      <c r="Q86" s="1817"/>
    </row>
    <row r="87" spans="1:17" s="1682" customFormat="1" ht="15.75" thickBot="1">
      <c r="A87" s="1885"/>
      <c r="B87" s="1857"/>
      <c r="C87" s="1887">
        <v>100</v>
      </c>
      <c r="D87" s="1858" t="e">
        <f>$C$87-($C$86-D86)*$K$25</f>
        <v>#VALUE!</v>
      </c>
      <c r="E87" s="1858" t="e">
        <f t="shared" ref="E87:M87" si="20">$C$87-($C$86-E86)*$K$25</f>
        <v>#VALUE!</v>
      </c>
      <c r="F87" s="1858" t="e">
        <f t="shared" si="20"/>
        <v>#VALUE!</v>
      </c>
      <c r="G87" s="1858" t="e">
        <f t="shared" si="20"/>
        <v>#VALUE!</v>
      </c>
      <c r="H87" s="1858" t="e">
        <f t="shared" si="20"/>
        <v>#VALUE!</v>
      </c>
      <c r="I87" s="1858" t="e">
        <f t="shared" si="20"/>
        <v>#VALUE!</v>
      </c>
      <c r="J87" s="1858" t="e">
        <f t="shared" si="20"/>
        <v>#VALUE!</v>
      </c>
      <c r="K87" s="1858" t="e">
        <f t="shared" si="20"/>
        <v>#VALUE!</v>
      </c>
      <c r="L87" s="1858" t="e">
        <f t="shared" si="20"/>
        <v>#VALUE!</v>
      </c>
      <c r="M87" s="1858" t="e">
        <f t="shared" si="20"/>
        <v>#VALUE!</v>
      </c>
      <c r="N87" s="1853"/>
      <c r="O87" s="1853"/>
      <c r="P87" s="1848"/>
      <c r="Q87" s="1817"/>
    </row>
    <row r="88" spans="1:17" s="1682" customFormat="1" ht="15.75" thickTop="1">
      <c r="A88" s="1885"/>
      <c r="B88" s="1854" t="s">
        <v>2319</v>
      </c>
      <c r="C88" s="3160" t="s">
        <v>2931</v>
      </c>
      <c r="D88" s="3160" t="s">
        <v>2932</v>
      </c>
      <c r="E88" s="468" t="s">
        <v>2930</v>
      </c>
      <c r="F88" s="1888" t="s">
        <v>2909</v>
      </c>
      <c r="G88" s="468" t="s">
        <v>2912</v>
      </c>
      <c r="H88" s="468" t="s">
        <v>2906</v>
      </c>
      <c r="I88" s="468" t="s">
        <v>2933</v>
      </c>
      <c r="J88" s="468" t="s">
        <v>2934</v>
      </c>
      <c r="K88" s="468" t="s">
        <v>2935</v>
      </c>
      <c r="L88" s="468" t="s">
        <v>2936</v>
      </c>
      <c r="M88" s="1886" t="s">
        <v>2937</v>
      </c>
      <c r="N88" s="1838"/>
      <c r="O88" s="1838"/>
      <c r="P88" s="1848"/>
      <c r="Q88" s="1817"/>
    </row>
    <row r="89" spans="1:17" s="1682" customFormat="1" ht="15.75" thickBot="1">
      <c r="A89" s="1885"/>
      <c r="B89" s="1857"/>
      <c r="C89" s="1887">
        <v>100</v>
      </c>
      <c r="D89" s="1858">
        <f t="shared" ref="D89:M89" si="21">C89-$K26</f>
        <v>99.5</v>
      </c>
      <c r="E89" s="1858">
        <f t="shared" si="21"/>
        <v>99</v>
      </c>
      <c r="F89" s="1858">
        <f t="shared" si="21"/>
        <v>98.5</v>
      </c>
      <c r="G89" s="1858">
        <f t="shared" si="21"/>
        <v>98</v>
      </c>
      <c r="H89" s="1858">
        <f t="shared" si="21"/>
        <v>97.5</v>
      </c>
      <c r="I89" s="1858">
        <f t="shared" si="21"/>
        <v>97</v>
      </c>
      <c r="J89" s="1858">
        <f t="shared" si="21"/>
        <v>96.5</v>
      </c>
      <c r="K89" s="1858">
        <f t="shared" si="21"/>
        <v>96</v>
      </c>
      <c r="L89" s="1858">
        <f t="shared" si="21"/>
        <v>95.5</v>
      </c>
      <c r="M89" s="1858">
        <f t="shared" si="21"/>
        <v>95</v>
      </c>
      <c r="N89" s="1853"/>
      <c r="O89" s="1853"/>
      <c r="P89" s="1848"/>
      <c r="Q89" s="1817"/>
    </row>
    <row r="90" spans="1:17" s="1767" customFormat="1" ht="15.75" thickTop="1">
      <c r="A90" s="1865"/>
      <c r="B90" s="1854" t="str">
        <f>B27</f>
        <v>楼层</v>
      </c>
      <c r="C90" s="3160" t="s">
        <v>2922</v>
      </c>
      <c r="D90" s="3160" t="s">
        <v>2923</v>
      </c>
      <c r="E90" s="3160" t="s">
        <v>2924</v>
      </c>
      <c r="F90" s="468"/>
      <c r="G90" s="468"/>
      <c r="H90" s="443"/>
      <c r="I90" s="443"/>
      <c r="J90" s="443"/>
      <c r="K90" s="443"/>
      <c r="L90" s="443"/>
      <c r="M90" s="1866"/>
      <c r="N90" s="1867"/>
      <c r="O90" s="1867"/>
      <c r="P90" s="1868"/>
      <c r="Q90" s="1869"/>
    </row>
    <row r="91" spans="1:17" s="1767" customFormat="1" ht="15.75" thickBot="1">
      <c r="A91" s="1865"/>
      <c r="B91" s="1857"/>
      <c r="C91" s="1870">
        <v>100</v>
      </c>
      <c r="D91" s="1870">
        <v>98</v>
      </c>
      <c r="E91" s="1870">
        <v>96</v>
      </c>
      <c r="F91" s="1870"/>
      <c r="G91" s="1870"/>
      <c r="H91" s="1873"/>
      <c r="I91" s="1873"/>
      <c r="J91" s="1873"/>
      <c r="K91" s="1873"/>
      <c r="L91" s="1873"/>
      <c r="M91" s="1874"/>
      <c r="N91" s="1867"/>
      <c r="O91" s="1867"/>
      <c r="P91" s="1868"/>
      <c r="Q91" s="1869"/>
    </row>
    <row r="92" spans="1:17" ht="15.75" thickTop="1">
      <c r="A92" s="1849"/>
      <c r="B92" s="1854">
        <f>B28</f>
        <v>111</v>
      </c>
      <c r="C92" s="468"/>
      <c r="D92" s="468"/>
      <c r="E92" s="468"/>
      <c r="F92" s="468"/>
      <c r="G92" s="1575"/>
      <c r="H92" s="1575"/>
      <c r="I92" s="1575"/>
      <c r="J92" s="1575"/>
      <c r="K92" s="473"/>
      <c r="L92" s="473"/>
      <c r="M92" s="1889"/>
      <c r="N92" s="1847"/>
      <c r="O92" s="1847"/>
      <c r="P92" s="1848"/>
      <c r="Q92" s="1817"/>
    </row>
    <row r="93" spans="1:17" ht="15.75" thickBot="1">
      <c r="A93" s="1849"/>
      <c r="B93" s="1857"/>
      <c r="C93" s="1870"/>
      <c r="D93" s="1851"/>
      <c r="E93" s="1851"/>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2271</v>
      </c>
      <c r="B100" s="1843" t="s">
        <v>2320</v>
      </c>
      <c r="C100" s="3162" t="s">
        <v>2938</v>
      </c>
      <c r="D100" s="3162" t="s">
        <v>2939</v>
      </c>
      <c r="E100" s="3162" t="s">
        <v>2940</v>
      </c>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2321</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300(含)-400</v>
      </c>
      <c r="I102" s="579" t="str">
        <f t="shared" si="23"/>
        <v>400(含)-500</v>
      </c>
      <c r="J102" s="579" t="str">
        <f t="shared" si="23"/>
        <v>500(含)-</v>
      </c>
      <c r="K102" s="579" t="str">
        <f t="shared" si="23"/>
        <v>(含)-</v>
      </c>
      <c r="L102" s="579" t="str">
        <f t="shared" si="23"/>
        <v>(含)-</v>
      </c>
      <c r="M102" s="579" t="str">
        <f>M103&amp;"(含)"&amp;"-"&amp;P103</f>
        <v>(含)-</v>
      </c>
      <c r="N102" s="1838"/>
      <c r="O102" s="1838"/>
      <c r="P102" s="1848"/>
      <c r="Q102" s="1817"/>
    </row>
    <row r="103" spans="1:17" s="1767" customFormat="1">
      <c r="A103" s="1895"/>
      <c r="B103" s="1896"/>
      <c r="C103" s="1897">
        <v>0</v>
      </c>
      <c r="D103" s="1897">
        <v>50</v>
      </c>
      <c r="E103" s="1897">
        <v>100</v>
      </c>
      <c r="F103" s="1897">
        <v>150</v>
      </c>
      <c r="G103" s="1897">
        <v>200</v>
      </c>
      <c r="H103" s="1897">
        <v>300</v>
      </c>
      <c r="I103" s="1897">
        <v>400</v>
      </c>
      <c r="J103" s="485">
        <v>500</v>
      </c>
      <c r="K103" s="485"/>
      <c r="L103" s="485"/>
      <c r="M103" s="1898"/>
      <c r="N103" s="1867"/>
      <c r="O103" s="1867"/>
      <c r="P103" s="1868"/>
      <c r="Q103" s="1869"/>
    </row>
    <row r="104" spans="1:17" s="1767" customFormat="1" ht="15.75" thickBot="1">
      <c r="A104" s="1865"/>
      <c r="B104" s="1857"/>
      <c r="C104" s="1870">
        <v>100</v>
      </c>
      <c r="D104" s="1851">
        <f>C104-2</f>
        <v>98</v>
      </c>
      <c r="E104" s="1851">
        <f t="shared" ref="E104:I104" si="24">D104-2</f>
        <v>96</v>
      </c>
      <c r="F104" s="1851">
        <f t="shared" si="24"/>
        <v>94</v>
      </c>
      <c r="G104" s="1851">
        <f t="shared" si="24"/>
        <v>92</v>
      </c>
      <c r="H104" s="1851">
        <f t="shared" si="24"/>
        <v>90</v>
      </c>
      <c r="I104" s="1851">
        <f t="shared" si="24"/>
        <v>88</v>
      </c>
      <c r="J104" s="1851"/>
      <c r="K104" s="1851"/>
      <c r="L104" s="1851"/>
      <c r="M104" s="1851"/>
      <c r="N104" s="1853"/>
      <c r="O104" s="1853"/>
      <c r="P104" s="1868"/>
      <c r="Q104" s="1869"/>
    </row>
    <row r="105" spans="1:17" ht="15" thickTop="1">
      <c r="A105" s="1899"/>
      <c r="B105" s="1854" t="s">
        <v>2322</v>
      </c>
      <c r="C105" s="3160" t="s">
        <v>2942</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5">C106-$K34</f>
        <v>95</v>
      </c>
      <c r="E106" s="1858">
        <f t="shared" si="25"/>
        <v>90</v>
      </c>
      <c r="F106" s="1858">
        <f t="shared" si="25"/>
        <v>85</v>
      </c>
      <c r="G106" s="1858">
        <f t="shared" si="25"/>
        <v>80</v>
      </c>
      <c r="H106" s="1858">
        <f t="shared" si="25"/>
        <v>75</v>
      </c>
      <c r="I106" s="1858">
        <f t="shared" si="25"/>
        <v>70</v>
      </c>
      <c r="J106" s="1858">
        <f t="shared" si="25"/>
        <v>65</v>
      </c>
      <c r="K106" s="1858">
        <f t="shared" si="25"/>
        <v>60</v>
      </c>
      <c r="L106" s="1858">
        <f t="shared" si="25"/>
        <v>55</v>
      </c>
      <c r="M106" s="1858">
        <f t="shared" si="25"/>
        <v>50</v>
      </c>
      <c r="N106" s="1853"/>
      <c r="O106" s="1853"/>
      <c r="P106" s="1848"/>
      <c r="Q106" s="1817"/>
    </row>
    <row r="107" spans="1:17" ht="15" thickTop="1">
      <c r="A107" s="1899"/>
      <c r="B107" s="1854" t="s">
        <v>2323</v>
      </c>
      <c r="C107" s="3163" t="s">
        <v>2943</v>
      </c>
      <c r="D107" s="3163" t="s">
        <v>2945</v>
      </c>
      <c r="E107" s="3163" t="s">
        <v>2946</v>
      </c>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6">C108-$K35</f>
        <v>95</v>
      </c>
      <c r="E108" s="1858">
        <f t="shared" si="26"/>
        <v>90</v>
      </c>
      <c r="F108" s="1858">
        <f t="shared" si="26"/>
        <v>85</v>
      </c>
      <c r="G108" s="1858">
        <f t="shared" si="26"/>
        <v>80</v>
      </c>
      <c r="H108" s="1858">
        <f t="shared" si="26"/>
        <v>75</v>
      </c>
      <c r="I108" s="1858">
        <f t="shared" si="26"/>
        <v>70</v>
      </c>
      <c r="J108" s="1858">
        <f t="shared" si="26"/>
        <v>65</v>
      </c>
      <c r="K108" s="1858">
        <f t="shared" si="26"/>
        <v>60</v>
      </c>
      <c r="L108" s="1858">
        <f t="shared" si="26"/>
        <v>55</v>
      </c>
      <c r="M108" s="1858">
        <f t="shared" si="26"/>
        <v>50</v>
      </c>
      <c r="N108" s="1853"/>
      <c r="O108" s="1853"/>
      <c r="P108" s="1848"/>
      <c r="Q108" s="1817"/>
    </row>
    <row r="109" spans="1:17" ht="15" thickTop="1">
      <c r="A109" s="1899"/>
      <c r="B109" s="1854" t="s">
        <v>2324</v>
      </c>
      <c r="C109" s="3160" t="s">
        <v>2947</v>
      </c>
      <c r="D109" s="3160" t="s">
        <v>2949</v>
      </c>
      <c r="E109" s="3160" t="s">
        <v>2950</v>
      </c>
      <c r="F109" s="1575"/>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7" customFormat="1" ht="15" thickTop="1">
      <c r="A111" s="1895"/>
      <c r="B111" s="1854"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7"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7"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2326</v>
      </c>
      <c r="C114" s="3160" t="s">
        <v>2951</v>
      </c>
      <c r="D114" s="3160" t="s">
        <v>2953</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8">C115-$K38</f>
        <v>98</v>
      </c>
      <c r="E115" s="1858">
        <f t="shared" si="28"/>
        <v>96</v>
      </c>
      <c r="F115" s="1858">
        <f t="shared" si="28"/>
        <v>94</v>
      </c>
      <c r="G115" s="1858">
        <f t="shared" si="28"/>
        <v>92</v>
      </c>
      <c r="H115" s="1858">
        <f t="shared" si="28"/>
        <v>90</v>
      </c>
      <c r="I115" s="1858">
        <f t="shared" si="28"/>
        <v>88</v>
      </c>
      <c r="J115" s="1858">
        <f t="shared" si="28"/>
        <v>86</v>
      </c>
      <c r="K115" s="1858">
        <f t="shared" si="28"/>
        <v>84</v>
      </c>
      <c r="L115" s="1858">
        <f t="shared" si="28"/>
        <v>82</v>
      </c>
      <c r="M115" s="1858">
        <f t="shared" si="28"/>
        <v>80</v>
      </c>
      <c r="N115" s="1853"/>
      <c r="O115" s="1853"/>
      <c r="P115" s="1848"/>
      <c r="Q115" s="1817"/>
    </row>
    <row r="116" spans="1:17" ht="15" thickTop="1">
      <c r="A116" s="1899"/>
      <c r="B116" s="1854" t="s">
        <v>2327</v>
      </c>
      <c r="C116" s="468" t="str">
        <f>C82</f>
        <v>七通</v>
      </c>
      <c r="D116" s="468" t="str">
        <f>D82</f>
        <v>六通</v>
      </c>
      <c r="E116" s="468" t="str">
        <f>E82</f>
        <v>五通</v>
      </c>
      <c r="F116" s="468" t="str">
        <f>F82</f>
        <v>四通</v>
      </c>
      <c r="G116" s="468" t="str">
        <f>G82</f>
        <v>三通</v>
      </c>
      <c r="H116" s="1575"/>
      <c r="I116" s="1575"/>
      <c r="J116" s="1575"/>
      <c r="K116" s="473"/>
      <c r="L116" s="473"/>
      <c r="M116" s="1889"/>
      <c r="N116" s="1847"/>
      <c r="O116" s="1847"/>
      <c r="P116" s="1848"/>
      <c r="Q116" s="1817"/>
    </row>
    <row r="117" spans="1:17" ht="15.75" thickBot="1">
      <c r="A117" s="1849"/>
      <c r="B117" s="1857"/>
      <c r="C117" s="1858">
        <v>100</v>
      </c>
      <c r="D117" s="1858">
        <f>C117-$K39</f>
        <v>99</v>
      </c>
      <c r="E117" s="1858">
        <f>D117-$K39</f>
        <v>98</v>
      </c>
      <c r="F117" s="1858">
        <f>E117-$K39</f>
        <v>97</v>
      </c>
      <c r="G117" s="1858">
        <f>F117-$K39</f>
        <v>96</v>
      </c>
      <c r="H117" s="1858"/>
      <c r="I117" s="1858"/>
      <c r="J117" s="1858"/>
      <c r="K117" s="1858"/>
      <c r="L117" s="1858"/>
      <c r="M117" s="1859"/>
      <c r="N117" s="1853"/>
      <c r="O117" s="1853"/>
      <c r="P117" s="1848"/>
      <c r="Q117" s="1817"/>
    </row>
    <row r="118" spans="1:17" ht="15" thickTop="1">
      <c r="A118" s="1899"/>
      <c r="B118" s="1854" t="s">
        <v>2328</v>
      </c>
      <c r="C118" s="3163" t="s">
        <v>2955</v>
      </c>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9">C119-$K40</f>
        <v>95</v>
      </c>
      <c r="E119" s="1858">
        <f t="shared" si="29"/>
        <v>90</v>
      </c>
      <c r="F119" s="1858">
        <f t="shared" si="29"/>
        <v>85</v>
      </c>
      <c r="G119" s="1858">
        <f t="shared" si="29"/>
        <v>80</v>
      </c>
      <c r="H119" s="1858">
        <f t="shared" si="29"/>
        <v>75</v>
      </c>
      <c r="I119" s="1858">
        <f t="shared" si="29"/>
        <v>70</v>
      </c>
      <c r="J119" s="1858">
        <f t="shared" si="29"/>
        <v>65</v>
      </c>
      <c r="K119" s="1858">
        <f t="shared" si="29"/>
        <v>60</v>
      </c>
      <c r="L119" s="1858">
        <f t="shared" si="29"/>
        <v>55</v>
      </c>
      <c r="M119" s="1858">
        <f t="shared" si="29"/>
        <v>50</v>
      </c>
      <c r="N119" s="1853"/>
      <c r="O119" s="1853"/>
      <c r="P119" s="1848"/>
      <c r="Q119" s="1817"/>
    </row>
    <row r="120" spans="1:17" s="1767" customFormat="1" ht="28.5" thickTop="1">
      <c r="A120" s="1895"/>
      <c r="B120" s="1854" t="s">
        <v>2282</v>
      </c>
      <c r="C120" s="468"/>
      <c r="D120" s="468"/>
      <c r="E120" s="468"/>
      <c r="F120" s="468"/>
      <c r="G120" s="468"/>
      <c r="H120" s="468"/>
      <c r="I120" s="468"/>
      <c r="J120" s="468"/>
      <c r="K120" s="468"/>
      <c r="L120" s="468"/>
      <c r="M120" s="1886"/>
      <c r="N120" s="1867"/>
      <c r="O120" s="1867"/>
      <c r="P120" s="1868"/>
      <c r="Q120" s="1869"/>
    </row>
    <row r="121" spans="1:17" s="1767"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2329</v>
      </c>
      <c r="C122" s="468" t="str">
        <f>C109</f>
        <v>精装修</v>
      </c>
      <c r="D122" s="468" t="str">
        <f>D109</f>
        <v>普通装修</v>
      </c>
      <c r="E122" s="468" t="str">
        <f>E109</f>
        <v>简单装修</v>
      </c>
      <c r="F122" s="1575"/>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7"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2331</v>
      </c>
    </row>
    <row r="137" spans="1:17" ht="15">
      <c r="B137" s="1907" t="s">
        <v>2332</v>
      </c>
      <c r="C137" s="1908"/>
      <c r="D137" s="1908"/>
      <c r="E137" s="1908"/>
      <c r="F137" s="1908"/>
      <c r="G137" s="1909"/>
      <c r="H137" s="1910"/>
      <c r="I137" s="1911" t="s">
        <v>2333</v>
      </c>
      <c r="J137" s="1908"/>
      <c r="K137" s="1912"/>
    </row>
    <row r="138" spans="1:17" ht="15">
      <c r="B138" s="1913"/>
      <c r="C138" s="1914" t="s">
        <v>2334</v>
      </c>
      <c r="D138" s="1914" t="s">
        <v>2335</v>
      </c>
      <c r="E138" s="1915" t="s">
        <v>2336</v>
      </c>
      <c r="F138" s="1916" t="s">
        <v>2337</v>
      </c>
      <c r="G138" s="1914" t="s">
        <v>2335</v>
      </c>
      <c r="H138" s="1917" t="s">
        <v>2336</v>
      </c>
      <c r="I138" s="1918"/>
      <c r="J138" s="1914" t="s">
        <v>2338</v>
      </c>
      <c r="K138" s="1917" t="s">
        <v>2339</v>
      </c>
    </row>
    <row r="139" spans="1:17" ht="15">
      <c r="B139" s="1919">
        <v>6</v>
      </c>
      <c r="C139" s="1920">
        <v>96</v>
      </c>
      <c r="D139" s="1921" t="s">
        <v>2340</v>
      </c>
      <c r="E139" s="1922">
        <v>100</v>
      </c>
      <c r="F139" s="1923">
        <v>102.5</v>
      </c>
      <c r="G139" s="1921" t="s">
        <v>2340</v>
      </c>
      <c r="H139" s="1924">
        <v>105</v>
      </c>
      <c r="I139" s="1925" t="s">
        <v>2341</v>
      </c>
      <c r="J139" s="1920">
        <v>20</v>
      </c>
      <c r="K139" s="1926">
        <f>C145/(J139-2)</f>
        <v>4.0555555555555553E-3</v>
      </c>
    </row>
    <row r="140" spans="1:17" ht="15">
      <c r="B140" s="1927">
        <v>5</v>
      </c>
      <c r="C140" s="1928">
        <v>100</v>
      </c>
      <c r="D140" s="1928"/>
      <c r="E140" s="1929"/>
      <c r="F140" s="1930">
        <v>102</v>
      </c>
      <c r="G140" s="1928"/>
      <c r="H140" s="1931"/>
      <c r="I140" s="1932" t="s">
        <v>2342</v>
      </c>
      <c r="J140" s="1933">
        <f>ROUNDUP((J139-1)/2,0)</f>
        <v>10</v>
      </c>
      <c r="K140" s="1934">
        <v>100</v>
      </c>
    </row>
    <row r="141" spans="1:17" ht="15">
      <c r="B141" s="1927">
        <v>4</v>
      </c>
      <c r="C141" s="1928">
        <v>102</v>
      </c>
      <c r="D141" s="1928"/>
      <c r="E141" s="1929"/>
      <c r="F141" s="1930">
        <v>101.5</v>
      </c>
      <c r="G141" s="1928"/>
      <c r="H141" s="1931"/>
      <c r="I141" s="1932" t="s">
        <v>2343</v>
      </c>
      <c r="J141" s="1933">
        <v>1</v>
      </c>
      <c r="K141" s="1935">
        <f>ROUND(100+(J141-J140)*K139*100,1)</f>
        <v>96.4</v>
      </c>
    </row>
    <row r="142" spans="1:17" ht="15">
      <c r="B142" s="1927">
        <v>3</v>
      </c>
      <c r="C142" s="1928">
        <v>103</v>
      </c>
      <c r="D142" s="1928"/>
      <c r="E142" s="1929"/>
      <c r="F142" s="1930">
        <v>101</v>
      </c>
      <c r="G142" s="1928"/>
      <c r="H142" s="1931"/>
      <c r="I142" s="1932" t="s">
        <v>2344</v>
      </c>
      <c r="J142" s="1933">
        <f>J139</f>
        <v>20</v>
      </c>
      <c r="K142" s="1936">
        <v>95</v>
      </c>
    </row>
    <row r="143" spans="1:17" ht="15">
      <c r="B143" s="1927">
        <v>2</v>
      </c>
      <c r="C143" s="1928">
        <v>100</v>
      </c>
      <c r="D143" s="1928"/>
      <c r="E143" s="1929"/>
      <c r="F143" s="1930">
        <v>100.5</v>
      </c>
      <c r="G143" s="1928"/>
      <c r="H143" s="1931"/>
      <c r="I143" s="1932" t="s">
        <v>2345</v>
      </c>
      <c r="J143" s="1928">
        <v>15</v>
      </c>
      <c r="K143" s="1935">
        <f>ROUND(100+(J143-J140)*K139*100,1)</f>
        <v>102</v>
      </c>
    </row>
    <row r="144" spans="1:17" ht="15">
      <c r="B144" s="1927">
        <v>1</v>
      </c>
      <c r="C144" s="1928">
        <v>98</v>
      </c>
      <c r="D144" s="1419" t="s">
        <v>2346</v>
      </c>
      <c r="E144" s="1929">
        <v>102</v>
      </c>
      <c r="F144" s="1937">
        <v>100</v>
      </c>
      <c r="G144" s="1419" t="s">
        <v>2346</v>
      </c>
      <c r="H144" s="1931">
        <v>105</v>
      </c>
      <c r="I144" s="1932" t="s">
        <v>2345</v>
      </c>
      <c r="J144" s="1928">
        <v>18</v>
      </c>
      <c r="K144" s="1935">
        <f>ROUND(100+(J144-J140)*K139*100,1)</f>
        <v>103.2</v>
      </c>
    </row>
    <row r="145" spans="2:11" ht="15.75" thickBot="1">
      <c r="B145" s="1938" t="s">
        <v>2347</v>
      </c>
      <c r="C145" s="1939">
        <f>ROUND(MAX(C139:C144)/MIN(C139:C144)-1,3)</f>
        <v>7.2999999999999995E-2</v>
      </c>
      <c r="D145" s="1940"/>
      <c r="E145" s="1940"/>
      <c r="F145" s="1571" t="s">
        <v>2348</v>
      </c>
      <c r="G145" s="1941"/>
      <c r="H145" s="1942"/>
      <c r="I145" s="1943" t="s">
        <v>2345</v>
      </c>
      <c r="J145" s="1944">
        <v>8</v>
      </c>
      <c r="K145" s="1945">
        <f>ROUND(100+(J145-J140)*K139*100,1)</f>
        <v>99.2</v>
      </c>
    </row>
    <row r="147" spans="2:11">
      <c r="B147" s="1570" t="s">
        <v>2349</v>
      </c>
    </row>
    <row r="148" spans="2:11">
      <c r="B148" s="1570" t="s">
        <v>2350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8" t="str">
        <f>项目基本情况!B1</f>
        <v>吉林省长春市房地产市场价值预评估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9" t="str">
        <f>项目基本情况!B4</f>
        <v>中谷集团上海粮油有限公司</v>
      </c>
      <c r="C12" s="812"/>
    </row>
    <row r="13" spans="1:7">
      <c r="A13" s="902"/>
      <c r="B13" s="832"/>
      <c r="C13" s="812"/>
    </row>
    <row r="14" spans="1:7">
      <c r="A14" s="905" t="s">
        <v>940</v>
      </c>
      <c r="B14" s="904" t="s">
        <v>942</v>
      </c>
      <c r="C14" s="812"/>
    </row>
    <row r="15" spans="1:7">
      <c r="A15" s="902"/>
      <c r="B15" s="1339" t="s">
        <v>771</v>
      </c>
      <c r="C15" s="812"/>
    </row>
    <row r="16" spans="1:7">
      <c r="A16" s="902"/>
      <c r="B16" s="832"/>
      <c r="C16" s="812"/>
    </row>
    <row r="17" spans="1:5">
      <c r="A17" s="905" t="s">
        <v>940</v>
      </c>
      <c r="B17" s="904" t="s">
        <v>943</v>
      </c>
      <c r="C17" s="812"/>
    </row>
    <row r="18" spans="1:5" s="816" customFormat="1">
      <c r="A18" s="903"/>
      <c r="B18" s="1339" t="str">
        <f ca="1">CONCATENATE(项目基本情况!B3,"（注册号:",项目基本情况!C3,"）、",项目基本情况!D3,"（注册号:",项目基本情况!E3,")")</f>
        <v>崔锴（注册号:1120100036）、郑燚（注册号:1120070131)</v>
      </c>
      <c r="C18" s="815"/>
      <c r="E18" s="815"/>
    </row>
    <row r="19" spans="1:5">
      <c r="A19" s="902"/>
      <c r="B19" s="832"/>
      <c r="C19" s="812"/>
    </row>
    <row r="20" spans="1:5">
      <c r="A20" s="905" t="s">
        <v>940</v>
      </c>
      <c r="B20" s="904" t="s">
        <v>944</v>
      </c>
      <c r="C20" s="812"/>
    </row>
    <row r="21" spans="1:5">
      <c r="A21" s="902"/>
      <c r="B21" s="133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90" zoomScaleNormal="60" zoomScaleSheetLayoutView="90" workbookViewId="0">
      <selection activeCell="K38" sqref="K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2" t="s">
        <v>2963</v>
      </c>
      <c r="E1" s="1623" t="s">
        <v>1241</v>
      </c>
      <c r="F1" s="1624"/>
      <c r="G1" s="1625" t="e">
        <f>MATCH(C1,'数据-取费表'!A19:A19,0)+5</f>
        <v>#N/A</v>
      </c>
      <c r="H1" s="2980"/>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439544</v>
      </c>
      <c r="C2" s="1516" t="str">
        <f>'数据-取费表'!B3</f>
        <v>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5338</v>
      </c>
      <c r="C3" s="1516"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27034</v>
      </c>
      <c r="D5" s="1630" t="s">
        <v>2721</v>
      </c>
      <c r="E5" s="926"/>
      <c r="F5" s="1055"/>
      <c r="G5" s="950"/>
      <c r="H5" s="232">
        <v>1</v>
      </c>
      <c r="I5" s="233" t="s">
        <v>2012</v>
      </c>
      <c r="J5" s="234">
        <f ca="1">J6+J10+J12</f>
        <v>0</v>
      </c>
      <c r="K5" s="1517" t="s">
        <v>2013</v>
      </c>
      <c r="L5" s="926"/>
      <c r="M5" s="1055"/>
    </row>
    <row r="6" spans="1:37" ht="18" customHeight="1">
      <c r="A6" s="1056" t="s">
        <v>2014</v>
      </c>
      <c r="B6" s="1439" t="s">
        <v>2015</v>
      </c>
      <c r="C6" s="234">
        <f>ROUND(F6*F8*F7*(1-F9),0)</f>
        <v>27000</v>
      </c>
      <c r="D6" s="36" t="s">
        <v>2698</v>
      </c>
      <c r="E6" s="235" t="s">
        <v>2016</v>
      </c>
      <c r="F6" s="236">
        <f>'数据-取费表'!B30</f>
        <v>2500</v>
      </c>
      <c r="G6" s="950"/>
      <c r="H6" s="1056" t="s">
        <v>2014</v>
      </c>
      <c r="I6" s="1439" t="s">
        <v>2015</v>
      </c>
      <c r="J6" s="234">
        <f>ROUND(M6*M8*M7*(1-M9),0)</f>
        <v>0</v>
      </c>
      <c r="K6" s="36" t="s">
        <v>2698</v>
      </c>
      <c r="L6" s="235" t="s">
        <v>2016</v>
      </c>
      <c r="M6" s="236">
        <f>'数据-取费表'!B37</f>
        <v>0</v>
      </c>
    </row>
    <row r="7" spans="1:37" ht="18" customHeight="1">
      <c r="A7" s="1118"/>
      <c r="B7" s="238"/>
      <c r="C7" s="239"/>
      <c r="D7" s="240"/>
      <c r="E7" s="235" t="s">
        <v>2017</v>
      </c>
      <c r="F7" s="236">
        <f>IF('数据-取费表'!B42="",IF(D1="仅计算典型户型",'数据-取费表'!E5,'数据-取费表'!B5),'数据-取费表'!B42)</f>
        <v>1</v>
      </c>
      <c r="G7" s="950"/>
      <c r="H7" s="237"/>
      <c r="I7" s="238"/>
      <c r="J7" s="239"/>
      <c r="K7" s="240"/>
      <c r="L7" s="235" t="s">
        <v>2017</v>
      </c>
      <c r="M7" s="236">
        <f>IF('数据-取费表'!B42="",IF(D1="仅计算典型户型",'数据-取费表'!E5,'数据-取费表'!B5),'数据-取费表'!B42)</f>
        <v>1</v>
      </c>
    </row>
    <row r="8" spans="1:37" ht="18" customHeight="1">
      <c r="A8" s="1118"/>
      <c r="B8" s="238"/>
      <c r="C8" s="239"/>
      <c r="D8" s="240"/>
      <c r="E8" s="235" t="s">
        <v>2018</v>
      </c>
      <c r="F8" s="236">
        <f>'数据-取费表'!B43</f>
        <v>12</v>
      </c>
      <c r="G8" s="950"/>
      <c r="H8" s="237"/>
      <c r="I8" s="238"/>
      <c r="J8" s="239"/>
      <c r="K8" s="240"/>
      <c r="L8" s="235" t="s">
        <v>2019</v>
      </c>
      <c r="M8" s="236">
        <f>'数据-取费表'!B43</f>
        <v>12</v>
      </c>
    </row>
    <row r="9" spans="1:37" ht="18" customHeight="1">
      <c r="A9" s="1118"/>
      <c r="B9" s="238"/>
      <c r="C9" s="239"/>
      <c r="D9" s="244"/>
      <c r="E9" s="235" t="s">
        <v>2020</v>
      </c>
      <c r="F9" s="245">
        <f>'数据-取费表'!B33</f>
        <v>0.1</v>
      </c>
      <c r="G9" s="950"/>
      <c r="H9" s="237"/>
      <c r="I9" s="238"/>
      <c r="J9" s="1058"/>
      <c r="K9" s="43"/>
      <c r="L9" s="246" t="s">
        <v>2020</v>
      </c>
      <c r="M9" s="245">
        <f>'数据-取费表'!B39</f>
        <v>0</v>
      </c>
    </row>
    <row r="10" spans="1:37" ht="18" customHeight="1">
      <c r="A10" s="1056" t="s">
        <v>2021</v>
      </c>
      <c r="B10" s="1518" t="s">
        <v>2022</v>
      </c>
      <c r="C10" s="1057">
        <f ca="1">ROUND(IF(F10="押一",C6/12*F11,IF(F10="押二",C6/12*2*F11,IF(F10="押三",C6/12*3*F11,C11*F11))),0)</f>
        <v>34</v>
      </c>
      <c r="D10" s="1519" t="s">
        <v>2704</v>
      </c>
      <c r="E10" s="246" t="s">
        <v>2023</v>
      </c>
      <c r="F10" s="1520" t="s">
        <v>2024</v>
      </c>
      <c r="G10" s="950"/>
      <c r="H10" s="1056" t="s">
        <v>2021</v>
      </c>
      <c r="I10" s="1518" t="s">
        <v>2022</v>
      </c>
      <c r="J10" s="1057">
        <f ca="1">ROUND(IF(M10="押一",J6/12*M11,IF(M10="押二",J6/12*2*M11,IF(M10="押三",J6/12*3*M11,J11*M11))),0)</f>
        <v>0</v>
      </c>
      <c r="K10" s="36" t="s">
        <v>2704</v>
      </c>
      <c r="L10" s="246" t="s">
        <v>2023</v>
      </c>
      <c r="M10" s="1520"/>
    </row>
    <row r="11" spans="1:37" s="257" customFormat="1" ht="18" customHeight="1">
      <c r="A11" s="263"/>
      <c r="B11" s="1521" t="s">
        <v>2025</v>
      </c>
      <c r="C11" s="1090"/>
      <c r="D11" s="240"/>
      <c r="E11" s="246" t="s">
        <v>2026</v>
      </c>
      <c r="F11" s="247">
        <f ca="1">'数据-取费表'!B31</f>
        <v>1.4999999999999999E-2</v>
      </c>
      <c r="G11" s="951"/>
      <c r="H11" s="241"/>
      <c r="I11" s="1521" t="s">
        <v>2027</v>
      </c>
      <c r="J11" s="1090"/>
      <c r="K11" s="240"/>
      <c r="L11" s="246" t="s">
        <v>2026</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5" t="s">
        <v>2028</v>
      </c>
      <c r="B12" s="1522" t="s">
        <v>2029</v>
      </c>
      <c r="C12" s="1096"/>
      <c r="D12" s="1523"/>
      <c r="E12" s="1102"/>
      <c r="F12" s="1097"/>
      <c r="G12" s="950"/>
      <c r="H12" s="1095" t="s">
        <v>2028</v>
      </c>
      <c r="I12" s="1522" t="s">
        <v>2029</v>
      </c>
      <c r="J12" s="1096"/>
      <c r="K12" s="1112"/>
      <c r="L12" s="1102"/>
      <c r="M12" s="1113"/>
    </row>
    <row r="13" spans="1:37" s="257" customFormat="1" ht="18" customHeight="1" thickTop="1">
      <c r="A13" s="1091">
        <v>2</v>
      </c>
      <c r="B13" s="1092" t="s">
        <v>2030</v>
      </c>
      <c r="C13" s="243">
        <f ca="1">ROUND(C29*F13,0)</f>
        <v>328538</v>
      </c>
      <c r="D13" s="1093" t="s">
        <v>2031</v>
      </c>
      <c r="E13" s="1093" t="s">
        <v>2032</v>
      </c>
      <c r="F13" s="1094">
        <f>'数据-取费表'!E20</f>
        <v>0.77</v>
      </c>
      <c r="G13" s="951"/>
      <c r="H13" s="1091">
        <v>2</v>
      </c>
      <c r="I13" s="1092" t="s">
        <v>2030</v>
      </c>
      <c r="J13" s="1058">
        <f ca="1">ROUND(J14*J15,0)</f>
        <v>0</v>
      </c>
      <c r="K13" s="1098" t="s">
        <v>2031</v>
      </c>
      <c r="L13" s="1110"/>
      <c r="M13" s="1111"/>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288225</v>
      </c>
      <c r="D14" s="1327" t="s">
        <v>2035</v>
      </c>
      <c r="E14" s="1328"/>
      <c r="F14" s="798"/>
      <c r="G14" s="951"/>
      <c r="H14" s="253" t="s">
        <v>2014</v>
      </c>
      <c r="I14" s="235" t="s">
        <v>2036</v>
      </c>
      <c r="J14" s="13">
        <f ca="1">C29</f>
        <v>426673</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8647</v>
      </c>
      <c r="D15" s="255" t="s">
        <v>2039</v>
      </c>
      <c r="E15" s="255" t="s">
        <v>2040</v>
      </c>
      <c r="F15" s="256">
        <f>'数据-取费表'!E21</f>
        <v>0.03</v>
      </c>
      <c r="G15" s="950"/>
      <c r="H15" s="1101" t="s">
        <v>2041</v>
      </c>
      <c r="I15" s="1102" t="s">
        <v>2042</v>
      </c>
      <c r="J15" s="1114">
        <f>'数据-取费表'!B40</f>
        <v>0</v>
      </c>
      <c r="K15" s="1115"/>
      <c r="L15" s="1116"/>
      <c r="M15" s="1117"/>
    </row>
    <row r="16" spans="1:37" s="257" customFormat="1" ht="18" customHeight="1" thickTop="1">
      <c r="A16" s="253" t="s">
        <v>2043</v>
      </c>
      <c r="B16" s="235" t="s">
        <v>2044</v>
      </c>
      <c r="C16" s="13">
        <f>ROUND(C14*F16,0)</f>
        <v>5765</v>
      </c>
      <c r="D16" s="235" t="s">
        <v>2039</v>
      </c>
      <c r="E16" s="235" t="s">
        <v>2040</v>
      </c>
      <c r="F16" s="258">
        <f>IF('数据-取费表'!B10="住宅",'数据-取费表'!E22,0)</f>
        <v>0.02</v>
      </c>
      <c r="G16" s="951"/>
      <c r="H16" s="1091" t="s">
        <v>14</v>
      </c>
      <c r="I16" s="1092" t="s">
        <v>2045</v>
      </c>
      <c r="J16" s="243">
        <f ca="1">ROUND(J17+J22+J23+J24,0)</f>
        <v>9984</v>
      </c>
      <c r="K16" s="1098" t="s">
        <v>2046</v>
      </c>
      <c r="L16" s="1099"/>
      <c r="M16" s="1100"/>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16470</v>
      </c>
      <c r="D17" s="235" t="s">
        <v>2049</v>
      </c>
      <c r="E17" s="235" t="s">
        <v>2050</v>
      </c>
      <c r="F17" s="15">
        <f>'数据-取费表'!E23</f>
        <v>200</v>
      </c>
      <c r="G17" s="951"/>
      <c r="H17" s="253" t="s">
        <v>2051</v>
      </c>
      <c r="I17" s="235" t="s">
        <v>2052</v>
      </c>
      <c r="J17" s="2820">
        <f ca="1">ROUND(IF(AND(项目基本情况!B7="自然人",项目基本情况!B6="北京市"),J6*M17/(1+'数据-取费表'!F30),J18+J19+J20),0)</f>
        <v>3584</v>
      </c>
      <c r="K17" s="1327" t="s">
        <v>2053</v>
      </c>
      <c r="L17" s="1330" t="s">
        <v>2054</v>
      </c>
      <c r="M17" s="2819"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4323</v>
      </c>
      <c r="D18" s="235" t="s">
        <v>2039</v>
      </c>
      <c r="E18" s="235" t="s">
        <v>2040</v>
      </c>
      <c r="F18" s="258">
        <f>'数据-取费表'!E24</f>
        <v>1.4999999999999999E-2</v>
      </c>
      <c r="G18" s="950"/>
      <c r="H18" s="253" t="s">
        <v>2057</v>
      </c>
      <c r="I18" s="235" t="s">
        <v>2058</v>
      </c>
      <c r="J18" s="13">
        <f>IF(项目基本情况!B7="自然人","——",ROUND(J6*M18/(1+'数据-取费表'!F30),0))</f>
        <v>0</v>
      </c>
      <c r="K18" s="1330" t="s">
        <v>2723</v>
      </c>
      <c r="L18" s="235" t="s">
        <v>2040</v>
      </c>
      <c r="M18" s="258">
        <f>'数据-取费表'!E29</f>
        <v>5.6000000000000001E-2</v>
      </c>
    </row>
    <row r="19" spans="1:37" s="257" customFormat="1" ht="18" customHeight="1">
      <c r="A19" s="253" t="s">
        <v>2051</v>
      </c>
      <c r="B19" s="235" t="s">
        <v>2059</v>
      </c>
      <c r="C19" s="13">
        <f>SUM(C14:C18)</f>
        <v>323430</v>
      </c>
      <c r="D19" s="33" t="s">
        <v>2060</v>
      </c>
      <c r="E19" s="1332"/>
      <c r="F19" s="15"/>
      <c r="G19" s="951"/>
      <c r="H19" s="253" t="s">
        <v>2037</v>
      </c>
      <c r="I19" s="235" t="s">
        <v>2061</v>
      </c>
      <c r="J19" s="13">
        <f ca="1">IF(项目基本情况!B7="自然人","——",IF(K19="按租金收入计税",ROUND(J6*M19/(1+'数据-取费表'!F30),0),ROUND(C29*M19*0.7,0)))</f>
        <v>3584</v>
      </c>
      <c r="K19" s="1434"/>
      <c r="L19" s="235" t="s">
        <v>2040</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6469</v>
      </c>
      <c r="D20" s="259" t="s">
        <v>2064</v>
      </c>
      <c r="E20" s="235" t="s">
        <v>2065</v>
      </c>
      <c r="F20" s="258">
        <f>'数据-取费表'!E25</f>
        <v>0.02</v>
      </c>
      <c r="G20" s="951"/>
      <c r="H20" s="253" t="s">
        <v>2043</v>
      </c>
      <c r="I20" s="36" t="s">
        <v>2066</v>
      </c>
      <c r="J20" s="14">
        <f>IF(项目基本情况!B7="自然人","——",ROUND(M20*M21,0))</f>
        <v>0</v>
      </c>
      <c r="K20" s="261" t="s">
        <v>2067</v>
      </c>
      <c r="L20" s="235" t="s">
        <v>2068</v>
      </c>
      <c r="M20" s="262">
        <f>'数据-取费表'!E40</f>
        <v>18</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7">
        <f>F21</f>
        <v>0.02</v>
      </c>
      <c r="D21" s="259" t="s">
        <v>2071</v>
      </c>
      <c r="E21" s="235" t="s">
        <v>2072</v>
      </c>
      <c r="F21" s="258">
        <f>'数据-取费表'!E26</f>
        <v>0.02</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2"/>
      <c r="F22" s="15"/>
      <c r="G22" s="950"/>
      <c r="H22" s="253" t="s">
        <v>2041</v>
      </c>
      <c r="I22" s="235" t="s">
        <v>2076</v>
      </c>
      <c r="J22" s="13">
        <f ca="1">ROUND(J14*M22,0)</f>
        <v>6400</v>
      </c>
      <c r="K22" s="1330"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14350</v>
      </c>
      <c r="D23" s="1430" t="str">
        <f>IF(F23&lt;=1,"(建造成本+管理费用)×利率×(建设周期÷2)","(建造成本+管理费用)×((1+利率)^(建设周期÷2)-1)")</f>
        <v>(建造成本+管理费用)×((1+利率)^(建设周期÷2)-1)</v>
      </c>
      <c r="E23" s="235" t="s">
        <v>2079</v>
      </c>
      <c r="F23" s="262">
        <f>'数据-取费表'!B22</f>
        <v>2</v>
      </c>
      <c r="G23" s="950"/>
      <c r="H23" s="253" t="s">
        <v>2069</v>
      </c>
      <c r="I23" s="235" t="s">
        <v>2080</v>
      </c>
      <c r="J23" s="13">
        <f ca="1">ROUND(J13*M23,0)</f>
        <v>0</v>
      </c>
      <c r="K23" s="1330"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0" t="str">
        <f>IF(F23&lt;=1,"销售费用×利率×(建设周期÷2)","销售费用×((1+利率)^(建设周期÷2)-1)")</f>
        <v>销售费用×((1+利率)^(建设周期÷2)-1)</v>
      </c>
      <c r="E24" s="235" t="s">
        <v>2085</v>
      </c>
      <c r="F24" s="267">
        <f ca="1">'数据-取费表'!E27</f>
        <v>4.3499999999999997E-2</v>
      </c>
      <c r="G24" s="951"/>
      <c r="H24" s="1101" t="s">
        <v>2074</v>
      </c>
      <c r="I24" s="1102" t="s">
        <v>2063</v>
      </c>
      <c r="J24" s="1103">
        <f ca="1">ROUND(J5*M24,0)</f>
        <v>0</v>
      </c>
      <c r="K24" s="1104" t="s">
        <v>2086</v>
      </c>
      <c r="L24" s="1102" t="s">
        <v>2082</v>
      </c>
      <c r="M24" s="1097">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2"/>
      <c r="F25" s="15"/>
      <c r="G25" s="951"/>
      <c r="H25" s="1091" t="s">
        <v>22</v>
      </c>
      <c r="I25" s="1106" t="s">
        <v>2090</v>
      </c>
      <c r="J25" s="243">
        <f ca="1">J5-J16</f>
        <v>-9984</v>
      </c>
      <c r="K25" s="1107" t="s">
        <v>2091</v>
      </c>
      <c r="L25" s="1108"/>
      <c r="M25" s="1109"/>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49485</v>
      </c>
      <c r="D26" s="259" t="s">
        <v>2093</v>
      </c>
      <c r="E26" s="246" t="s">
        <v>2094</v>
      </c>
      <c r="F26" s="245">
        <f>'数据-取费表'!E28</f>
        <v>0.15</v>
      </c>
      <c r="G26" s="651"/>
      <c r="H26" s="232" t="s">
        <v>23</v>
      </c>
      <c r="I26" s="233" t="s">
        <v>2095</v>
      </c>
      <c r="J26" s="234">
        <f ca="1">IF(J5&lt;&gt;0,ROUND(J25*(1-((1+M28)/(1+M26))^M27)/(M26-M28),0),0)</f>
        <v>0</v>
      </c>
      <c r="K26" s="261" t="s">
        <v>2096</v>
      </c>
      <c r="L26" s="235" t="s">
        <v>2097</v>
      </c>
      <c r="M26" s="245">
        <f>'数据-取费表'!B16</f>
        <v>4.4999999999999998E-2</v>
      </c>
    </row>
    <row r="27" spans="1:37" ht="18" customHeight="1">
      <c r="A27" s="253" t="s">
        <v>2098</v>
      </c>
      <c r="B27" s="235" t="s">
        <v>2099</v>
      </c>
      <c r="C27" s="13">
        <f>ROUND(F21*F26,4)</f>
        <v>3.0000000000000001E-3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1"/>
      <c r="H28" s="241"/>
      <c r="I28" s="242"/>
      <c r="J28" s="243"/>
      <c r="K28" s="264"/>
      <c r="L28" s="235" t="s">
        <v>2106</v>
      </c>
      <c r="M28" s="245">
        <f>'数据-取费表'!B38</f>
        <v>0</v>
      </c>
    </row>
    <row r="29" spans="1:37" ht="18" customHeight="1" thickBot="1">
      <c r="A29" s="1101" t="s">
        <v>2107</v>
      </c>
      <c r="B29" s="1102" t="s">
        <v>2108</v>
      </c>
      <c r="C29" s="1103">
        <f ca="1">ROUND((C19+C20+C23+C26)/(1-F21-C24-C27-C28),0)</f>
        <v>426673</v>
      </c>
      <c r="D29" s="1104"/>
      <c r="E29" s="1102"/>
      <c r="F29" s="1105"/>
      <c r="G29" s="651"/>
      <c r="H29" s="271" t="s">
        <v>24</v>
      </c>
      <c r="I29" s="272" t="s">
        <v>2109</v>
      </c>
      <c r="J29" s="273">
        <f ca="1">ROUND(J26/(1+F40)^F41,0)</f>
        <v>0</v>
      </c>
      <c r="K29" s="274" t="s">
        <v>2110</v>
      </c>
      <c r="L29" s="275"/>
      <c r="M29" s="276">
        <f>IF(D1="仅计算典型户型",'数据-取费表'!E5,'数据-取费表'!B5)</f>
        <v>82.35</v>
      </c>
    </row>
    <row r="30" spans="1:37" ht="18" customHeight="1" thickTop="1">
      <c r="A30" s="1091" t="s">
        <v>14</v>
      </c>
      <c r="B30" s="1092" t="s">
        <v>2111</v>
      </c>
      <c r="C30" s="243">
        <f ca="1">ROUND(C31+C36+C37+C38,0)</f>
        <v>11689</v>
      </c>
      <c r="D30" s="1098" t="s">
        <v>2112</v>
      </c>
      <c r="E30" s="1099"/>
      <c r="F30" s="1100"/>
      <c r="G30" s="651"/>
      <c r="H30" s="930"/>
      <c r="I30" s="931"/>
      <c r="J30" s="932"/>
      <c r="K30" s="933"/>
      <c r="L30" s="934"/>
      <c r="M30" s="935"/>
    </row>
    <row r="31" spans="1:37" ht="18" customHeight="1">
      <c r="A31" s="253" t="s">
        <v>2014</v>
      </c>
      <c r="B31" s="235" t="s">
        <v>2052</v>
      </c>
      <c r="C31" s="2820">
        <f>ROUND(IF(AND(项目基本情况!B7="自然人",项目基本情况!B6="北京市"),C6*F31/(1+'数据-取费表'!F30),C32+C33+C34),0)</f>
        <v>4526</v>
      </c>
      <c r="D31" s="1327" t="s">
        <v>2113</v>
      </c>
      <c r="E31" s="1330" t="s">
        <v>2114</v>
      </c>
      <c r="F31" s="2819"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2033</v>
      </c>
      <c r="B32" s="235" t="s">
        <v>2115</v>
      </c>
      <c r="C32" s="13">
        <f>IF(项目基本情况!B7="自然人","——",ROUND(C6*F32/(1+'数据-取费表'!F30),0))</f>
        <v>1440</v>
      </c>
      <c r="D32" s="1330" t="s">
        <v>2722</v>
      </c>
      <c r="E32" s="235" t="s">
        <v>2065</v>
      </c>
      <c r="F32" s="267">
        <f>'数据-取费表'!E29</f>
        <v>5.6000000000000001E-2</v>
      </c>
      <c r="G32" s="651"/>
      <c r="H32" s="936"/>
      <c r="I32" s="937"/>
      <c r="J32" s="938"/>
      <c r="K32" s="939"/>
      <c r="L32" s="940"/>
      <c r="M32" s="941"/>
    </row>
    <row r="33" spans="1:18" ht="18" customHeight="1">
      <c r="A33" s="253" t="s">
        <v>2037</v>
      </c>
      <c r="B33" s="235" t="s">
        <v>2061</v>
      </c>
      <c r="C33" s="13">
        <f>IF(项目基本情况!B7="自然人","——",IF(D33="按租金收入计税",ROUND(C6*F33/(1+'数据-取费表'!F30),0),IF(D33="按房产原值计税",ROUND(C29*F33*0.7,0),'数据-取费表'!B44)))</f>
        <v>3086</v>
      </c>
      <c r="D33" s="1434" t="s">
        <v>2883</v>
      </c>
      <c r="E33" s="235" t="s">
        <v>2040</v>
      </c>
      <c r="F33" s="258">
        <f>IF(D33="按票据","——",IF(D33="按租金收入计税",'数据-取费表'!E39,'数据-取费表'!E38))</f>
        <v>0.12</v>
      </c>
      <c r="G33" s="651"/>
      <c r="H33" s="942"/>
      <c r="I33" s="278" t="s">
        <v>2117</v>
      </c>
      <c r="J33" s="279"/>
      <c r="K33" s="943"/>
      <c r="L33" s="942"/>
      <c r="M33" s="942"/>
    </row>
    <row r="34" spans="1:18" ht="18" customHeight="1">
      <c r="A34" s="1056" t="s">
        <v>2043</v>
      </c>
      <c r="B34" s="36" t="s">
        <v>2066</v>
      </c>
      <c r="C34" s="14">
        <f>IF(项目基本情况!B7="自然人","——",ROUND(F34*F35,0))</f>
        <v>0</v>
      </c>
      <c r="D34" s="261" t="s">
        <v>2067</v>
      </c>
      <c r="E34" s="235" t="s">
        <v>2068</v>
      </c>
      <c r="F34" s="262">
        <f>'数据-取费表'!E40</f>
        <v>18</v>
      </c>
      <c r="G34" s="651"/>
      <c r="H34" s="930"/>
      <c r="I34" s="280" t="s">
        <v>2118</v>
      </c>
      <c r="J34" s="281">
        <f ca="1">ROUND(C13*J35,0)</f>
        <v>0</v>
      </c>
      <c r="K34" s="944"/>
      <c r="L34" s="945"/>
      <c r="M34" s="945"/>
    </row>
    <row r="35" spans="1:18" ht="24.6" customHeight="1">
      <c r="A35" s="1060"/>
      <c r="B35" s="244"/>
      <c r="C35" s="17"/>
      <c r="D35" s="264"/>
      <c r="E35" s="235" t="s">
        <v>2073</v>
      </c>
      <c r="F35" s="236">
        <f>IF(D1="仅计算典型户型",'数据-取费表'!E6,'数据-取费表'!B6)</f>
        <v>0</v>
      </c>
      <c r="G35" s="651" t="s">
        <v>2811</v>
      </c>
      <c r="H35" s="930"/>
      <c r="I35" s="282" t="s">
        <v>2119</v>
      </c>
      <c r="J35" s="283">
        <f>'数据-取费表'!B18</f>
        <v>0</v>
      </c>
      <c r="K35" s="943"/>
      <c r="L35" s="942"/>
      <c r="M35" s="942"/>
    </row>
    <row r="36" spans="1:18" ht="18" customHeight="1">
      <c r="A36" s="1059" t="s">
        <v>2021</v>
      </c>
      <c r="B36" s="235" t="s">
        <v>2120</v>
      </c>
      <c r="C36" s="13">
        <f ca="1">ROUND(C29*F36,0)</f>
        <v>6400</v>
      </c>
      <c r="D36" s="1330"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493</v>
      </c>
      <c r="D37" s="1330" t="s">
        <v>2081</v>
      </c>
      <c r="E37" s="235" t="s">
        <v>2082</v>
      </c>
      <c r="F37" s="266">
        <f>'数据-取费表'!B46</f>
        <v>1.5E-3</v>
      </c>
      <c r="G37" s="651"/>
      <c r="H37" s="942"/>
      <c r="I37" s="132" t="s">
        <v>2123</v>
      </c>
      <c r="J37" s="286"/>
      <c r="K37" s="946"/>
      <c r="L37" s="942"/>
      <c r="M37" s="942"/>
    </row>
    <row r="38" spans="1:18" ht="18" customHeight="1" thickBot="1">
      <c r="A38" s="1101" t="s">
        <v>2074</v>
      </c>
      <c r="B38" s="1102" t="s">
        <v>2063</v>
      </c>
      <c r="C38" s="1103">
        <f ca="1">ROUND(C5*F38,0)</f>
        <v>270</v>
      </c>
      <c r="D38" s="1104" t="s">
        <v>2086</v>
      </c>
      <c r="E38" s="1102" t="s">
        <v>2082</v>
      </c>
      <c r="F38" s="1097">
        <f>'数据-取费表'!B47</f>
        <v>0.01</v>
      </c>
      <c r="G38" s="651"/>
      <c r="H38" s="942"/>
      <c r="I38" s="280" t="s">
        <v>2124</v>
      </c>
      <c r="J38" s="136">
        <f ca="1">ROUND(J34/C39,3)</f>
        <v>0</v>
      </c>
      <c r="K38" s="947"/>
      <c r="L38" s="942"/>
      <c r="M38" s="942"/>
    </row>
    <row r="39" spans="1:18" ht="18" customHeight="1" thickTop="1">
      <c r="A39" s="1091" t="s">
        <v>22</v>
      </c>
      <c r="B39" s="1106" t="s">
        <v>2125</v>
      </c>
      <c r="C39" s="243">
        <f ca="1">C5-C30</f>
        <v>15345</v>
      </c>
      <c r="D39" s="1107" t="s">
        <v>2126</v>
      </c>
      <c r="E39" s="1108"/>
      <c r="F39" s="1109"/>
      <c r="G39" s="651"/>
      <c r="H39" s="942"/>
      <c r="I39" s="280" t="s">
        <v>2127</v>
      </c>
      <c r="J39" s="136">
        <f ca="1">1-J38</f>
        <v>1</v>
      </c>
      <c r="K39" s="947"/>
      <c r="L39" s="942"/>
      <c r="M39" s="942"/>
    </row>
    <row r="40" spans="1:18" s="651" customFormat="1" ht="18" customHeight="1">
      <c r="A40" s="232" t="s">
        <v>23</v>
      </c>
      <c r="B40" s="233" t="s">
        <v>2128</v>
      </c>
      <c r="C40" s="234">
        <f ca="1">ROUND(C39*(1-((1+F42)/(1+F40))^F41)/(F40-F42),0)</f>
        <v>439544</v>
      </c>
      <c r="D40" s="261" t="s">
        <v>2096</v>
      </c>
      <c r="E40" s="235" t="s">
        <v>2097</v>
      </c>
      <c r="F40" s="245">
        <f>'数据-取费表'!B16</f>
        <v>4.4999999999999998E-2</v>
      </c>
      <c r="H40" s="948"/>
      <c r="I40" s="132" t="s">
        <v>2129</v>
      </c>
      <c r="J40" s="133"/>
      <c r="K40" s="947"/>
      <c r="L40" s="948"/>
      <c r="M40" s="948"/>
      <c r="Q40" s="655"/>
    </row>
    <row r="41" spans="1:18" s="651" customFormat="1" ht="18" customHeight="1">
      <c r="A41" s="237"/>
      <c r="B41" s="238"/>
      <c r="C41" s="239"/>
      <c r="D41" s="269" t="s">
        <v>2130</v>
      </c>
      <c r="E41" s="1302" t="s">
        <v>2707</v>
      </c>
      <c r="F41" s="270">
        <f>IF('数据-取费表'!B29="租赁期内按合同租金",'数据-取费表'!B35,IF(E41="收益年期(n)",'数据-取费表'!B34,'数据-取费表'!B13))</f>
        <v>52</v>
      </c>
      <c r="H41" s="949"/>
      <c r="I41" s="135" t="s">
        <v>2002</v>
      </c>
      <c r="J41" s="136">
        <f ca="1">ROUND(C13/C40,3)</f>
        <v>0.747</v>
      </c>
      <c r="K41" s="946"/>
      <c r="L41" s="949"/>
      <c r="M41" s="949"/>
      <c r="Q41" s="655"/>
    </row>
    <row r="42" spans="1:18" s="651" customFormat="1" ht="18" customHeight="1">
      <c r="A42" s="241"/>
      <c r="B42" s="242"/>
      <c r="C42" s="243"/>
      <c r="D42" s="264"/>
      <c r="E42" s="235" t="s">
        <v>2106</v>
      </c>
      <c r="F42" s="245">
        <f>'数据-取费表'!B32</f>
        <v>0.02</v>
      </c>
      <c r="H42" s="949"/>
      <c r="I42" s="135" t="s">
        <v>2003</v>
      </c>
      <c r="J42" s="137">
        <f ca="1">1-J41</f>
        <v>0.253</v>
      </c>
      <c r="K42" s="946"/>
      <c r="L42" s="949"/>
      <c r="M42" s="949"/>
      <c r="Q42" s="655"/>
    </row>
    <row r="43" spans="1:18" s="651" customFormat="1" ht="18" customHeight="1" thickBot="1">
      <c r="A43" s="271" t="s">
        <v>24</v>
      </c>
      <c r="B43" s="272" t="s">
        <v>2131</v>
      </c>
      <c r="C43" s="273">
        <f ca="1">ROUND(C40/F43,0)</f>
        <v>5338</v>
      </c>
      <c r="D43" s="274" t="s">
        <v>2132</v>
      </c>
      <c r="E43" s="275" t="s">
        <v>2133</v>
      </c>
      <c r="F43" s="276">
        <f>IF(D1="仅计算典型户型",'数据-取费表'!E5,'数据-取费表'!B5)</f>
        <v>82.35</v>
      </c>
      <c r="G43" s="653"/>
      <c r="H43" s="949"/>
      <c r="I43" s="949"/>
      <c r="J43" s="949"/>
      <c r="K43" s="946"/>
      <c r="L43" s="949"/>
      <c r="M43" s="949"/>
      <c r="O43" s="1040" t="s">
        <v>2134</v>
      </c>
      <c r="P43" s="1041"/>
      <c r="Q43" s="1037"/>
      <c r="R43" s="1041"/>
    </row>
    <row r="44" spans="1:18" s="651" customFormat="1" ht="18" customHeight="1" thickBot="1">
      <c r="A44" s="648"/>
      <c r="B44" s="648"/>
      <c r="C44" s="650"/>
      <c r="D44" s="648"/>
      <c r="E44" s="648"/>
      <c r="F44" s="648"/>
      <c r="G44" s="653"/>
      <c r="K44" s="652"/>
      <c r="O44" s="1042" t="s">
        <v>2135</v>
      </c>
      <c r="P44" s="1043" t="s">
        <v>2136</v>
      </c>
      <c r="Q44" s="1044" t="s">
        <v>2137</v>
      </c>
      <c r="R44" s="1045" t="s">
        <v>2138</v>
      </c>
    </row>
    <row r="45" spans="1:18" s="651" customFormat="1" ht="18" customHeight="1" thickBot="1">
      <c r="A45" s="648"/>
      <c r="B45" s="648"/>
      <c r="C45" s="650"/>
      <c r="D45" s="648"/>
      <c r="E45" s="648"/>
      <c r="F45" s="648"/>
      <c r="G45" s="654"/>
      <c r="K45" s="652"/>
      <c r="O45" s="1046" t="s">
        <v>949</v>
      </c>
      <c r="P45" s="1047" t="s">
        <v>2139</v>
      </c>
      <c r="Q45" s="1048">
        <f ca="1">C40+J29</f>
        <v>439544</v>
      </c>
      <c r="R45" s="1049" t="s">
        <v>2140</v>
      </c>
    </row>
    <row r="46" spans="1:18" s="651" customFormat="1" ht="18" customHeight="1" thickBot="1">
      <c r="A46" s="648"/>
      <c r="D46" s="648"/>
      <c r="E46" s="648"/>
      <c r="F46" s="648"/>
      <c r="K46" s="652"/>
      <c r="O46" s="1046" t="s">
        <v>950</v>
      </c>
      <c r="P46" s="1047" t="s">
        <v>2141</v>
      </c>
      <c r="Q46" s="1048" t="str">
        <f>J61</f>
        <v>0</v>
      </c>
      <c r="R46" s="1049" t="s">
        <v>2142</v>
      </c>
    </row>
    <row r="47" spans="1:18" s="651" customFormat="1" ht="21.75" thickBot="1">
      <c r="A47" s="1524" t="s">
        <v>2143</v>
      </c>
      <c r="C47" s="991">
        <f ca="1">IF(C2="元",C69-C40,ROUND((C69-C40)/10000,0))</f>
        <v>-1292913</v>
      </c>
      <c r="D47" s="1525" t="str">
        <f>C2</f>
        <v>元</v>
      </c>
      <c r="E47" s="648"/>
      <c r="F47" s="648"/>
      <c r="I47" s="1526" t="s">
        <v>2144</v>
      </c>
      <c r="J47" s="1022"/>
      <c r="K47" s="1023"/>
      <c r="L47" s="1036">
        <f>IF(M48="住宅",0,IF(L49&gt;J52,L61,J61))</f>
        <v>0</v>
      </c>
      <c r="O47" s="1050" t="s">
        <v>951</v>
      </c>
      <c r="P47" s="1047" t="s">
        <v>2145</v>
      </c>
      <c r="Q47" s="1048">
        <f ca="1">C29</f>
        <v>426673</v>
      </c>
      <c r="R47" s="1049" t="s">
        <v>2140</v>
      </c>
    </row>
    <row r="48" spans="1:18" s="651" customFormat="1" ht="15.75" thickBot="1">
      <c r="A48" s="228" t="s">
        <v>2146</v>
      </c>
      <c r="B48" s="229" t="s">
        <v>2147</v>
      </c>
      <c r="C48" s="229" t="s">
        <v>2148</v>
      </c>
      <c r="D48" s="229" t="s">
        <v>2149</v>
      </c>
      <c r="E48" s="985" t="s">
        <v>2150</v>
      </c>
      <c r="F48" s="986"/>
      <c r="I48" s="1527" t="s">
        <v>2151</v>
      </c>
      <c r="J48" s="1528" t="s">
        <v>2941</v>
      </c>
      <c r="K48" s="1529" t="s">
        <v>2152</v>
      </c>
      <c r="L48" s="1024">
        <f>'数据-取费表'!B11</f>
        <v>70</v>
      </c>
      <c r="M48" s="1037" t="str">
        <f>IF('数据-取费表'!B10="住宅","住宅","非住宅")</f>
        <v>住宅</v>
      </c>
      <c r="O48" s="1050" t="s">
        <v>952</v>
      </c>
      <c r="P48" s="1047" t="s">
        <v>2153</v>
      </c>
      <c r="Q48" s="1051" t="e">
        <f>J59</f>
        <v>#VALUE!</v>
      </c>
      <c r="R48" s="1049"/>
    </row>
    <row r="49" spans="1:18" s="651" customFormat="1" ht="15.75" thickBot="1">
      <c r="A49" s="1126" t="s">
        <v>1019</v>
      </c>
      <c r="B49" s="233" t="s">
        <v>2154</v>
      </c>
      <c r="C49" s="1127">
        <f ca="1">C50+C54+C56</f>
        <v>0</v>
      </c>
      <c r="D49" s="1128"/>
      <c r="E49" s="44"/>
      <c r="F49" s="15"/>
      <c r="I49" s="1530" t="s">
        <v>2155</v>
      </c>
      <c r="J49" s="1531" t="s">
        <v>2964</v>
      </c>
      <c r="K49" s="1532" t="s">
        <v>2156</v>
      </c>
      <c r="L49" s="862">
        <f>'数据-取费表'!B13</f>
        <v>52</v>
      </c>
      <c r="O49" s="1050" t="s">
        <v>953</v>
      </c>
      <c r="P49" s="1047" t="s">
        <v>2157</v>
      </c>
      <c r="Q49" s="1051">
        <f>J53</f>
        <v>0</v>
      </c>
      <c r="R49" s="1049"/>
    </row>
    <row r="50" spans="1:18" s="651" customFormat="1" ht="15.75" thickBot="1">
      <c r="A50" s="260" t="s">
        <v>2014</v>
      </c>
      <c r="B50" s="1439" t="s">
        <v>2158</v>
      </c>
      <c r="C50" s="234">
        <f>ROUND(F50*F52*F51*(1-F53),0)</f>
        <v>0</v>
      </c>
      <c r="D50" s="42" t="s">
        <v>2699</v>
      </c>
      <c r="E50" s="1533" t="s">
        <v>2159</v>
      </c>
      <c r="F50" s="987"/>
      <c r="I50" s="1530" t="s">
        <v>2160</v>
      </c>
      <c r="J50" s="862">
        <f>'数据-取费表'!B27</f>
        <v>2005</v>
      </c>
      <c r="K50" s="1534" t="s">
        <v>2161</v>
      </c>
      <c r="L50" s="1025"/>
      <c r="O50" s="1050" t="s">
        <v>954</v>
      </c>
      <c r="P50" s="1047" t="s">
        <v>2162</v>
      </c>
      <c r="Q50" s="1048">
        <f>J54</f>
        <v>52</v>
      </c>
      <c r="R50" s="1049" t="s">
        <v>2163</v>
      </c>
    </row>
    <row r="51" spans="1:18" s="651" customFormat="1" ht="15.75" thickBot="1">
      <c r="A51" s="237"/>
      <c r="B51" s="238"/>
      <c r="C51" s="239"/>
      <c r="D51" s="240"/>
      <c r="E51" s="255" t="s">
        <v>2017</v>
      </c>
      <c r="F51" s="984">
        <f>F7</f>
        <v>1</v>
      </c>
      <c r="I51" s="1530" t="s">
        <v>2164</v>
      </c>
      <c r="J51" s="1026">
        <f>SUMPRODUCT((I64:I66=J48)*(J63:L63=J49)*(J64:L66))</f>
        <v>60</v>
      </c>
      <c r="K51" s="1534" t="s">
        <v>2165</v>
      </c>
      <c r="L51" s="1025"/>
      <c r="O51" s="1046" t="s">
        <v>955</v>
      </c>
      <c r="P51" s="1047" t="str">
        <f>IF(C2="元","收益价值(元)","收益价值(万元)")</f>
        <v>收益价值(元)</v>
      </c>
      <c r="Q51" s="1048">
        <f ca="1">ROUND(IF(C2="元",Q45+Q46,(Q45+Q46)/10000),0)</f>
        <v>439544</v>
      </c>
      <c r="R51" s="1049" t="s">
        <v>956</v>
      </c>
    </row>
    <row r="52" spans="1:18" s="651" customFormat="1" ht="16.5" thickBot="1">
      <c r="A52" s="237"/>
      <c r="B52" s="238"/>
      <c r="C52" s="239"/>
      <c r="D52" s="240"/>
      <c r="E52" s="235" t="s">
        <v>2019</v>
      </c>
      <c r="F52" s="236">
        <f>F8</f>
        <v>12</v>
      </c>
      <c r="I52" s="1535" t="s">
        <v>2166</v>
      </c>
      <c r="J52" s="1027">
        <f>IF(J50="",J51,J50+J51-YEAR('数据-取费表'!B2))</f>
        <v>44</v>
      </c>
      <c r="K52" s="1536" t="s">
        <v>2167</v>
      </c>
      <c r="L52" s="1028">
        <f ca="1">ROUND(-PV('数据-取费表'!B15,J52,(C40-C13*J35)),0)</f>
        <v>9032120</v>
      </c>
      <c r="O52" s="1040" t="s">
        <v>2168</v>
      </c>
      <c r="P52" s="1041"/>
      <c r="Q52" s="1037"/>
      <c r="R52" s="1041"/>
    </row>
    <row r="53" spans="1:18" s="651" customFormat="1" ht="15.75" thickBot="1">
      <c r="A53" s="241"/>
      <c r="B53" s="242"/>
      <c r="C53" s="243"/>
      <c r="D53" s="244"/>
      <c r="E53" s="235" t="s">
        <v>2020</v>
      </c>
      <c r="F53" s="1035"/>
      <c r="I53" s="1537" t="s">
        <v>2169</v>
      </c>
      <c r="J53" s="1029"/>
      <c r="K53" s="1537" t="s">
        <v>2170</v>
      </c>
      <c r="L53" s="1029"/>
      <c r="O53" s="1042" t="s">
        <v>2135</v>
      </c>
      <c r="P53" s="1043" t="s">
        <v>2136</v>
      </c>
      <c r="Q53" s="1044" t="s">
        <v>2137</v>
      </c>
      <c r="R53" s="1045" t="s">
        <v>2138</v>
      </c>
    </row>
    <row r="54" spans="1:18" s="651" customFormat="1" ht="29.25" customHeight="1" thickBot="1">
      <c r="A54" s="1056" t="s">
        <v>2021</v>
      </c>
      <c r="B54" s="1518" t="s">
        <v>2022</v>
      </c>
      <c r="C54" s="1057">
        <f ca="1">ROUND(IF(F54="押一",C50/12*F11,IF(F54="押二",C50/12*2*F11,IF(F54="押三",C50/12*3*F11,C55*F11))),0)</f>
        <v>0</v>
      </c>
      <c r="D54" s="1519" t="s">
        <v>2705</v>
      </c>
      <c r="E54" s="246" t="s">
        <v>2023</v>
      </c>
      <c r="F54" s="1520"/>
      <c r="I54" s="1626" t="s">
        <v>2708</v>
      </c>
      <c r="J54" s="1030">
        <f>IF(M48="住宅",IF(E1="——",MAX(J52,L49),MAX(J52,L49-'数据-取费表'!B26)),IF(E1="——",MIN(J52,L49),MIN(J52,L49-'数据-取费表'!B26)))</f>
        <v>52</v>
      </c>
      <c r="K54" s="3456" t="s">
        <v>2697</v>
      </c>
      <c r="L54" s="3457"/>
      <c r="O54" s="1046" t="s">
        <v>949</v>
      </c>
      <c r="P54" s="1047" t="s">
        <v>2139</v>
      </c>
      <c r="Q54" s="1048">
        <f ca="1">C40+J29</f>
        <v>439544</v>
      </c>
      <c r="R54" s="1049" t="s">
        <v>2140</v>
      </c>
    </row>
    <row r="55" spans="1:18" s="651" customFormat="1" ht="20.25" thickBot="1">
      <c r="A55" s="1056"/>
      <c r="B55" s="1538" t="s">
        <v>2027</v>
      </c>
      <c r="C55" s="1090"/>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6" t="s">
        <v>950</v>
      </c>
      <c r="P55" s="1047" t="s">
        <v>2171</v>
      </c>
      <c r="Q55" s="1048">
        <f>L61</f>
        <v>0</v>
      </c>
      <c r="R55" s="1049" t="s">
        <v>2172</v>
      </c>
    </row>
    <row r="56" spans="1:18" s="651" customFormat="1" ht="20.25" thickBot="1">
      <c r="A56" s="1095" t="s">
        <v>2028</v>
      </c>
      <c r="B56" s="1522" t="s">
        <v>2029</v>
      </c>
      <c r="C56" s="1096"/>
      <c r="D56" s="1112"/>
      <c r="E56" s="1541"/>
      <c r="F56" s="1151"/>
      <c r="I56" s="1542" t="s">
        <v>2173</v>
      </c>
      <c r="J56" s="1319" t="e">
        <f>ROUND(IF(J48="钢混",J58/J51,1-(1-2%)*(J51-J58)/J51),3)</f>
        <v>#VALUE!</v>
      </c>
      <c r="K56" s="1543" t="s">
        <v>2174</v>
      </c>
      <c r="L56" s="1031"/>
      <c r="O56" s="1050" t="s">
        <v>951</v>
      </c>
      <c r="P56" s="1047" t="s">
        <v>2175</v>
      </c>
      <c r="Q56" s="1048">
        <f>IF(L56="比较法",L50,IF(L56="基准地价",L51,0))</f>
        <v>0</v>
      </c>
      <c r="R56" s="1049" t="s">
        <v>2140</v>
      </c>
    </row>
    <row r="57" spans="1:18" s="651" customFormat="1" ht="44.25" thickTop="1" thickBot="1">
      <c r="A57" s="1091">
        <v>2</v>
      </c>
      <c r="B57" s="1092" t="s">
        <v>2030</v>
      </c>
      <c r="C57" s="1150">
        <f ca="1">C13</f>
        <v>328538</v>
      </c>
      <c r="D57" s="982"/>
      <c r="E57" s="983"/>
      <c r="F57" s="990"/>
      <c r="I57" s="1544" t="s">
        <v>2176</v>
      </c>
      <c r="J57" s="1034" t="s">
        <v>2961</v>
      </c>
      <c r="K57" s="1530" t="s">
        <v>2177</v>
      </c>
      <c r="L57" s="862">
        <f>IF(L49&lt;J52,"——",L49-J52)</f>
        <v>8</v>
      </c>
      <c r="O57" s="1050" t="s">
        <v>952</v>
      </c>
      <c r="P57" s="1047" t="s">
        <v>2178</v>
      </c>
      <c r="Q57" s="1051">
        <f>L53</f>
        <v>0</v>
      </c>
      <c r="R57" s="1049"/>
    </row>
    <row r="58" spans="1:18" s="651" customFormat="1" ht="29.25" thickBot="1">
      <c r="A58" s="989"/>
      <c r="B58" s="235" t="s">
        <v>2108</v>
      </c>
      <c r="C58" s="104">
        <f ca="1">C29</f>
        <v>426673</v>
      </c>
      <c r="D58" s="982"/>
      <c r="E58" s="983"/>
      <c r="F58" s="990"/>
      <c r="I58" s="1545" t="s">
        <v>2179</v>
      </c>
      <c r="J58" s="1033" t="str">
        <f>IF(OR(M48="住宅",J52&lt;L49,J57="是"),"——",J52-L49)</f>
        <v>——</v>
      </c>
      <c r="K58" s="1530" t="s">
        <v>2180</v>
      </c>
      <c r="L58" s="862">
        <f ca="1">IF(L49&lt;J52,"——",IF(L56="比较法",L50,IF(L56="基准地价",L51,L52)))</f>
        <v>9032120</v>
      </c>
      <c r="O58" s="1050" t="s">
        <v>953</v>
      </c>
      <c r="P58" s="1047" t="s">
        <v>2181</v>
      </c>
      <c r="Q58" s="1048" t="e">
        <f>L59</f>
        <v>#DIV/0!</v>
      </c>
      <c r="R58" s="1049" t="s">
        <v>2182</v>
      </c>
    </row>
    <row r="59" spans="1:18" s="651" customFormat="1" ht="29.25" thickBot="1">
      <c r="A59" s="248" t="s">
        <v>14</v>
      </c>
      <c r="B59" s="249" t="s">
        <v>2111</v>
      </c>
      <c r="C59" s="250">
        <f ca="1">ROUND(C60+C65+C66+C67,0)</f>
        <v>42734</v>
      </c>
      <c r="D59" s="12" t="s">
        <v>2112</v>
      </c>
      <c r="E59" s="1332"/>
      <c r="F59" s="15"/>
      <c r="I59" s="1545" t="s">
        <v>2183</v>
      </c>
      <c r="J59" s="1318" t="e">
        <f>IF(J56&lt;0.4,0.4,J56)</f>
        <v>#VALUE!</v>
      </c>
      <c r="K59" s="1536" t="s">
        <v>2184</v>
      </c>
      <c r="L59" s="862" t="e">
        <f>ROUND(POWER(1+L53,L48-L49)*(POWER(1+L53,L49)-1)/(POWER(1+L53,L48)-1),4)</f>
        <v>#DIV/0!</v>
      </c>
      <c r="O59" s="1050" t="s">
        <v>954</v>
      </c>
      <c r="P59" s="1047" t="str">
        <f>K60</f>
        <v>建筑物剩余耐用年限下的土地年期修正系数Kn</v>
      </c>
      <c r="Q59" s="1048" t="e">
        <f>L60</f>
        <v>#DIV/0!</v>
      </c>
      <c r="R59" s="1049" t="s">
        <v>2185</v>
      </c>
    </row>
    <row r="60" spans="1:18" s="651" customFormat="1" ht="29.25" thickBot="1">
      <c r="A60" s="253" t="s">
        <v>15</v>
      </c>
      <c r="B60" s="235" t="s">
        <v>2052</v>
      </c>
      <c r="C60" s="2820">
        <f ca="1">ROUND(IF(AND(项目基本情况!B7="自然人",项目基本情况!B6="北京市"),C50*F60/(1+'数据-取费表'!F30),C61+C62+C63),0)</f>
        <v>35841</v>
      </c>
      <c r="D60" s="1327" t="s">
        <v>2113</v>
      </c>
      <c r="E60" s="1330" t="s">
        <v>2114</v>
      </c>
      <c r="F60" s="2819" t="str">
        <f>IF(项目基本情况!B7="企业","——",IF('数据-取费表'!B10="住宅",IF(F50*F51*F52/12/(1+'数据-取费表'!F30)&gt;100000,4%,2.5%),IF(F50*F51*F52/12/(1+'数据-取费表'!F30)&gt;100000,12%,7%)))</f>
        <v>——</v>
      </c>
      <c r="I60" s="1545" t="s">
        <v>2186</v>
      </c>
      <c r="J60" s="1033"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439544</v>
      </c>
      <c r="R60" s="1049" t="s">
        <v>956</v>
      </c>
    </row>
    <row r="61" spans="1:18" s="651" customFormat="1" ht="16.5" thickBot="1">
      <c r="A61" s="253" t="s">
        <v>16</v>
      </c>
      <c r="B61" s="235" t="s">
        <v>2115</v>
      </c>
      <c r="C61" s="13">
        <f ca="1">IF(项目基本情况!B7="自然人","——",ROUND(C49*F61/(1+'数据-取费表'!F30),0))</f>
        <v>0</v>
      </c>
      <c r="D61" s="1330" t="s">
        <v>2116</v>
      </c>
      <c r="E61" s="235" t="s">
        <v>2065</v>
      </c>
      <c r="F61" s="267">
        <f t="shared" ref="F61:F67" si="0">F32</f>
        <v>5.6000000000000001E-2</v>
      </c>
      <c r="I61" s="1546" t="s">
        <v>2187</v>
      </c>
      <c r="J61" s="1032" t="str">
        <f>IF(OR(M48="住宅",J52&lt;L49,J57="是"),"0",ROUND(J60/(1+J53)^J54,0))</f>
        <v>0</v>
      </c>
      <c r="K61" s="1547" t="s">
        <v>2188</v>
      </c>
      <c r="L61" s="1032">
        <f>IF(OR(M48="住宅",L49&lt;J52),0,ROUND(L58*(L59/L60-1),0))</f>
        <v>0</v>
      </c>
      <c r="O61" s="1040" t="s">
        <v>2189</v>
      </c>
      <c r="P61" s="1041"/>
      <c r="Q61" s="1037"/>
      <c r="R61" s="1041"/>
    </row>
    <row r="62" spans="1:18" s="651" customFormat="1" ht="15.75" thickBot="1">
      <c r="A62" s="253" t="s">
        <v>17</v>
      </c>
      <c r="B62" s="235" t="s">
        <v>2190</v>
      </c>
      <c r="C62" s="13">
        <f ca="1">IF(项目基本情况!B7="自然人","——",IF(D62="按租金收入计税",ROUND(C49*F62,0),IF(D62="按房产原值计税",ROUND(C58*F62*0.7,0),'数据-取费表'!B44)))</f>
        <v>35841</v>
      </c>
      <c r="D62" s="1434" t="s">
        <v>2062</v>
      </c>
      <c r="E62" s="235" t="s">
        <v>2065</v>
      </c>
      <c r="F62" s="258">
        <f t="shared" si="0"/>
        <v>0.12</v>
      </c>
      <c r="O62" s="1042" t="s">
        <v>2135</v>
      </c>
      <c r="P62" s="1043" t="s">
        <v>2136</v>
      </c>
      <c r="Q62" s="1044" t="s">
        <v>2137</v>
      </c>
      <c r="R62" s="1045" t="s">
        <v>2138</v>
      </c>
    </row>
    <row r="63" spans="1:18" s="651" customFormat="1" ht="15.75" thickBot="1">
      <c r="A63" s="260" t="s">
        <v>18</v>
      </c>
      <c r="B63" s="36" t="s">
        <v>2191</v>
      </c>
      <c r="C63" s="14">
        <f>IF(项目基本情况!B7="自然人","——",ROUND(F63*F64,0))</f>
        <v>0</v>
      </c>
      <c r="D63" s="261" t="s">
        <v>2192</v>
      </c>
      <c r="E63" s="235" t="s">
        <v>2193</v>
      </c>
      <c r="F63" s="262">
        <f t="shared" si="0"/>
        <v>18</v>
      </c>
      <c r="I63" s="1548" t="s">
        <v>2194</v>
      </c>
      <c r="J63" s="1322" t="s">
        <v>2195</v>
      </c>
      <c r="K63" s="1322" t="s">
        <v>2196</v>
      </c>
      <c r="L63" s="1322" t="s">
        <v>2197</v>
      </c>
      <c r="M63" s="1321" t="s">
        <v>2198</v>
      </c>
      <c r="O63" s="1046" t="s">
        <v>949</v>
      </c>
      <c r="P63" s="1047" t="s">
        <v>2139</v>
      </c>
      <c r="Q63" s="1048">
        <f ca="1">C40+J29</f>
        <v>439544</v>
      </c>
      <c r="R63" s="1049" t="s">
        <v>2140</v>
      </c>
    </row>
    <row r="64" spans="1:18" s="651" customFormat="1" ht="20.25" thickBot="1">
      <c r="A64" s="263"/>
      <c r="B64" s="244"/>
      <c r="C64" s="17"/>
      <c r="D64" s="264"/>
      <c r="E64" s="235" t="s">
        <v>2199</v>
      </c>
      <c r="F64" s="236">
        <f t="shared" si="0"/>
        <v>0</v>
      </c>
      <c r="I64" s="1548" t="s">
        <v>2200</v>
      </c>
      <c r="J64" s="1322">
        <v>70</v>
      </c>
      <c r="K64" s="1322">
        <v>50</v>
      </c>
      <c r="L64" s="1322">
        <v>80</v>
      </c>
      <c r="M64" s="1320">
        <v>0.02</v>
      </c>
      <c r="O64" s="1046" t="s">
        <v>950</v>
      </c>
      <c r="P64" s="1047" t="s">
        <v>2171</v>
      </c>
      <c r="Q64" s="1048">
        <f>L61</f>
        <v>0</v>
      </c>
      <c r="R64" s="1049" t="s">
        <v>2172</v>
      </c>
    </row>
    <row r="65" spans="1:18" s="651" customFormat="1" ht="23.25" thickBot="1">
      <c r="A65" s="253" t="s">
        <v>19</v>
      </c>
      <c r="B65" s="235" t="s">
        <v>2120</v>
      </c>
      <c r="C65" s="13">
        <f ca="1">ROUND(C58*F65,0)</f>
        <v>6400</v>
      </c>
      <c r="D65" s="1330" t="s">
        <v>2121</v>
      </c>
      <c r="E65" s="235" t="s">
        <v>2065</v>
      </c>
      <c r="F65" s="265">
        <f t="shared" si="0"/>
        <v>1.4999999999999999E-2</v>
      </c>
      <c r="I65" s="1548" t="s">
        <v>2201</v>
      </c>
      <c r="J65" s="1322">
        <v>50</v>
      </c>
      <c r="K65" s="1322">
        <v>35</v>
      </c>
      <c r="L65" s="1322">
        <v>60</v>
      </c>
      <c r="M65" s="1321">
        <v>0</v>
      </c>
      <c r="O65" s="1050" t="s">
        <v>951</v>
      </c>
      <c r="P65" s="1047" t="s">
        <v>2175</v>
      </c>
      <c r="Q65" s="1052">
        <f ca="1">L52</f>
        <v>9032120</v>
      </c>
      <c r="R65" s="1053" t="s">
        <v>2202</v>
      </c>
    </row>
    <row r="66" spans="1:18" s="651" customFormat="1" ht="20.25" thickBot="1">
      <c r="A66" s="253" t="s">
        <v>20</v>
      </c>
      <c r="B66" s="235" t="s">
        <v>2080</v>
      </c>
      <c r="C66" s="13">
        <f ca="1">ROUND(C57*F66,0)</f>
        <v>493</v>
      </c>
      <c r="D66" s="1330" t="s">
        <v>2081</v>
      </c>
      <c r="E66" s="235" t="s">
        <v>2082</v>
      </c>
      <c r="F66" s="266">
        <f t="shared" si="0"/>
        <v>1.5E-3</v>
      </c>
      <c r="I66" s="1548" t="s">
        <v>2203</v>
      </c>
      <c r="J66" s="1322">
        <v>40</v>
      </c>
      <c r="K66" s="1322">
        <v>30</v>
      </c>
      <c r="L66" s="1322">
        <v>50</v>
      </c>
      <c r="M66" s="1320">
        <v>0.02</v>
      </c>
      <c r="O66" s="1050" t="s">
        <v>952</v>
      </c>
      <c r="P66" s="1054" t="s">
        <v>2204</v>
      </c>
      <c r="Q66" s="1048">
        <f ca="1">ROUND(Q67-Q68*Q69,0)</f>
        <v>15345</v>
      </c>
      <c r="R66" s="1049"/>
    </row>
    <row r="67" spans="1:18" s="651" customFormat="1" ht="15.75" thickBot="1">
      <c r="A67" s="253" t="s">
        <v>21</v>
      </c>
      <c r="B67" s="235" t="s">
        <v>2063</v>
      </c>
      <c r="C67" s="13">
        <f ca="1">ROUND(C49*F67,0)</f>
        <v>0</v>
      </c>
      <c r="D67" s="1330" t="s">
        <v>2086</v>
      </c>
      <c r="E67" s="235" t="s">
        <v>2082</v>
      </c>
      <c r="F67" s="245">
        <f t="shared" si="0"/>
        <v>0.01</v>
      </c>
      <c r="O67" s="1050" t="s">
        <v>957</v>
      </c>
      <c r="P67" s="1054" t="s">
        <v>2205</v>
      </c>
      <c r="Q67" s="1048">
        <f ca="1">C39</f>
        <v>15345</v>
      </c>
      <c r="R67" s="1049" t="s">
        <v>2140</v>
      </c>
    </row>
    <row r="68" spans="1:18" ht="15.75" thickBot="1">
      <c r="A68" s="248" t="s">
        <v>22</v>
      </c>
      <c r="B68" s="41" t="s">
        <v>2090</v>
      </c>
      <c r="C68" s="250">
        <f ca="1">C49-C59</f>
        <v>-42734</v>
      </c>
      <c r="D68" s="1327" t="s">
        <v>2091</v>
      </c>
      <c r="E68" s="1329"/>
      <c r="F68" s="268"/>
      <c r="H68" s="651"/>
      <c r="I68" s="651"/>
      <c r="J68" s="651"/>
      <c r="K68" s="651"/>
      <c r="L68" s="651"/>
      <c r="M68" s="651"/>
      <c r="O68" s="1050" t="s">
        <v>958</v>
      </c>
      <c r="P68" s="1054" t="s">
        <v>2206</v>
      </c>
      <c r="Q68" s="1048">
        <f ca="1">C13</f>
        <v>328538</v>
      </c>
      <c r="R68" s="1049" t="s">
        <v>2140</v>
      </c>
    </row>
    <row r="69" spans="1:18" ht="15.75" thickBot="1">
      <c r="A69" s="232" t="s">
        <v>23</v>
      </c>
      <c r="B69" s="233" t="s">
        <v>2128</v>
      </c>
      <c r="C69" s="234">
        <f ca="1">ROUND(C68*(1-((1+F71)/(1+F69))^F70)/(F69-F71),0)</f>
        <v>-853369</v>
      </c>
      <c r="D69" s="261" t="s">
        <v>2096</v>
      </c>
      <c r="E69" s="235" t="s">
        <v>2097</v>
      </c>
      <c r="F69" s="245">
        <f>F40</f>
        <v>4.4999999999999998E-2</v>
      </c>
      <c r="H69" s="651"/>
      <c r="I69" s="651"/>
      <c r="J69" s="651"/>
      <c r="K69" s="651"/>
      <c r="L69" s="651"/>
      <c r="M69" s="651"/>
      <c r="O69" s="1050" t="s">
        <v>959</v>
      </c>
      <c r="P69" s="1054" t="s">
        <v>2207</v>
      </c>
      <c r="Q69" s="1051">
        <f>J35</f>
        <v>0</v>
      </c>
      <c r="R69" s="1049"/>
    </row>
    <row r="70" spans="1:18" ht="15.75" thickBot="1">
      <c r="A70" s="237"/>
      <c r="B70" s="238"/>
      <c r="C70" s="239"/>
      <c r="D70" s="269" t="s">
        <v>2130</v>
      </c>
      <c r="E70" s="235" t="s">
        <v>2102</v>
      </c>
      <c r="F70" s="270">
        <f>F41</f>
        <v>52</v>
      </c>
      <c r="H70" s="651"/>
      <c r="I70" s="651"/>
      <c r="J70" s="651"/>
      <c r="K70" s="651"/>
      <c r="L70" s="651"/>
      <c r="M70" s="651"/>
      <c r="O70" s="1050" t="s">
        <v>953</v>
      </c>
      <c r="P70" s="1047" t="s">
        <v>2178</v>
      </c>
      <c r="Q70" s="1051">
        <f>L53</f>
        <v>0</v>
      </c>
      <c r="R70" s="1049"/>
    </row>
    <row r="71" spans="1:18" ht="20.25" thickBot="1">
      <c r="A71" s="241"/>
      <c r="B71" s="242"/>
      <c r="C71" s="243"/>
      <c r="D71" s="264"/>
      <c r="E71" s="235" t="s">
        <v>2106</v>
      </c>
      <c r="F71" s="1035"/>
      <c r="H71" s="651"/>
      <c r="M71" s="651"/>
      <c r="O71" s="1050" t="s">
        <v>954</v>
      </c>
      <c r="P71" s="1047" t="s">
        <v>2181</v>
      </c>
      <c r="Q71" s="1048" t="e">
        <f>L59</f>
        <v>#DIV/0!</v>
      </c>
      <c r="R71" s="1049" t="s">
        <v>2182</v>
      </c>
    </row>
    <row r="72" spans="1:18" ht="15.75" thickBot="1">
      <c r="A72" s="271" t="s">
        <v>24</v>
      </c>
      <c r="B72" s="272" t="s">
        <v>2131</v>
      </c>
      <c r="C72" s="273">
        <f ca="1">ROUND(C69/F72,0)</f>
        <v>-10363</v>
      </c>
      <c r="D72" s="274" t="s">
        <v>2132</v>
      </c>
      <c r="E72" s="275" t="s">
        <v>2133</v>
      </c>
      <c r="F72" s="276">
        <f>F43</f>
        <v>82.35</v>
      </c>
      <c r="O72" s="1050" t="s">
        <v>960</v>
      </c>
      <c r="P72" s="1047" t="str">
        <f>K60</f>
        <v>建筑物剩余耐用年限下的土地年期修正系数Kn</v>
      </c>
      <c r="Q72" s="1048" t="e">
        <f>L60</f>
        <v>#DIV/0!</v>
      </c>
      <c r="R72" s="1049" t="s">
        <v>2185</v>
      </c>
    </row>
    <row r="73" spans="1:18" ht="15.75" thickBot="1">
      <c r="A73" s="651"/>
      <c r="B73" s="655"/>
      <c r="C73" s="655"/>
      <c r="D73" s="651"/>
      <c r="E73" s="651"/>
      <c r="F73" s="651"/>
      <c r="O73" s="1046" t="s">
        <v>955</v>
      </c>
      <c r="P73" s="1047" t="str">
        <f>IF(C2="元","收益价值(元)","收益价值(万元)")</f>
        <v>收益价值(元)</v>
      </c>
      <c r="Q73" s="1048">
        <f ca="1">ROUND(IF(C2="元",Q63+Q64,(Q63+Q64)/10000),0)</f>
        <v>439544</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33" sqref="A33: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8" t="s">
        <v>1013</v>
      </c>
      <c r="B1" s="3459"/>
      <c r="C1" s="3460"/>
      <c r="D1" s="3461">
        <f>SUM(I10,I15,I20,I21,I23)</f>
        <v>0</v>
      </c>
      <c r="E1" s="3461"/>
      <c r="F1" s="3461"/>
      <c r="G1" s="3461"/>
      <c r="H1" s="3461"/>
      <c r="I1" s="3462"/>
    </row>
    <row r="2" spans="1:9">
      <c r="A2" s="3463" t="s">
        <v>1014</v>
      </c>
      <c r="B2" s="3464" t="s">
        <v>963</v>
      </c>
      <c r="C2" s="3464"/>
      <c r="D2" s="1061" t="s">
        <v>964</v>
      </c>
      <c r="E2" s="1061" t="s">
        <v>965</v>
      </c>
      <c r="F2" s="1061" t="s">
        <v>966</v>
      </c>
      <c r="G2" s="1061" t="s">
        <v>967</v>
      </c>
      <c r="H2" s="1061" t="s">
        <v>968</v>
      </c>
      <c r="I2" s="1062" t="s">
        <v>969</v>
      </c>
    </row>
    <row r="3" spans="1:9">
      <c r="A3" s="3463"/>
      <c r="B3" s="3464" t="s">
        <v>970</v>
      </c>
      <c r="C3" s="3464"/>
      <c r="D3" s="1063"/>
      <c r="E3" s="1061"/>
      <c r="F3" s="1064"/>
      <c r="G3" s="1064"/>
      <c r="H3" s="1065"/>
      <c r="I3" s="1066">
        <f>ROUND(D3*E3*F3*G3*H3/10000,0)</f>
        <v>0</v>
      </c>
    </row>
    <row r="4" spans="1:9">
      <c r="A4" s="3463"/>
      <c r="B4" s="3464" t="s">
        <v>971</v>
      </c>
      <c r="C4" s="3464"/>
      <c r="D4" s="1063"/>
      <c r="E4" s="1061"/>
      <c r="F4" s="1064"/>
      <c r="G4" s="1064"/>
      <c r="H4" s="1065"/>
      <c r="I4" s="1066">
        <f t="shared" ref="I4:I9" si="0">ROUND(D4*E4*F4*G4*H4/10000,0)</f>
        <v>0</v>
      </c>
    </row>
    <row r="5" spans="1:9">
      <c r="A5" s="3463"/>
      <c r="B5" s="3464" t="s">
        <v>972</v>
      </c>
      <c r="C5" s="3464"/>
      <c r="D5" s="1063"/>
      <c r="E5" s="1061"/>
      <c r="F5" s="1064"/>
      <c r="G5" s="1064"/>
      <c r="H5" s="1065"/>
      <c r="I5" s="1066">
        <f t="shared" si="0"/>
        <v>0</v>
      </c>
    </row>
    <row r="6" spans="1:9">
      <c r="A6" s="3463"/>
      <c r="B6" s="3464" t="s">
        <v>973</v>
      </c>
      <c r="C6" s="3464"/>
      <c r="D6" s="1063"/>
      <c r="E6" s="1061"/>
      <c r="F6" s="1064"/>
      <c r="G6" s="1064"/>
      <c r="H6" s="1065"/>
      <c r="I6" s="1066">
        <f t="shared" si="0"/>
        <v>0</v>
      </c>
    </row>
    <row r="7" spans="1:9">
      <c r="A7" s="3463"/>
      <c r="B7" s="3464" t="s">
        <v>974</v>
      </c>
      <c r="C7" s="3464"/>
      <c r="D7" s="1063"/>
      <c r="E7" s="1061"/>
      <c r="F7" s="1064"/>
      <c r="G7" s="1064"/>
      <c r="H7" s="1065"/>
      <c r="I7" s="1066">
        <f t="shared" si="0"/>
        <v>0</v>
      </c>
    </row>
    <row r="8" spans="1:9">
      <c r="A8" s="3463"/>
      <c r="B8" s="3464" t="s">
        <v>975</v>
      </c>
      <c r="C8" s="3464"/>
      <c r="D8" s="1063"/>
      <c r="E8" s="1061"/>
      <c r="F8" s="1064"/>
      <c r="G8" s="1064"/>
      <c r="H8" s="1065"/>
      <c r="I8" s="1066">
        <f t="shared" si="0"/>
        <v>0</v>
      </c>
    </row>
    <row r="9" spans="1:9">
      <c r="A9" s="3463"/>
      <c r="B9" s="3464" t="s">
        <v>976</v>
      </c>
      <c r="C9" s="3464"/>
      <c r="D9" s="1063"/>
      <c r="E9" s="1061"/>
      <c r="F9" s="1064"/>
      <c r="G9" s="1064"/>
      <c r="H9" s="1065"/>
      <c r="I9" s="1066">
        <f t="shared" si="0"/>
        <v>0</v>
      </c>
    </row>
    <row r="10" spans="1:9">
      <c r="A10" s="3463"/>
      <c r="B10" s="3465" t="s">
        <v>977</v>
      </c>
      <c r="C10" s="3465"/>
      <c r="D10" s="1067">
        <v>527</v>
      </c>
      <c r="E10" s="1067" t="e">
        <f>ROUND(D1*10000/D10/H9,0)</f>
        <v>#DIV/0!</v>
      </c>
      <c r="F10" s="1068"/>
      <c r="G10" s="1068"/>
      <c r="H10" s="1069"/>
      <c r="I10" s="1070">
        <f>SUM(I3:I9)</f>
        <v>0</v>
      </c>
    </row>
    <row r="11" spans="1:9" ht="14.25">
      <c r="A11" s="3463" t="s">
        <v>1015</v>
      </c>
      <c r="B11" s="3464" t="s">
        <v>978</v>
      </c>
      <c r="C11" s="3464"/>
      <c r="D11" s="1063" t="s">
        <v>979</v>
      </c>
      <c r="E11" s="1063" t="s">
        <v>980</v>
      </c>
      <c r="F11" s="1064" t="s">
        <v>981</v>
      </c>
      <c r="G11" s="1064" t="s">
        <v>968</v>
      </c>
      <c r="H11" s="1071" t="s">
        <v>982</v>
      </c>
      <c r="I11" s="1062" t="s">
        <v>969</v>
      </c>
    </row>
    <row r="12" spans="1:9">
      <c r="A12" s="3463"/>
      <c r="B12" s="3464" t="s">
        <v>983</v>
      </c>
      <c r="C12" s="3464"/>
      <c r="D12" s="1063"/>
      <c r="E12" s="1063"/>
      <c r="F12" s="1064"/>
      <c r="G12" s="1065"/>
      <c r="H12" s="1072"/>
      <c r="I12" s="1062">
        <f>ROUND(D12*E12*F12*G12/10000,0)</f>
        <v>0</v>
      </c>
    </row>
    <row r="13" spans="1:9">
      <c r="A13" s="3463"/>
      <c r="B13" s="3464" t="s">
        <v>984</v>
      </c>
      <c r="C13" s="3464"/>
      <c r="D13" s="1063"/>
      <c r="E13" s="1063"/>
      <c r="F13" s="1064"/>
      <c r="G13" s="1065"/>
      <c r="H13" s="1072"/>
      <c r="I13" s="1062">
        <f>ROUND(D13*E13*F13*G13/10000,0)</f>
        <v>0</v>
      </c>
    </row>
    <row r="14" spans="1:9">
      <c r="A14" s="3463"/>
      <c r="B14" s="3464" t="s">
        <v>985</v>
      </c>
      <c r="C14" s="3464"/>
      <c r="D14" s="1063"/>
      <c r="E14" s="1063"/>
      <c r="F14" s="1064"/>
      <c r="G14" s="1065"/>
      <c r="H14" s="1072"/>
      <c r="I14" s="1062">
        <f>ROUND(D14*E14*F14*G14/10000,0)</f>
        <v>0</v>
      </c>
    </row>
    <row r="15" spans="1:9">
      <c r="A15" s="3463"/>
      <c r="B15" s="3465" t="s">
        <v>977</v>
      </c>
      <c r="C15" s="3465"/>
      <c r="D15" s="1067"/>
      <c r="E15" s="1067">
        <f>SUM(E12:E14)</f>
        <v>0</v>
      </c>
      <c r="F15" s="1068"/>
      <c r="G15" s="1065"/>
      <c r="H15" s="1072"/>
      <c r="I15" s="1073">
        <f>SUM(I12:I14)</f>
        <v>0</v>
      </c>
    </row>
    <row r="16" spans="1:9" ht="24">
      <c r="A16" s="3463" t="s">
        <v>1016</v>
      </c>
      <c r="B16" s="3464" t="s">
        <v>986</v>
      </c>
      <c r="C16" s="3464"/>
      <c r="D16" s="1063" t="s">
        <v>964</v>
      </c>
      <c r="E16" s="1074" t="s">
        <v>987</v>
      </c>
      <c r="F16" s="1064" t="s">
        <v>988</v>
      </c>
      <c r="G16" s="1065" t="s">
        <v>968</v>
      </c>
      <c r="H16" s="1071" t="s">
        <v>982</v>
      </c>
      <c r="I16" s="1062" t="s">
        <v>969</v>
      </c>
    </row>
    <row r="17" spans="1:9" ht="14.25">
      <c r="A17" s="3463"/>
      <c r="B17" s="3464" t="s">
        <v>989</v>
      </c>
      <c r="C17" s="3464"/>
      <c r="D17" s="1063"/>
      <c r="E17" s="1063"/>
      <c r="F17" s="1064"/>
      <c r="G17" s="1065"/>
      <c r="H17" s="1075"/>
      <c r="I17" s="1076">
        <f>ROUND(D17*E17*F17*G17/10000,0)</f>
        <v>0</v>
      </c>
    </row>
    <row r="18" spans="1:9" ht="14.25">
      <c r="A18" s="3463"/>
      <c r="B18" s="3464" t="s">
        <v>990</v>
      </c>
      <c r="C18" s="3464"/>
      <c r="D18" s="1063"/>
      <c r="E18" s="1063"/>
      <c r="F18" s="1064"/>
      <c r="G18" s="1065"/>
      <c r="H18" s="1075"/>
      <c r="I18" s="1076">
        <f>ROUND(D18*E18*F18*G18/10000,0)</f>
        <v>0</v>
      </c>
    </row>
    <row r="19" spans="1:9" ht="14.25">
      <c r="A19" s="3463"/>
      <c r="B19" s="3464" t="s">
        <v>991</v>
      </c>
      <c r="C19" s="3464"/>
      <c r="D19" s="1063"/>
      <c r="E19" s="1063"/>
      <c r="F19" s="1064"/>
      <c r="G19" s="1065"/>
      <c r="H19" s="1075"/>
      <c r="I19" s="1076">
        <f>ROUND(D19*E19*F19*G19/10000,0)</f>
        <v>0</v>
      </c>
    </row>
    <row r="20" spans="1:9">
      <c r="A20" s="3463"/>
      <c r="B20" s="3465" t="s">
        <v>977</v>
      </c>
      <c r="C20" s="3465"/>
      <c r="D20" s="1067">
        <f>SUM(D17:D19)</f>
        <v>0</v>
      </c>
      <c r="E20" s="1067"/>
      <c r="F20" s="1068"/>
      <c r="G20" s="1065"/>
      <c r="H20" s="1072"/>
      <c r="I20" s="1073">
        <f>SUM(I17:I19)</f>
        <v>0</v>
      </c>
    </row>
    <row r="21" spans="1:9">
      <c r="A21" s="3463" t="s">
        <v>1017</v>
      </c>
      <c r="B21" s="3467"/>
      <c r="C21" s="3467"/>
      <c r="D21" s="3467"/>
      <c r="E21" s="3467"/>
      <c r="F21" s="3467"/>
      <c r="G21" s="3467"/>
      <c r="H21" s="1077">
        <v>0.1</v>
      </c>
      <c r="I21" s="1070">
        <f>ROUND(I10*H21,0)</f>
        <v>0</v>
      </c>
    </row>
    <row r="22" spans="1:9" ht="14.25">
      <c r="A22" s="3468" t="s">
        <v>1018</v>
      </c>
      <c r="B22" s="3469"/>
      <c r="C22" s="3470"/>
      <c r="D22" s="1078" t="s">
        <v>992</v>
      </c>
      <c r="E22" s="1078" t="s">
        <v>993</v>
      </c>
      <c r="F22" s="1079" t="s">
        <v>968</v>
      </c>
      <c r="G22" s="1079" t="s">
        <v>994</v>
      </c>
      <c r="H22" s="1071" t="s">
        <v>982</v>
      </c>
      <c r="I22" s="1062" t="s">
        <v>969</v>
      </c>
    </row>
    <row r="23" spans="1:9" ht="14.25" thickBot="1">
      <c r="A23" s="3471"/>
      <c r="B23" s="3472"/>
      <c r="C23" s="3473"/>
      <c r="D23" s="1080"/>
      <c r="E23" s="1080"/>
      <c r="F23" s="1080"/>
      <c r="G23" s="1081"/>
      <c r="H23" s="1082"/>
      <c r="I23" s="1083">
        <f>ROUND(E23*D23*F23*(1-G23)/10000,0)</f>
        <v>0</v>
      </c>
    </row>
    <row r="26" spans="1:9">
      <c r="A26" s="1084" t="s">
        <v>995</v>
      </c>
      <c r="B26" s="1084"/>
      <c r="C26" s="1084"/>
      <c r="D26" s="1084"/>
      <c r="E26" s="3474">
        <f>C27-C30-C31-C32</f>
        <v>0</v>
      </c>
      <c r="F26" s="3474"/>
      <c r="G26" s="3474"/>
      <c r="H26" s="1303" t="s">
        <v>1206</v>
      </c>
    </row>
    <row r="27" spans="1:9">
      <c r="A27" s="1085">
        <v>1</v>
      </c>
      <c r="B27" s="1086" t="s">
        <v>996</v>
      </c>
      <c r="C27" s="1086">
        <f>C28+C29</f>
        <v>0</v>
      </c>
      <c r="D27" s="1086"/>
      <c r="E27" s="3475"/>
      <c r="F27" s="3475"/>
      <c r="G27" s="3475"/>
    </row>
    <row r="28" spans="1:9">
      <c r="A28" s="1087" t="s">
        <v>997</v>
      </c>
      <c r="B28" s="1086" t="s">
        <v>998</v>
      </c>
      <c r="C28" s="1086"/>
      <c r="D28" s="1086"/>
      <c r="E28" s="3475"/>
      <c r="F28" s="3475"/>
      <c r="G28" s="3475"/>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66"/>
      <c r="F32" s="3466"/>
      <c r="G32" s="3466"/>
    </row>
    <row r="33" spans="1:7" hidden="1">
      <c r="A33" s="3476" t="s">
        <v>1007</v>
      </c>
      <c r="B33" s="3477"/>
      <c r="C33" s="3477"/>
      <c r="D33" s="3478"/>
      <c r="E33" s="3474"/>
      <c r="F33" s="3474"/>
      <c r="G33" s="3474"/>
    </row>
    <row r="34" spans="1:7" hidden="1">
      <c r="A34" s="1089">
        <v>1</v>
      </c>
      <c r="B34" s="1086" t="s">
        <v>1008</v>
      </c>
      <c r="C34" s="1086"/>
      <c r="D34" s="1086"/>
      <c r="E34" s="3475"/>
      <c r="F34" s="3475"/>
      <c r="G34" s="3475"/>
    </row>
    <row r="35" spans="1:7" hidden="1">
      <c r="A35" s="1089">
        <v>2</v>
      </c>
      <c r="B35" s="1086" t="s">
        <v>1009</v>
      </c>
      <c r="C35" s="1086"/>
      <c r="D35" s="1086"/>
      <c r="E35" s="3475"/>
      <c r="F35" s="3475"/>
      <c r="G35" s="3475"/>
    </row>
    <row r="36" spans="1:7" hidden="1">
      <c r="A36" s="1089">
        <v>3</v>
      </c>
      <c r="B36" s="1086" t="s">
        <v>1010</v>
      </c>
      <c r="C36" s="1086"/>
      <c r="D36" s="1086"/>
      <c r="E36" s="3475"/>
      <c r="F36" s="3475"/>
      <c r="G36" s="3475"/>
    </row>
    <row r="37" spans="1:7" hidden="1">
      <c r="A37" s="1089">
        <v>4</v>
      </c>
      <c r="B37" s="1086" t="s">
        <v>1011</v>
      </c>
      <c r="C37" s="1086"/>
      <c r="D37" s="1086"/>
      <c r="E37" s="3475"/>
      <c r="F37" s="3475"/>
      <c r="G37" s="3475"/>
    </row>
    <row r="38" spans="1:7" hidden="1">
      <c r="A38" s="3476" t="s">
        <v>1012</v>
      </c>
      <c r="B38" s="3477"/>
      <c r="C38" s="3477"/>
      <c r="D38" s="3478"/>
      <c r="E38" s="3474"/>
      <c r="F38" s="3474"/>
      <c r="G38" s="347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D33" sqref="D33"/>
      <selection pane="bottomLeft" activeCell="B36" sqref="B36"/>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2692376</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79166574</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482" t="s">
        <v>2213</v>
      </c>
      <c r="D4" s="3483"/>
      <c r="E4" s="3483"/>
      <c r="F4" s="3483"/>
      <c r="G4" s="3483"/>
      <c r="H4" s="3483"/>
      <c r="I4" s="3483"/>
      <c r="J4" s="3483"/>
      <c r="K4" s="3483"/>
      <c r="L4" s="3483"/>
      <c r="M4" s="3483"/>
      <c r="N4" s="3483"/>
      <c r="O4" s="3483"/>
      <c r="P4" s="3483"/>
      <c r="Q4" s="3483"/>
      <c r="R4" s="3483"/>
      <c r="S4" s="3484"/>
      <c r="T4" s="575" t="s">
        <v>2214</v>
      </c>
      <c r="U4" s="998"/>
      <c r="V4" s="998"/>
      <c r="X4" s="998"/>
      <c r="Y4" s="998"/>
    </row>
    <row r="5" spans="1:44" s="587" customFormat="1" ht="38.25">
      <c r="A5" s="1002"/>
      <c r="B5" s="583" t="s">
        <v>2215</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f>'比较法-住宅'!C103</f>
        <v>0</v>
      </c>
      <c r="D6" s="589">
        <f>'比较法-住宅'!D103</f>
        <v>50</v>
      </c>
      <c r="E6" s="589">
        <f>'比较法-住宅'!E103</f>
        <v>100</v>
      </c>
      <c r="F6" s="589">
        <f>'比较法-住宅'!F103</f>
        <v>150</v>
      </c>
      <c r="G6" s="589">
        <f>'比较法-住宅'!G103</f>
        <v>200</v>
      </c>
      <c r="H6" s="589">
        <f>'比较法-住宅'!H103</f>
        <v>300</v>
      </c>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589">
        <f>'比较法-住宅'!C104</f>
        <v>100</v>
      </c>
      <c r="D7" s="589">
        <f>'比较法-住宅'!D104</f>
        <v>98</v>
      </c>
      <c r="E7" s="589">
        <f>'比较法-住宅'!E104</f>
        <v>96</v>
      </c>
      <c r="F7" s="589">
        <f>'比较法-住宅'!F104</f>
        <v>94</v>
      </c>
      <c r="G7" s="589">
        <f>'比较法-住宅'!G104</f>
        <v>92</v>
      </c>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3172" t="s">
        <v>2968</v>
      </c>
      <c r="C8" s="3173" t="s">
        <v>2969</v>
      </c>
      <c r="D8" s="887"/>
      <c r="E8" s="887"/>
      <c r="F8" s="887"/>
      <c r="G8" s="887"/>
      <c r="H8" s="887"/>
      <c r="I8" s="887"/>
      <c r="J8" s="887"/>
      <c r="K8" s="887"/>
      <c r="L8" s="888"/>
      <c r="M8" s="889"/>
      <c r="N8" s="889"/>
      <c r="O8" s="887"/>
      <c r="P8" s="887"/>
      <c r="Q8" s="887"/>
      <c r="R8" s="887"/>
      <c r="S8" s="914"/>
      <c r="T8" s="890">
        <f>'比较法-住宅'!C91-'比较法-住宅'!D91</f>
        <v>2</v>
      </c>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98</v>
      </c>
      <c r="E9" s="878">
        <f t="shared" si="7"/>
        <v>96</v>
      </c>
      <c r="F9" s="878">
        <f t="shared" si="7"/>
        <v>94</v>
      </c>
      <c r="G9" s="878">
        <f t="shared" si="7"/>
        <v>92</v>
      </c>
      <c r="H9" s="878">
        <f t="shared" si="7"/>
        <v>90</v>
      </c>
      <c r="I9" s="878">
        <f t="shared" si="7"/>
        <v>88</v>
      </c>
      <c r="J9" s="878">
        <f t="shared" si="7"/>
        <v>86</v>
      </c>
      <c r="K9" s="878">
        <f t="shared" si="7"/>
        <v>84</v>
      </c>
      <c r="L9" s="878">
        <f t="shared" si="7"/>
        <v>82</v>
      </c>
      <c r="M9" s="879">
        <f t="shared" si="7"/>
        <v>80</v>
      </c>
      <c r="N9" s="879">
        <f t="shared" si="7"/>
        <v>78</v>
      </c>
      <c r="O9" s="878">
        <f t="shared" si="7"/>
        <v>76</v>
      </c>
      <c r="P9" s="878">
        <f t="shared" si="7"/>
        <v>74</v>
      </c>
      <c r="Q9" s="878">
        <f t="shared" si="7"/>
        <v>72</v>
      </c>
      <c r="R9" s="878">
        <f t="shared" si="7"/>
        <v>70</v>
      </c>
      <c r="S9" s="915">
        <f t="shared" si="7"/>
        <v>68</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ht="25.5">
      <c r="A10" s="1005"/>
      <c r="B10" s="3174" t="s">
        <v>2970</v>
      </c>
      <c r="C10" s="871" t="str">
        <f>'比较法-住宅'!D109</f>
        <v>普通装修</v>
      </c>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2216</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2217</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2218</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2219</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9" t="s">
        <v>2220</v>
      </c>
      <c r="B20" s="1550" t="s">
        <v>2221</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1" t="s">
        <v>2222</v>
      </c>
      <c r="G22" s="1323"/>
      <c r="H22" s="1323"/>
      <c r="I22" s="1323"/>
      <c r="J22" s="1324"/>
      <c r="K22" s="37"/>
      <c r="L22" s="37"/>
      <c r="M22" s="37"/>
      <c r="N22" s="37"/>
      <c r="O22" s="37"/>
      <c r="P22" s="37"/>
      <c r="Q22" s="37"/>
      <c r="R22" s="644"/>
      <c r="S22" s="31"/>
      <c r="T22" s="31"/>
      <c r="U22" s="998"/>
      <c r="V22" s="999"/>
      <c r="W22" s="661"/>
      <c r="X22" s="661"/>
      <c r="Y22" s="661"/>
      <c r="Z22" s="661"/>
    </row>
    <row r="23" spans="1:45" ht="16.5" thickBot="1">
      <c r="A23" s="81" t="s">
        <v>2223</v>
      </c>
      <c r="B23" s="224">
        <f ca="1">IF(F23="——",IF(C23="万元",T25,S25),IF(C23="万元",T25-H23,S25-H23))</f>
        <v>2692376</v>
      </c>
      <c r="C23" s="1552" t="str">
        <f>'数据-取费表'!B3</f>
        <v>元</v>
      </c>
      <c r="D23" s="37"/>
      <c r="E23" s="37"/>
      <c r="F23" s="1553" t="s">
        <v>1241</v>
      </c>
      <c r="G23" s="1325"/>
      <c r="H23" s="575" t="e">
        <f ca="1">SUMIF(INDIRECT("'"&amp;J23&amp;"'"&amp;"!A:A"),"承租人权益价值",INDIRECT("'"&amp;J23&amp;"'"&amp;"!c:c"))</f>
        <v>#REF!</v>
      </c>
      <c r="I23" s="575" t="str">
        <f>C2</f>
        <v>元</v>
      </c>
      <c r="J23" s="1554"/>
      <c r="K23" s="37"/>
      <c r="L23" s="37"/>
      <c r="M23" s="37"/>
      <c r="N23" s="37"/>
      <c r="O23" s="37"/>
      <c r="P23" s="37"/>
      <c r="Q23" s="37"/>
      <c r="R23" s="644"/>
      <c r="S23" s="31"/>
      <c r="T23" s="31"/>
      <c r="U23" s="998"/>
      <c r="V23" s="999"/>
      <c r="W23" s="661"/>
      <c r="X23" s="661"/>
      <c r="Y23" s="661"/>
      <c r="Z23" s="661"/>
    </row>
    <row r="24" spans="1:45" ht="15.75">
      <c r="A24" s="1552" t="s">
        <v>2224</v>
      </c>
      <c r="B24" s="224">
        <f ca="1">ROUND(B23*10000/B25,0)</f>
        <v>79166574</v>
      </c>
      <c r="C24" s="863"/>
      <c r="D24" s="37"/>
      <c r="E24" s="37"/>
      <c r="F24" s="37"/>
      <c r="G24" s="37"/>
      <c r="H24" s="37"/>
      <c r="I24" s="37"/>
      <c r="J24" s="37"/>
      <c r="K24" s="37"/>
      <c r="L24" s="37"/>
      <c r="M24" s="37"/>
      <c r="N24" s="37"/>
      <c r="O24" s="37"/>
      <c r="P24" s="37"/>
      <c r="Q24" s="37"/>
      <c r="R24" s="644"/>
      <c r="S24" s="13" t="s">
        <v>2225</v>
      </c>
      <c r="T24" s="1331" t="s">
        <v>2226</v>
      </c>
      <c r="U24" s="2240" t="s">
        <v>2227</v>
      </c>
      <c r="V24" s="2981"/>
      <c r="W24" s="2982" t="s">
        <v>2228</v>
      </c>
      <c r="X24" s="2240" t="s">
        <v>2229</v>
      </c>
      <c r="Y24" s="2981"/>
      <c r="Z24" s="2983" t="s">
        <v>2228</v>
      </c>
    </row>
    <row r="25" spans="1:45">
      <c r="A25" s="250" t="s">
        <v>2230</v>
      </c>
      <c r="B25" s="13">
        <f>SUM(B27:B10000)</f>
        <v>340.09000000000003</v>
      </c>
      <c r="C25" s="3479" t="s">
        <v>45</v>
      </c>
      <c r="D25" s="3480"/>
      <c r="E25" s="3480"/>
      <c r="F25" s="3480"/>
      <c r="G25" s="3480"/>
      <c r="H25" s="3480"/>
      <c r="I25" s="3480"/>
      <c r="J25" s="3480"/>
      <c r="K25" s="3480"/>
      <c r="L25" s="3480"/>
      <c r="M25" s="3480"/>
      <c r="N25" s="3480"/>
      <c r="O25" s="3480"/>
      <c r="P25" s="3480"/>
      <c r="Q25" s="3481"/>
      <c r="R25" s="597">
        <f ca="1">IF(C23="万元",ROUND(T25*10000/B25,0),ROUND(S25/B25,0))</f>
        <v>7917</v>
      </c>
      <c r="S25" s="13">
        <f ca="1">SUM(S27:S10000)</f>
        <v>2692376</v>
      </c>
      <c r="T25" s="13">
        <f ca="1">SUM(T27:T10000)</f>
        <v>269</v>
      </c>
      <c r="U25" s="17">
        <f>SUM(U27:U10000)</f>
        <v>0</v>
      </c>
      <c r="V25" s="17">
        <f>SUM(V27:V10000)</f>
        <v>0</v>
      </c>
      <c r="W25" s="2985"/>
      <c r="X25" s="17">
        <f>SUM(X27:X10000)</f>
        <v>0</v>
      </c>
      <c r="Y25" s="17">
        <f>SUM(Y27:Y10000)</f>
        <v>0</v>
      </c>
      <c r="Z25" s="1555"/>
    </row>
    <row r="26" spans="1:45" s="11" customFormat="1" ht="24">
      <c r="A26" s="10" t="s">
        <v>2231</v>
      </c>
      <c r="B26" s="10" t="s">
        <v>2232</v>
      </c>
      <c r="C26" s="10" t="s">
        <v>2233</v>
      </c>
      <c r="D26" s="10" t="str">
        <f>B8</f>
        <v>楼层</v>
      </c>
      <c r="E26" s="10" t="s">
        <v>2233</v>
      </c>
      <c r="F26" s="10" t="str">
        <f>B10</f>
        <v>装修</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3" t="s">
        <v>2236</v>
      </c>
      <c r="V26" s="683" t="s">
        <v>2237</v>
      </c>
      <c r="W26" s="10" t="s">
        <v>2238</v>
      </c>
      <c r="X26" s="683" t="s">
        <v>2236</v>
      </c>
      <c r="Y26" s="683" t="s">
        <v>2237</v>
      </c>
      <c r="Z26" s="10" t="s">
        <v>2238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71" t="s">
        <v>2967</v>
      </c>
      <c r="B27" s="599">
        <f>'数据-取费表'!E5</f>
        <v>82.35</v>
      </c>
      <c r="C27" s="900">
        <v>1</v>
      </c>
      <c r="D27" s="600" t="s">
        <v>2921</v>
      </c>
      <c r="E27" s="900">
        <v>1</v>
      </c>
      <c r="F27" s="600" t="s">
        <v>2948</v>
      </c>
      <c r="G27" s="900">
        <v>1</v>
      </c>
      <c r="H27" s="600"/>
      <c r="I27" s="900">
        <v>1</v>
      </c>
      <c r="J27" s="600"/>
      <c r="K27" s="900">
        <v>1</v>
      </c>
      <c r="L27" s="600"/>
      <c r="M27" s="900">
        <v>1</v>
      </c>
      <c r="N27" s="600"/>
      <c r="O27" s="900">
        <v>1</v>
      </c>
      <c r="P27" s="600"/>
      <c r="Q27" s="900">
        <v>1</v>
      </c>
      <c r="R27" s="906">
        <f ca="1">'结果表 (1修多)'!G20</f>
        <v>7971</v>
      </c>
      <c r="S27" s="599">
        <f ca="1">ROUND(R27*B27,0)</f>
        <v>656412</v>
      </c>
      <c r="T27" s="599">
        <f ca="1">ROUND(R27*B27/10000,0)</f>
        <v>66</v>
      </c>
      <c r="U27" s="2984">
        <f>ROUND(W27*B27,0)</f>
        <v>0</v>
      </c>
      <c r="V27" s="2984">
        <f>ROUND(W27*B27/10000,0)</f>
        <v>0</v>
      </c>
      <c r="W27" s="996"/>
      <c r="X27" s="2984">
        <f>ROUND(Z27*B27,0)</f>
        <v>0</v>
      </c>
      <c r="Y27" s="2984">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2008</v>
      </c>
      <c r="B28" s="20">
        <v>68.150000000000006</v>
      </c>
      <c r="C28" s="13">
        <f t="shared" ref="C28:C91" si="14">IF(B28="",1,(LOOKUP(B28,$6:$6,$7:$7)-LOOKUP($B$27,$6:$6,$7:$7)+100)/100)</f>
        <v>1</v>
      </c>
      <c r="D28" s="600" t="s">
        <v>2921</v>
      </c>
      <c r="E28" s="13">
        <f t="shared" ref="E28:E91" si="15">(SUMIF($8:$8,D28,$9:$9)-SUMIF($8:$8,$D$27,$9:$9)+100)/100</f>
        <v>1</v>
      </c>
      <c r="F28" s="600" t="s">
        <v>2948</v>
      </c>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7971</v>
      </c>
      <c r="S28" s="250">
        <f ca="1">ROUND(R28*B28,0)</f>
        <v>543224</v>
      </c>
      <c r="T28" s="900">
        <f ca="1">ROUND(R28*B28/10000,0)</f>
        <v>54</v>
      </c>
      <c r="U28" s="2984">
        <f t="shared" ref="U28:U91" si="22">ROUND(W28*B28,0)</f>
        <v>0</v>
      </c>
      <c r="V28" s="2984">
        <f t="shared" ref="V28:V91" si="23">ROUND(W28*B28/10000,0)</f>
        <v>0</v>
      </c>
      <c r="W28" s="997"/>
      <c r="X28" s="2984">
        <f t="shared" ref="X28:X91" si="24">ROUND(Z28*B28,0)</f>
        <v>0</v>
      </c>
      <c r="Y28" s="2984">
        <f t="shared" ref="Y28:Y91" si="25">ROUND(Z28*B28/10000,0)</f>
        <v>0</v>
      </c>
      <c r="Z28" s="997"/>
    </row>
    <row r="29" spans="1:45">
      <c r="A29" s="35">
        <v>2007</v>
      </c>
      <c r="B29" s="20">
        <v>116.24</v>
      </c>
      <c r="C29" s="13">
        <f t="shared" si="14"/>
        <v>0.98</v>
      </c>
      <c r="D29" s="600" t="s">
        <v>2921</v>
      </c>
      <c r="E29" s="13">
        <f t="shared" si="15"/>
        <v>1</v>
      </c>
      <c r="F29" s="600" t="s">
        <v>2948</v>
      </c>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ca="1" si="26">IF(B29="",0,ROUND($R$27*C29*E29*G29*I29*K29*M29*O29*Q29,0))</f>
        <v>7812</v>
      </c>
      <c r="S29" s="250">
        <f t="shared" ref="S29:S92" ca="1" si="27">ROUND(R29*B29,0)</f>
        <v>908067</v>
      </c>
      <c r="T29" s="900">
        <f t="shared" ref="T29:T92" ca="1" si="28">ROUND(R29*B29/10000,0)</f>
        <v>91</v>
      </c>
      <c r="U29" s="2984">
        <f t="shared" si="22"/>
        <v>0</v>
      </c>
      <c r="V29" s="2984">
        <f t="shared" si="23"/>
        <v>0</v>
      </c>
      <c r="W29" s="997"/>
      <c r="X29" s="2984">
        <f t="shared" si="24"/>
        <v>0</v>
      </c>
      <c r="Y29" s="2984">
        <f t="shared" si="25"/>
        <v>0</v>
      </c>
      <c r="Z29" s="997"/>
    </row>
    <row r="30" spans="1:45">
      <c r="A30" s="35">
        <v>2001</v>
      </c>
      <c r="B30" s="20">
        <v>73.349999999999994</v>
      </c>
      <c r="C30" s="13">
        <f t="shared" si="14"/>
        <v>1</v>
      </c>
      <c r="D30" s="600" t="s">
        <v>2921</v>
      </c>
      <c r="E30" s="13">
        <f t="shared" si="15"/>
        <v>1</v>
      </c>
      <c r="F30" s="600" t="s">
        <v>2948</v>
      </c>
      <c r="G30" s="13">
        <f t="shared" si="16"/>
        <v>1</v>
      </c>
      <c r="H30" s="600"/>
      <c r="I30" s="13">
        <f t="shared" si="17"/>
        <v>1</v>
      </c>
      <c r="J30" s="600"/>
      <c r="K30" s="13">
        <f t="shared" si="18"/>
        <v>1</v>
      </c>
      <c r="L30" s="600"/>
      <c r="M30" s="13">
        <f t="shared" si="19"/>
        <v>1</v>
      </c>
      <c r="N30" s="600"/>
      <c r="O30" s="13">
        <f t="shared" si="20"/>
        <v>1</v>
      </c>
      <c r="P30" s="600"/>
      <c r="Q30" s="13">
        <f t="shared" si="21"/>
        <v>1</v>
      </c>
      <c r="R30" s="597">
        <f t="shared" ca="1" si="26"/>
        <v>7971</v>
      </c>
      <c r="S30" s="250">
        <f t="shared" ca="1" si="27"/>
        <v>584673</v>
      </c>
      <c r="T30" s="900">
        <f t="shared" ca="1" si="28"/>
        <v>58</v>
      </c>
      <c r="U30" s="2984">
        <f t="shared" si="22"/>
        <v>0</v>
      </c>
      <c r="V30" s="2984">
        <f t="shared" si="23"/>
        <v>0</v>
      </c>
      <c r="W30" s="997"/>
      <c r="X30" s="2984">
        <f t="shared" si="24"/>
        <v>0</v>
      </c>
      <c r="Y30" s="2984">
        <f t="shared" si="25"/>
        <v>0</v>
      </c>
      <c r="Z30" s="997"/>
    </row>
    <row r="31" spans="1:45">
      <c r="A31" s="35"/>
      <c r="B31" s="20"/>
      <c r="C31" s="13">
        <f t="shared" si="14"/>
        <v>1</v>
      </c>
      <c r="D31" s="600"/>
      <c r="E31" s="13">
        <f t="shared" si="15"/>
        <v>0</v>
      </c>
      <c r="F31" s="600"/>
      <c r="G31" s="13">
        <f t="shared" si="16"/>
        <v>0</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900">
        <f t="shared" si="28"/>
        <v>0</v>
      </c>
      <c r="U31" s="2984">
        <f t="shared" si="22"/>
        <v>0</v>
      </c>
      <c r="V31" s="2984">
        <f t="shared" si="23"/>
        <v>0</v>
      </c>
      <c r="W31" s="997"/>
      <c r="X31" s="2984">
        <f t="shared" si="24"/>
        <v>0</v>
      </c>
      <c r="Y31" s="2984">
        <f t="shared" si="25"/>
        <v>0</v>
      </c>
      <c r="Z31" s="997"/>
    </row>
    <row r="32" spans="1:45">
      <c r="A32" s="35"/>
      <c r="B32" s="20"/>
      <c r="C32" s="13">
        <f t="shared" si="14"/>
        <v>1</v>
      </c>
      <c r="D32" s="600"/>
      <c r="E32" s="13">
        <f t="shared" si="15"/>
        <v>0</v>
      </c>
      <c r="F32" s="600"/>
      <c r="G32" s="13">
        <f t="shared" si="16"/>
        <v>0</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900">
        <f t="shared" si="28"/>
        <v>0</v>
      </c>
      <c r="U32" s="2984">
        <f t="shared" si="22"/>
        <v>0</v>
      </c>
      <c r="V32" s="2984">
        <f t="shared" si="23"/>
        <v>0</v>
      </c>
      <c r="W32" s="997"/>
      <c r="X32" s="2984">
        <f t="shared" si="24"/>
        <v>0</v>
      </c>
      <c r="Y32" s="2984">
        <f t="shared" si="25"/>
        <v>0</v>
      </c>
      <c r="Z32" s="997"/>
    </row>
    <row r="33" spans="1:26">
      <c r="A33" s="35"/>
      <c r="B33" s="20"/>
      <c r="C33" s="13">
        <f t="shared" si="14"/>
        <v>1</v>
      </c>
      <c r="D33" s="600"/>
      <c r="E33" s="13">
        <f t="shared" si="15"/>
        <v>0</v>
      </c>
      <c r="F33" s="600"/>
      <c r="G33" s="13">
        <f t="shared" si="16"/>
        <v>0</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900">
        <f t="shared" si="28"/>
        <v>0</v>
      </c>
      <c r="U33" s="2984">
        <f t="shared" si="22"/>
        <v>0</v>
      </c>
      <c r="V33" s="2984">
        <f t="shared" si="23"/>
        <v>0</v>
      </c>
      <c r="W33" s="997"/>
      <c r="X33" s="2984">
        <f t="shared" si="24"/>
        <v>0</v>
      </c>
      <c r="Y33" s="2984">
        <f t="shared" si="25"/>
        <v>0</v>
      </c>
      <c r="Z33" s="997"/>
    </row>
    <row r="34" spans="1:26">
      <c r="A34" s="35"/>
      <c r="B34" s="20"/>
      <c r="C34" s="13">
        <f t="shared" si="14"/>
        <v>1</v>
      </c>
      <c r="D34" s="600"/>
      <c r="E34" s="13">
        <f t="shared" si="15"/>
        <v>0</v>
      </c>
      <c r="F34" s="600"/>
      <c r="G34" s="13">
        <f t="shared" si="16"/>
        <v>0</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900">
        <f t="shared" si="28"/>
        <v>0</v>
      </c>
      <c r="U34" s="2984">
        <f t="shared" si="22"/>
        <v>0</v>
      </c>
      <c r="V34" s="2984">
        <f t="shared" si="23"/>
        <v>0</v>
      </c>
      <c r="W34" s="997"/>
      <c r="X34" s="2984">
        <f t="shared" si="24"/>
        <v>0</v>
      </c>
      <c r="Y34" s="2984">
        <f t="shared" si="25"/>
        <v>0</v>
      </c>
      <c r="Z34" s="997"/>
    </row>
    <row r="35" spans="1:26">
      <c r="A35" s="35"/>
      <c r="B35" s="20"/>
      <c r="C35" s="13">
        <f t="shared" si="14"/>
        <v>1</v>
      </c>
      <c r="D35" s="600"/>
      <c r="E35" s="13">
        <f t="shared" si="15"/>
        <v>0</v>
      </c>
      <c r="F35" s="600"/>
      <c r="G35" s="13">
        <f t="shared" si="16"/>
        <v>0</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900">
        <f t="shared" si="28"/>
        <v>0</v>
      </c>
      <c r="U35" s="2984">
        <f t="shared" si="22"/>
        <v>0</v>
      </c>
      <c r="V35" s="2984">
        <f t="shared" si="23"/>
        <v>0</v>
      </c>
      <c r="W35" s="997"/>
      <c r="X35" s="2984">
        <f t="shared" si="24"/>
        <v>0</v>
      </c>
      <c r="Y35" s="2984">
        <f t="shared" si="25"/>
        <v>0</v>
      </c>
      <c r="Z35" s="997"/>
    </row>
    <row r="36" spans="1:26">
      <c r="A36" s="35"/>
      <c r="B36" s="20"/>
      <c r="C36" s="13">
        <f t="shared" si="14"/>
        <v>1</v>
      </c>
      <c r="D36" s="600"/>
      <c r="E36" s="13">
        <f t="shared" si="15"/>
        <v>0</v>
      </c>
      <c r="F36" s="600"/>
      <c r="G36" s="13">
        <f t="shared" si="16"/>
        <v>0</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900">
        <f t="shared" si="28"/>
        <v>0</v>
      </c>
      <c r="U36" s="2984">
        <f t="shared" si="22"/>
        <v>0</v>
      </c>
      <c r="V36" s="2984">
        <f t="shared" si="23"/>
        <v>0</v>
      </c>
      <c r="W36" s="997"/>
      <c r="X36" s="2984">
        <f t="shared" si="24"/>
        <v>0</v>
      </c>
      <c r="Y36" s="2984">
        <f t="shared" si="25"/>
        <v>0</v>
      </c>
      <c r="Z36" s="997"/>
    </row>
    <row r="37" spans="1:26">
      <c r="A37" s="35"/>
      <c r="B37" s="20"/>
      <c r="C37" s="13">
        <f t="shared" si="14"/>
        <v>1</v>
      </c>
      <c r="D37" s="600"/>
      <c r="E37" s="13">
        <f t="shared" si="15"/>
        <v>0</v>
      </c>
      <c r="F37" s="600"/>
      <c r="G37" s="13">
        <f t="shared" si="16"/>
        <v>0</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900">
        <f t="shared" si="28"/>
        <v>0</v>
      </c>
      <c r="U37" s="2984">
        <f t="shared" si="22"/>
        <v>0</v>
      </c>
      <c r="V37" s="2984">
        <f t="shared" si="23"/>
        <v>0</v>
      </c>
      <c r="W37" s="997"/>
      <c r="X37" s="2984">
        <f t="shared" si="24"/>
        <v>0</v>
      </c>
      <c r="Y37" s="2984">
        <f t="shared" si="25"/>
        <v>0</v>
      </c>
      <c r="Z37" s="997"/>
    </row>
    <row r="38" spans="1:26">
      <c r="A38" s="35"/>
      <c r="B38" s="20"/>
      <c r="C38" s="13">
        <f t="shared" si="14"/>
        <v>1</v>
      </c>
      <c r="D38" s="600"/>
      <c r="E38" s="13">
        <f t="shared" si="15"/>
        <v>0</v>
      </c>
      <c r="F38" s="600"/>
      <c r="G38" s="13">
        <f t="shared" si="16"/>
        <v>0</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900">
        <f t="shared" si="28"/>
        <v>0</v>
      </c>
      <c r="U38" s="2984">
        <f t="shared" si="22"/>
        <v>0</v>
      </c>
      <c r="V38" s="2984">
        <f t="shared" si="23"/>
        <v>0</v>
      </c>
      <c r="W38" s="997"/>
      <c r="X38" s="2984">
        <f t="shared" si="24"/>
        <v>0</v>
      </c>
      <c r="Y38" s="2984">
        <f t="shared" si="25"/>
        <v>0</v>
      </c>
      <c r="Z38" s="997"/>
    </row>
    <row r="39" spans="1:26">
      <c r="A39" s="35"/>
      <c r="B39" s="20"/>
      <c r="C39" s="13">
        <f t="shared" si="14"/>
        <v>1</v>
      </c>
      <c r="D39" s="600"/>
      <c r="E39" s="13">
        <f t="shared" si="15"/>
        <v>0</v>
      </c>
      <c r="F39" s="600"/>
      <c r="G39" s="13">
        <f t="shared" si="16"/>
        <v>0</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900">
        <f t="shared" si="28"/>
        <v>0</v>
      </c>
      <c r="U39" s="2984">
        <f t="shared" si="22"/>
        <v>0</v>
      </c>
      <c r="V39" s="2984">
        <f t="shared" si="23"/>
        <v>0</v>
      </c>
      <c r="W39" s="997"/>
      <c r="X39" s="2984">
        <f t="shared" si="24"/>
        <v>0</v>
      </c>
      <c r="Y39" s="2984">
        <f t="shared" si="25"/>
        <v>0</v>
      </c>
      <c r="Z39" s="997"/>
    </row>
    <row r="40" spans="1:26">
      <c r="A40" s="35"/>
      <c r="B40" s="20"/>
      <c r="C40" s="13">
        <f t="shared" si="14"/>
        <v>1</v>
      </c>
      <c r="D40" s="600"/>
      <c r="E40" s="13">
        <f t="shared" si="15"/>
        <v>0</v>
      </c>
      <c r="F40" s="600"/>
      <c r="G40" s="13">
        <f t="shared" si="16"/>
        <v>0</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900">
        <f t="shared" si="28"/>
        <v>0</v>
      </c>
      <c r="U40" s="2984">
        <f t="shared" si="22"/>
        <v>0</v>
      </c>
      <c r="V40" s="2984">
        <f t="shared" si="23"/>
        <v>0</v>
      </c>
      <c r="W40" s="997"/>
      <c r="X40" s="2984">
        <f t="shared" si="24"/>
        <v>0</v>
      </c>
      <c r="Y40" s="2984">
        <f t="shared" si="25"/>
        <v>0</v>
      </c>
      <c r="Z40" s="997"/>
    </row>
    <row r="41" spans="1:26">
      <c r="A41" s="35"/>
      <c r="B41" s="20"/>
      <c r="C41" s="13">
        <f t="shared" si="14"/>
        <v>1</v>
      </c>
      <c r="D41" s="600"/>
      <c r="E41" s="13">
        <f t="shared" si="15"/>
        <v>0</v>
      </c>
      <c r="F41" s="600"/>
      <c r="G41" s="13">
        <f t="shared" si="16"/>
        <v>0</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900">
        <f t="shared" si="28"/>
        <v>0</v>
      </c>
      <c r="U41" s="2984">
        <f t="shared" si="22"/>
        <v>0</v>
      </c>
      <c r="V41" s="2984">
        <f t="shared" si="23"/>
        <v>0</v>
      </c>
      <c r="W41" s="997"/>
      <c r="X41" s="2984">
        <f t="shared" si="24"/>
        <v>0</v>
      </c>
      <c r="Y41" s="2984">
        <f t="shared" si="25"/>
        <v>0</v>
      </c>
      <c r="Z41" s="997"/>
    </row>
    <row r="42" spans="1:26">
      <c r="A42" s="35"/>
      <c r="B42" s="20"/>
      <c r="C42" s="13">
        <f t="shared" si="14"/>
        <v>1</v>
      </c>
      <c r="D42" s="600"/>
      <c r="E42" s="13">
        <f t="shared" si="15"/>
        <v>0</v>
      </c>
      <c r="F42" s="600"/>
      <c r="G42" s="13">
        <f t="shared" si="16"/>
        <v>0</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900">
        <f t="shared" si="28"/>
        <v>0</v>
      </c>
      <c r="U42" s="2984">
        <f t="shared" si="22"/>
        <v>0</v>
      </c>
      <c r="V42" s="2984">
        <f t="shared" si="23"/>
        <v>0</v>
      </c>
      <c r="W42" s="997"/>
      <c r="X42" s="2984">
        <f t="shared" si="24"/>
        <v>0</v>
      </c>
      <c r="Y42" s="2984">
        <f t="shared" si="25"/>
        <v>0</v>
      </c>
      <c r="Z42" s="997"/>
    </row>
    <row r="43" spans="1:26">
      <c r="A43" s="35"/>
      <c r="B43" s="20"/>
      <c r="C43" s="13">
        <f t="shared" si="14"/>
        <v>1</v>
      </c>
      <c r="D43" s="600"/>
      <c r="E43" s="13">
        <f t="shared" si="15"/>
        <v>0</v>
      </c>
      <c r="F43" s="600"/>
      <c r="G43" s="13">
        <f t="shared" si="16"/>
        <v>0</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900">
        <f t="shared" si="28"/>
        <v>0</v>
      </c>
      <c r="U43" s="2984">
        <f t="shared" si="22"/>
        <v>0</v>
      </c>
      <c r="V43" s="2984">
        <f t="shared" si="23"/>
        <v>0</v>
      </c>
      <c r="W43" s="997"/>
      <c r="X43" s="2984">
        <f t="shared" si="24"/>
        <v>0</v>
      </c>
      <c r="Y43" s="2984">
        <f t="shared" si="25"/>
        <v>0</v>
      </c>
      <c r="Z43" s="997"/>
    </row>
    <row r="44" spans="1:26">
      <c r="A44" s="35"/>
      <c r="B44" s="20"/>
      <c r="C44" s="13">
        <f t="shared" si="14"/>
        <v>1</v>
      </c>
      <c r="D44" s="600"/>
      <c r="E44" s="13">
        <f t="shared" si="15"/>
        <v>0</v>
      </c>
      <c r="F44" s="600"/>
      <c r="G44" s="13">
        <f t="shared" si="16"/>
        <v>0</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900">
        <f t="shared" si="28"/>
        <v>0</v>
      </c>
      <c r="U44" s="2984">
        <f t="shared" si="22"/>
        <v>0</v>
      </c>
      <c r="V44" s="2984">
        <f t="shared" si="23"/>
        <v>0</v>
      </c>
      <c r="W44" s="997"/>
      <c r="X44" s="2984">
        <f t="shared" si="24"/>
        <v>0</v>
      </c>
      <c r="Y44" s="2984">
        <f t="shared" si="25"/>
        <v>0</v>
      </c>
      <c r="Z44" s="997"/>
    </row>
    <row r="45" spans="1:26">
      <c r="A45" s="35"/>
      <c r="B45" s="20"/>
      <c r="C45" s="13">
        <f t="shared" si="14"/>
        <v>1</v>
      </c>
      <c r="D45" s="600"/>
      <c r="E45" s="13">
        <f t="shared" si="15"/>
        <v>0</v>
      </c>
      <c r="F45" s="600"/>
      <c r="G45" s="13">
        <f t="shared" si="16"/>
        <v>0</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900">
        <f t="shared" si="28"/>
        <v>0</v>
      </c>
      <c r="U45" s="2984">
        <f t="shared" si="22"/>
        <v>0</v>
      </c>
      <c r="V45" s="2984">
        <f t="shared" si="23"/>
        <v>0</v>
      </c>
      <c r="W45" s="997"/>
      <c r="X45" s="2984">
        <f t="shared" si="24"/>
        <v>0</v>
      </c>
      <c r="Y45" s="2984">
        <f t="shared" si="25"/>
        <v>0</v>
      </c>
      <c r="Z45" s="997"/>
    </row>
    <row r="46" spans="1:26">
      <c r="A46" s="35"/>
      <c r="B46" s="20"/>
      <c r="C46" s="13">
        <f t="shared" si="14"/>
        <v>1</v>
      </c>
      <c r="D46" s="600"/>
      <c r="E46" s="13">
        <f t="shared" si="15"/>
        <v>0</v>
      </c>
      <c r="F46" s="600"/>
      <c r="G46" s="13">
        <f t="shared" si="16"/>
        <v>0</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900">
        <f t="shared" si="28"/>
        <v>0</v>
      </c>
      <c r="U46" s="2984">
        <f t="shared" si="22"/>
        <v>0</v>
      </c>
      <c r="V46" s="2984">
        <f t="shared" si="23"/>
        <v>0</v>
      </c>
      <c r="W46" s="997"/>
      <c r="X46" s="2984">
        <f t="shared" si="24"/>
        <v>0</v>
      </c>
      <c r="Y46" s="2984">
        <f t="shared" si="25"/>
        <v>0</v>
      </c>
      <c r="Z46" s="997"/>
    </row>
    <row r="47" spans="1:26">
      <c r="A47" s="35"/>
      <c r="B47" s="20"/>
      <c r="C47" s="13">
        <f t="shared" si="14"/>
        <v>1</v>
      </c>
      <c r="D47" s="600"/>
      <c r="E47" s="13">
        <f t="shared" si="15"/>
        <v>0</v>
      </c>
      <c r="F47" s="600"/>
      <c r="G47" s="13">
        <f t="shared" si="16"/>
        <v>0</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900">
        <f t="shared" si="28"/>
        <v>0</v>
      </c>
      <c r="U47" s="2984">
        <f t="shared" si="22"/>
        <v>0</v>
      </c>
      <c r="V47" s="2984">
        <f t="shared" si="23"/>
        <v>0</v>
      </c>
      <c r="W47" s="997"/>
      <c r="X47" s="2984">
        <f t="shared" si="24"/>
        <v>0</v>
      </c>
      <c r="Y47" s="2984">
        <f t="shared" si="25"/>
        <v>0</v>
      </c>
      <c r="Z47" s="997"/>
    </row>
    <row r="48" spans="1:26">
      <c r="A48" s="35"/>
      <c r="B48" s="20"/>
      <c r="C48" s="13">
        <f t="shared" si="14"/>
        <v>1</v>
      </c>
      <c r="D48" s="600"/>
      <c r="E48" s="13">
        <f t="shared" si="15"/>
        <v>0</v>
      </c>
      <c r="F48" s="600"/>
      <c r="G48" s="13">
        <f t="shared" si="16"/>
        <v>0</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900">
        <f t="shared" si="28"/>
        <v>0</v>
      </c>
      <c r="U48" s="2984">
        <f t="shared" si="22"/>
        <v>0</v>
      </c>
      <c r="V48" s="2984">
        <f t="shared" si="23"/>
        <v>0</v>
      </c>
      <c r="W48" s="997"/>
      <c r="X48" s="2984">
        <f t="shared" si="24"/>
        <v>0</v>
      </c>
      <c r="Y48" s="2984">
        <f t="shared" si="25"/>
        <v>0</v>
      </c>
      <c r="Z48" s="997"/>
    </row>
    <row r="49" spans="1:26">
      <c r="A49" s="35"/>
      <c r="B49" s="20"/>
      <c r="C49" s="13">
        <f t="shared" si="14"/>
        <v>1</v>
      </c>
      <c r="D49" s="600"/>
      <c r="E49" s="13">
        <f t="shared" si="15"/>
        <v>0</v>
      </c>
      <c r="F49" s="600"/>
      <c r="G49" s="13">
        <f t="shared" si="16"/>
        <v>0</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900">
        <f t="shared" si="28"/>
        <v>0</v>
      </c>
      <c r="U49" s="2984">
        <f t="shared" si="22"/>
        <v>0</v>
      </c>
      <c r="V49" s="2984">
        <f t="shared" si="23"/>
        <v>0</v>
      </c>
      <c r="W49" s="997"/>
      <c r="X49" s="2984">
        <f t="shared" si="24"/>
        <v>0</v>
      </c>
      <c r="Y49" s="2984">
        <f t="shared" si="25"/>
        <v>0</v>
      </c>
      <c r="Z49" s="997"/>
    </row>
    <row r="50" spans="1:26">
      <c r="A50" s="35"/>
      <c r="B50" s="20"/>
      <c r="C50" s="13">
        <f t="shared" si="14"/>
        <v>1</v>
      </c>
      <c r="D50" s="600"/>
      <c r="E50" s="13">
        <f t="shared" si="15"/>
        <v>0</v>
      </c>
      <c r="F50" s="600"/>
      <c r="G50" s="13">
        <f t="shared" si="16"/>
        <v>0</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900">
        <f t="shared" si="28"/>
        <v>0</v>
      </c>
      <c r="U50" s="2984">
        <f t="shared" si="22"/>
        <v>0</v>
      </c>
      <c r="V50" s="2984">
        <f t="shared" si="23"/>
        <v>0</v>
      </c>
      <c r="W50" s="997"/>
      <c r="X50" s="2984">
        <f t="shared" si="24"/>
        <v>0</v>
      </c>
      <c r="Y50" s="2984">
        <f t="shared" si="25"/>
        <v>0</v>
      </c>
      <c r="Z50" s="997"/>
    </row>
    <row r="51" spans="1:26">
      <c r="A51" s="35"/>
      <c r="B51" s="20"/>
      <c r="C51" s="13">
        <f t="shared" si="14"/>
        <v>1</v>
      </c>
      <c r="D51" s="600"/>
      <c r="E51" s="13">
        <f t="shared" si="15"/>
        <v>0</v>
      </c>
      <c r="F51" s="600"/>
      <c r="G51" s="13">
        <f t="shared" si="16"/>
        <v>0</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900">
        <f t="shared" si="28"/>
        <v>0</v>
      </c>
      <c r="U51" s="2984">
        <f t="shared" si="22"/>
        <v>0</v>
      </c>
      <c r="V51" s="2984">
        <f t="shared" si="23"/>
        <v>0</v>
      </c>
      <c r="W51" s="997"/>
      <c r="X51" s="2984">
        <f t="shared" si="24"/>
        <v>0</v>
      </c>
      <c r="Y51" s="2984">
        <f t="shared" si="25"/>
        <v>0</v>
      </c>
      <c r="Z51" s="997"/>
    </row>
    <row r="52" spans="1:26">
      <c r="A52" s="35"/>
      <c r="B52" s="20"/>
      <c r="C52" s="13">
        <f t="shared" si="14"/>
        <v>1</v>
      </c>
      <c r="D52" s="600"/>
      <c r="E52" s="13">
        <f t="shared" si="15"/>
        <v>0</v>
      </c>
      <c r="F52" s="600"/>
      <c r="G52" s="13">
        <f t="shared" si="16"/>
        <v>0</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900">
        <f t="shared" si="28"/>
        <v>0</v>
      </c>
      <c r="U52" s="2984">
        <f t="shared" si="22"/>
        <v>0</v>
      </c>
      <c r="V52" s="2984">
        <f t="shared" si="23"/>
        <v>0</v>
      </c>
      <c r="W52" s="997"/>
      <c r="X52" s="2984">
        <f t="shared" si="24"/>
        <v>0</v>
      </c>
      <c r="Y52" s="2984">
        <f t="shared" si="25"/>
        <v>0</v>
      </c>
      <c r="Z52" s="997"/>
    </row>
    <row r="53" spans="1:26">
      <c r="A53" s="35"/>
      <c r="B53" s="20"/>
      <c r="C53" s="13">
        <f t="shared" si="14"/>
        <v>1</v>
      </c>
      <c r="D53" s="600"/>
      <c r="E53" s="13">
        <f t="shared" si="15"/>
        <v>0</v>
      </c>
      <c r="F53" s="600"/>
      <c r="G53" s="13">
        <f t="shared" si="16"/>
        <v>0</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900">
        <f t="shared" si="28"/>
        <v>0</v>
      </c>
      <c r="U53" s="2984">
        <f t="shared" si="22"/>
        <v>0</v>
      </c>
      <c r="V53" s="2984">
        <f t="shared" si="23"/>
        <v>0</v>
      </c>
      <c r="W53" s="997"/>
      <c r="X53" s="2984">
        <f t="shared" si="24"/>
        <v>0</v>
      </c>
      <c r="Y53" s="2984">
        <f t="shared" si="25"/>
        <v>0</v>
      </c>
      <c r="Z53" s="997"/>
    </row>
    <row r="54" spans="1:26">
      <c r="A54" s="35"/>
      <c r="B54" s="20"/>
      <c r="C54" s="13">
        <f t="shared" si="14"/>
        <v>1</v>
      </c>
      <c r="D54" s="600"/>
      <c r="E54" s="13">
        <f t="shared" si="15"/>
        <v>0</v>
      </c>
      <c r="F54" s="600"/>
      <c r="G54" s="13">
        <f t="shared" si="16"/>
        <v>0</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900">
        <f t="shared" si="28"/>
        <v>0</v>
      </c>
      <c r="U54" s="2984">
        <f t="shared" si="22"/>
        <v>0</v>
      </c>
      <c r="V54" s="2984">
        <f t="shared" si="23"/>
        <v>0</v>
      </c>
      <c r="W54" s="997"/>
      <c r="X54" s="2984">
        <f t="shared" si="24"/>
        <v>0</v>
      </c>
      <c r="Y54" s="2984">
        <f t="shared" si="25"/>
        <v>0</v>
      </c>
      <c r="Z54" s="997"/>
    </row>
    <row r="55" spans="1:26">
      <c r="A55" s="35"/>
      <c r="B55" s="20"/>
      <c r="C55" s="13">
        <f t="shared" si="14"/>
        <v>1</v>
      </c>
      <c r="D55" s="600"/>
      <c r="E55" s="13">
        <f t="shared" si="15"/>
        <v>0</v>
      </c>
      <c r="F55" s="600"/>
      <c r="G55" s="13">
        <f t="shared" si="16"/>
        <v>0</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900">
        <f t="shared" si="28"/>
        <v>0</v>
      </c>
      <c r="U55" s="2984">
        <f t="shared" si="22"/>
        <v>0</v>
      </c>
      <c r="V55" s="2984">
        <f t="shared" si="23"/>
        <v>0</v>
      </c>
      <c r="W55" s="997"/>
      <c r="X55" s="2984">
        <f t="shared" si="24"/>
        <v>0</v>
      </c>
      <c r="Y55" s="2984">
        <f t="shared" si="25"/>
        <v>0</v>
      </c>
      <c r="Z55" s="997"/>
    </row>
    <row r="56" spans="1:26">
      <c r="A56" s="35"/>
      <c r="B56" s="20"/>
      <c r="C56" s="13">
        <f t="shared" si="14"/>
        <v>1</v>
      </c>
      <c r="D56" s="600"/>
      <c r="E56" s="13">
        <f t="shared" si="15"/>
        <v>0</v>
      </c>
      <c r="F56" s="600"/>
      <c r="G56" s="13">
        <f t="shared" si="16"/>
        <v>0</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900">
        <f t="shared" si="28"/>
        <v>0</v>
      </c>
      <c r="U56" s="2984">
        <f t="shared" si="22"/>
        <v>0</v>
      </c>
      <c r="V56" s="2984">
        <f t="shared" si="23"/>
        <v>0</v>
      </c>
      <c r="W56" s="997"/>
      <c r="X56" s="2984">
        <f t="shared" si="24"/>
        <v>0</v>
      </c>
      <c r="Y56" s="2984">
        <f t="shared" si="25"/>
        <v>0</v>
      </c>
      <c r="Z56" s="997"/>
    </row>
    <row r="57" spans="1:26">
      <c r="A57" s="35"/>
      <c r="B57" s="20"/>
      <c r="C57" s="13">
        <f t="shared" si="14"/>
        <v>1</v>
      </c>
      <c r="D57" s="600"/>
      <c r="E57" s="13">
        <f t="shared" si="15"/>
        <v>0</v>
      </c>
      <c r="F57" s="600"/>
      <c r="G57" s="13">
        <f t="shared" si="16"/>
        <v>0</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900">
        <f t="shared" si="28"/>
        <v>0</v>
      </c>
      <c r="U57" s="2984">
        <f t="shared" si="22"/>
        <v>0</v>
      </c>
      <c r="V57" s="2984">
        <f t="shared" si="23"/>
        <v>0</v>
      </c>
      <c r="W57" s="997"/>
      <c r="X57" s="2984">
        <f t="shared" si="24"/>
        <v>0</v>
      </c>
      <c r="Y57" s="2984">
        <f t="shared" si="25"/>
        <v>0</v>
      </c>
      <c r="Z57" s="997"/>
    </row>
    <row r="58" spans="1:26">
      <c r="A58" s="35"/>
      <c r="B58" s="20"/>
      <c r="C58" s="13">
        <f t="shared" si="14"/>
        <v>1</v>
      </c>
      <c r="D58" s="600"/>
      <c r="E58" s="13">
        <f t="shared" si="15"/>
        <v>0</v>
      </c>
      <c r="F58" s="600"/>
      <c r="G58" s="13">
        <f t="shared" si="16"/>
        <v>0</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900">
        <f t="shared" si="28"/>
        <v>0</v>
      </c>
      <c r="U58" s="2984">
        <f t="shared" si="22"/>
        <v>0</v>
      </c>
      <c r="V58" s="2984">
        <f t="shared" si="23"/>
        <v>0</v>
      </c>
      <c r="W58" s="997"/>
      <c r="X58" s="2984">
        <f t="shared" si="24"/>
        <v>0</v>
      </c>
      <c r="Y58" s="2984">
        <f t="shared" si="25"/>
        <v>0</v>
      </c>
      <c r="Z58" s="997"/>
    </row>
    <row r="59" spans="1:26">
      <c r="A59" s="35"/>
      <c r="B59" s="20"/>
      <c r="C59" s="13">
        <f t="shared" si="14"/>
        <v>1</v>
      </c>
      <c r="D59" s="600"/>
      <c r="E59" s="13">
        <f t="shared" si="15"/>
        <v>0</v>
      </c>
      <c r="F59" s="600"/>
      <c r="G59" s="13">
        <f t="shared" si="16"/>
        <v>0</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900">
        <f t="shared" si="28"/>
        <v>0</v>
      </c>
      <c r="U59" s="2984">
        <f t="shared" si="22"/>
        <v>0</v>
      </c>
      <c r="V59" s="2984">
        <f t="shared" si="23"/>
        <v>0</v>
      </c>
      <c r="W59" s="997"/>
      <c r="X59" s="2984">
        <f t="shared" si="24"/>
        <v>0</v>
      </c>
      <c r="Y59" s="2984">
        <f t="shared" si="25"/>
        <v>0</v>
      </c>
      <c r="Z59" s="997"/>
    </row>
    <row r="60" spans="1:26">
      <c r="A60" s="35"/>
      <c r="B60" s="20"/>
      <c r="C60" s="13">
        <f t="shared" si="14"/>
        <v>1</v>
      </c>
      <c r="D60" s="600"/>
      <c r="E60" s="13">
        <f t="shared" si="15"/>
        <v>0</v>
      </c>
      <c r="F60" s="600"/>
      <c r="G60" s="13">
        <f t="shared" si="16"/>
        <v>0</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900">
        <f t="shared" si="28"/>
        <v>0</v>
      </c>
      <c r="U60" s="2984">
        <f t="shared" si="22"/>
        <v>0</v>
      </c>
      <c r="V60" s="2984">
        <f t="shared" si="23"/>
        <v>0</v>
      </c>
      <c r="W60" s="997"/>
      <c r="X60" s="2984">
        <f t="shared" si="24"/>
        <v>0</v>
      </c>
      <c r="Y60" s="2984">
        <f t="shared" si="25"/>
        <v>0</v>
      </c>
      <c r="Z60" s="997"/>
    </row>
    <row r="61" spans="1:26">
      <c r="A61" s="35"/>
      <c r="B61" s="20"/>
      <c r="C61" s="13">
        <f t="shared" si="14"/>
        <v>1</v>
      </c>
      <c r="D61" s="600"/>
      <c r="E61" s="13">
        <f t="shared" si="15"/>
        <v>0</v>
      </c>
      <c r="F61" s="600"/>
      <c r="G61" s="13">
        <f t="shared" si="16"/>
        <v>0</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900">
        <f t="shared" si="28"/>
        <v>0</v>
      </c>
      <c r="U61" s="2984">
        <f t="shared" si="22"/>
        <v>0</v>
      </c>
      <c r="V61" s="2984">
        <f t="shared" si="23"/>
        <v>0</v>
      </c>
      <c r="W61" s="997"/>
      <c r="X61" s="2984">
        <f t="shared" si="24"/>
        <v>0</v>
      </c>
      <c r="Y61" s="2984">
        <f t="shared" si="25"/>
        <v>0</v>
      </c>
      <c r="Z61" s="997"/>
    </row>
    <row r="62" spans="1:26">
      <c r="A62" s="35"/>
      <c r="B62" s="20"/>
      <c r="C62" s="13">
        <f t="shared" si="14"/>
        <v>1</v>
      </c>
      <c r="D62" s="600"/>
      <c r="E62" s="13">
        <f t="shared" si="15"/>
        <v>0</v>
      </c>
      <c r="F62" s="600"/>
      <c r="G62" s="13">
        <f t="shared" si="16"/>
        <v>0</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900">
        <f t="shared" si="28"/>
        <v>0</v>
      </c>
      <c r="U62" s="2984">
        <f t="shared" si="22"/>
        <v>0</v>
      </c>
      <c r="V62" s="2984">
        <f t="shared" si="23"/>
        <v>0</v>
      </c>
      <c r="W62" s="997"/>
      <c r="X62" s="2984">
        <f t="shared" si="24"/>
        <v>0</v>
      </c>
      <c r="Y62" s="2984">
        <f t="shared" si="25"/>
        <v>0</v>
      </c>
      <c r="Z62" s="997"/>
    </row>
    <row r="63" spans="1:26">
      <c r="A63" s="35"/>
      <c r="B63" s="20"/>
      <c r="C63" s="13">
        <f t="shared" si="14"/>
        <v>1</v>
      </c>
      <c r="D63" s="600"/>
      <c r="E63" s="13">
        <f t="shared" si="15"/>
        <v>0</v>
      </c>
      <c r="F63" s="600"/>
      <c r="G63" s="13">
        <f t="shared" si="16"/>
        <v>0</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900">
        <f t="shared" si="28"/>
        <v>0</v>
      </c>
      <c r="U63" s="2984">
        <f t="shared" si="22"/>
        <v>0</v>
      </c>
      <c r="V63" s="2984">
        <f t="shared" si="23"/>
        <v>0</v>
      </c>
      <c r="W63" s="997"/>
      <c r="X63" s="2984">
        <f t="shared" si="24"/>
        <v>0</v>
      </c>
      <c r="Y63" s="2984">
        <f t="shared" si="25"/>
        <v>0</v>
      </c>
      <c r="Z63" s="997"/>
    </row>
    <row r="64" spans="1:26">
      <c r="A64" s="35"/>
      <c r="B64" s="20"/>
      <c r="C64" s="13">
        <f t="shared" si="14"/>
        <v>1</v>
      </c>
      <c r="D64" s="600"/>
      <c r="E64" s="13">
        <f t="shared" si="15"/>
        <v>0</v>
      </c>
      <c r="F64" s="600"/>
      <c r="G64" s="13">
        <f t="shared" si="16"/>
        <v>0</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900">
        <f t="shared" si="28"/>
        <v>0</v>
      </c>
      <c r="U64" s="2984">
        <f t="shared" si="22"/>
        <v>0</v>
      </c>
      <c r="V64" s="2984">
        <f t="shared" si="23"/>
        <v>0</v>
      </c>
      <c r="W64" s="997"/>
      <c r="X64" s="2984">
        <f t="shared" si="24"/>
        <v>0</v>
      </c>
      <c r="Y64" s="2984">
        <f t="shared" si="25"/>
        <v>0</v>
      </c>
      <c r="Z64" s="997"/>
    </row>
    <row r="65" spans="1:26">
      <c r="A65" s="35"/>
      <c r="B65" s="20"/>
      <c r="C65" s="13">
        <f t="shared" si="14"/>
        <v>1</v>
      </c>
      <c r="D65" s="600"/>
      <c r="E65" s="13">
        <f t="shared" si="15"/>
        <v>0</v>
      </c>
      <c r="F65" s="600"/>
      <c r="G65" s="13">
        <f t="shared" si="16"/>
        <v>0</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900">
        <f t="shared" si="28"/>
        <v>0</v>
      </c>
      <c r="U65" s="2984">
        <f t="shared" si="22"/>
        <v>0</v>
      </c>
      <c r="V65" s="2984">
        <f t="shared" si="23"/>
        <v>0</v>
      </c>
      <c r="W65" s="997"/>
      <c r="X65" s="2984">
        <f t="shared" si="24"/>
        <v>0</v>
      </c>
      <c r="Y65" s="2984">
        <f t="shared" si="25"/>
        <v>0</v>
      </c>
      <c r="Z65" s="997"/>
    </row>
    <row r="66" spans="1:26">
      <c r="A66" s="35"/>
      <c r="B66" s="20"/>
      <c r="C66" s="13">
        <f t="shared" si="14"/>
        <v>1</v>
      </c>
      <c r="D66" s="600"/>
      <c r="E66" s="13">
        <f t="shared" si="15"/>
        <v>0</v>
      </c>
      <c r="F66" s="600"/>
      <c r="G66" s="13">
        <f t="shared" si="16"/>
        <v>0</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900">
        <f t="shared" si="28"/>
        <v>0</v>
      </c>
      <c r="U66" s="2984">
        <f t="shared" si="22"/>
        <v>0</v>
      </c>
      <c r="V66" s="2984">
        <f t="shared" si="23"/>
        <v>0</v>
      </c>
      <c r="W66" s="997"/>
      <c r="X66" s="2984">
        <f t="shared" si="24"/>
        <v>0</v>
      </c>
      <c r="Y66" s="2984">
        <f t="shared" si="25"/>
        <v>0</v>
      </c>
      <c r="Z66" s="997"/>
    </row>
    <row r="67" spans="1:26">
      <c r="A67" s="35"/>
      <c r="B67" s="20"/>
      <c r="C67" s="13">
        <f t="shared" si="14"/>
        <v>1</v>
      </c>
      <c r="D67" s="600"/>
      <c r="E67" s="13">
        <f t="shared" si="15"/>
        <v>0</v>
      </c>
      <c r="F67" s="600"/>
      <c r="G67" s="13">
        <f t="shared" si="16"/>
        <v>0</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900">
        <f t="shared" si="28"/>
        <v>0</v>
      </c>
      <c r="U67" s="2984">
        <f t="shared" si="22"/>
        <v>0</v>
      </c>
      <c r="V67" s="2984">
        <f t="shared" si="23"/>
        <v>0</v>
      </c>
      <c r="W67" s="997"/>
      <c r="X67" s="2984">
        <f t="shared" si="24"/>
        <v>0</v>
      </c>
      <c r="Y67" s="2984">
        <f t="shared" si="25"/>
        <v>0</v>
      </c>
      <c r="Z67" s="997"/>
    </row>
    <row r="68" spans="1:26">
      <c r="A68" s="35"/>
      <c r="B68" s="20"/>
      <c r="C68" s="13">
        <f t="shared" si="14"/>
        <v>1</v>
      </c>
      <c r="D68" s="600"/>
      <c r="E68" s="13">
        <f t="shared" si="15"/>
        <v>0</v>
      </c>
      <c r="F68" s="600"/>
      <c r="G68" s="13">
        <f t="shared" si="16"/>
        <v>0</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900">
        <f t="shared" si="28"/>
        <v>0</v>
      </c>
      <c r="U68" s="2984">
        <f t="shared" si="22"/>
        <v>0</v>
      </c>
      <c r="V68" s="2984">
        <f t="shared" si="23"/>
        <v>0</v>
      </c>
      <c r="W68" s="997"/>
      <c r="X68" s="2984">
        <f t="shared" si="24"/>
        <v>0</v>
      </c>
      <c r="Y68" s="2984">
        <f t="shared" si="25"/>
        <v>0</v>
      </c>
      <c r="Z68" s="997"/>
    </row>
    <row r="69" spans="1:26">
      <c r="A69" s="35"/>
      <c r="B69" s="20"/>
      <c r="C69" s="13">
        <f t="shared" si="14"/>
        <v>1</v>
      </c>
      <c r="D69" s="600"/>
      <c r="E69" s="13">
        <f t="shared" si="15"/>
        <v>0</v>
      </c>
      <c r="F69" s="600"/>
      <c r="G69" s="13">
        <f t="shared" si="16"/>
        <v>0</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900">
        <f t="shared" si="28"/>
        <v>0</v>
      </c>
      <c r="U69" s="2984">
        <f t="shared" si="22"/>
        <v>0</v>
      </c>
      <c r="V69" s="2984">
        <f t="shared" si="23"/>
        <v>0</v>
      </c>
      <c r="W69" s="997"/>
      <c r="X69" s="2984">
        <f t="shared" si="24"/>
        <v>0</v>
      </c>
      <c r="Y69" s="2984">
        <f t="shared" si="25"/>
        <v>0</v>
      </c>
      <c r="Z69" s="997"/>
    </row>
    <row r="70" spans="1:26">
      <c r="A70" s="35"/>
      <c r="B70" s="20"/>
      <c r="C70" s="13">
        <f t="shared" si="14"/>
        <v>1</v>
      </c>
      <c r="D70" s="600"/>
      <c r="E70" s="13">
        <f t="shared" si="15"/>
        <v>0</v>
      </c>
      <c r="F70" s="600"/>
      <c r="G70" s="13">
        <f t="shared" si="16"/>
        <v>0</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900">
        <f t="shared" si="28"/>
        <v>0</v>
      </c>
      <c r="U70" s="2984">
        <f t="shared" si="22"/>
        <v>0</v>
      </c>
      <c r="V70" s="2984">
        <f t="shared" si="23"/>
        <v>0</v>
      </c>
      <c r="W70" s="997"/>
      <c r="X70" s="2984">
        <f t="shared" si="24"/>
        <v>0</v>
      </c>
      <c r="Y70" s="2984">
        <f t="shared" si="25"/>
        <v>0</v>
      </c>
      <c r="Z70" s="997"/>
    </row>
    <row r="71" spans="1:26">
      <c r="A71" s="35"/>
      <c r="B71" s="20"/>
      <c r="C71" s="13">
        <f t="shared" si="14"/>
        <v>1</v>
      </c>
      <c r="D71" s="600"/>
      <c r="E71" s="13">
        <f t="shared" si="15"/>
        <v>0</v>
      </c>
      <c r="F71" s="600"/>
      <c r="G71" s="13">
        <f t="shared" si="16"/>
        <v>0</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900">
        <f t="shared" si="28"/>
        <v>0</v>
      </c>
      <c r="U71" s="2984">
        <f t="shared" si="22"/>
        <v>0</v>
      </c>
      <c r="V71" s="2984">
        <f t="shared" si="23"/>
        <v>0</v>
      </c>
      <c r="W71" s="997"/>
      <c r="X71" s="2984">
        <f t="shared" si="24"/>
        <v>0</v>
      </c>
      <c r="Y71" s="2984">
        <f t="shared" si="25"/>
        <v>0</v>
      </c>
      <c r="Z71" s="997"/>
    </row>
    <row r="72" spans="1:26">
      <c r="A72" s="35"/>
      <c r="B72" s="20"/>
      <c r="C72" s="13">
        <f t="shared" si="14"/>
        <v>1</v>
      </c>
      <c r="D72" s="600"/>
      <c r="E72" s="13">
        <f t="shared" si="15"/>
        <v>0</v>
      </c>
      <c r="F72" s="600"/>
      <c r="G72" s="13">
        <f t="shared" si="16"/>
        <v>0</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900">
        <f t="shared" si="28"/>
        <v>0</v>
      </c>
      <c r="U72" s="2984">
        <f t="shared" si="22"/>
        <v>0</v>
      </c>
      <c r="V72" s="2984">
        <f t="shared" si="23"/>
        <v>0</v>
      </c>
      <c r="W72" s="997"/>
      <c r="X72" s="2984">
        <f t="shared" si="24"/>
        <v>0</v>
      </c>
      <c r="Y72" s="2984">
        <f t="shared" si="25"/>
        <v>0</v>
      </c>
      <c r="Z72" s="997"/>
    </row>
    <row r="73" spans="1:26">
      <c r="A73" s="35"/>
      <c r="B73" s="20"/>
      <c r="C73" s="13">
        <f t="shared" si="14"/>
        <v>1</v>
      </c>
      <c r="D73" s="600"/>
      <c r="E73" s="13">
        <f t="shared" si="15"/>
        <v>0</v>
      </c>
      <c r="F73" s="600"/>
      <c r="G73" s="13">
        <f t="shared" si="16"/>
        <v>0</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900">
        <f t="shared" si="28"/>
        <v>0</v>
      </c>
      <c r="U73" s="2984">
        <f t="shared" si="22"/>
        <v>0</v>
      </c>
      <c r="V73" s="2984">
        <f t="shared" si="23"/>
        <v>0</v>
      </c>
      <c r="W73" s="997"/>
      <c r="X73" s="2984">
        <f t="shared" si="24"/>
        <v>0</v>
      </c>
      <c r="Y73" s="2984">
        <f t="shared" si="25"/>
        <v>0</v>
      </c>
      <c r="Z73" s="997"/>
    </row>
    <row r="74" spans="1:26">
      <c r="A74" s="35"/>
      <c r="B74" s="20"/>
      <c r="C74" s="13">
        <f t="shared" si="14"/>
        <v>1</v>
      </c>
      <c r="D74" s="600"/>
      <c r="E74" s="13">
        <f t="shared" si="15"/>
        <v>0</v>
      </c>
      <c r="F74" s="600"/>
      <c r="G74" s="13">
        <f t="shared" si="16"/>
        <v>0</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900">
        <f t="shared" si="28"/>
        <v>0</v>
      </c>
      <c r="U74" s="2984">
        <f t="shared" si="22"/>
        <v>0</v>
      </c>
      <c r="V74" s="2984">
        <f t="shared" si="23"/>
        <v>0</v>
      </c>
      <c r="W74" s="997"/>
      <c r="X74" s="2984">
        <f t="shared" si="24"/>
        <v>0</v>
      </c>
      <c r="Y74" s="2984">
        <f t="shared" si="25"/>
        <v>0</v>
      </c>
      <c r="Z74" s="997"/>
    </row>
    <row r="75" spans="1:26">
      <c r="A75" s="35"/>
      <c r="B75" s="20"/>
      <c r="C75" s="13">
        <f t="shared" si="14"/>
        <v>1</v>
      </c>
      <c r="D75" s="600"/>
      <c r="E75" s="13">
        <f t="shared" si="15"/>
        <v>0</v>
      </c>
      <c r="F75" s="600"/>
      <c r="G75" s="13">
        <f t="shared" si="16"/>
        <v>0</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900">
        <f t="shared" si="28"/>
        <v>0</v>
      </c>
      <c r="U75" s="2984">
        <f t="shared" si="22"/>
        <v>0</v>
      </c>
      <c r="V75" s="2984">
        <f t="shared" si="23"/>
        <v>0</v>
      </c>
      <c r="W75" s="997"/>
      <c r="X75" s="2984">
        <f t="shared" si="24"/>
        <v>0</v>
      </c>
      <c r="Y75" s="2984">
        <f t="shared" si="25"/>
        <v>0</v>
      </c>
      <c r="Z75" s="997"/>
    </row>
    <row r="76" spans="1:26">
      <c r="A76" s="35"/>
      <c r="B76" s="20"/>
      <c r="C76" s="13">
        <f t="shared" si="14"/>
        <v>1</v>
      </c>
      <c r="D76" s="600"/>
      <c r="E76" s="13">
        <f t="shared" si="15"/>
        <v>0</v>
      </c>
      <c r="F76" s="600"/>
      <c r="G76" s="13">
        <f t="shared" si="16"/>
        <v>0</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900">
        <f t="shared" si="28"/>
        <v>0</v>
      </c>
      <c r="U76" s="2984">
        <f t="shared" si="22"/>
        <v>0</v>
      </c>
      <c r="V76" s="2984">
        <f t="shared" si="23"/>
        <v>0</v>
      </c>
      <c r="W76" s="997"/>
      <c r="X76" s="2984">
        <f t="shared" si="24"/>
        <v>0</v>
      </c>
      <c r="Y76" s="2984">
        <f t="shared" si="25"/>
        <v>0</v>
      </c>
      <c r="Z76" s="997"/>
    </row>
    <row r="77" spans="1:26">
      <c r="A77" s="35"/>
      <c r="B77" s="20"/>
      <c r="C77" s="13">
        <f t="shared" si="14"/>
        <v>1</v>
      </c>
      <c r="D77" s="600"/>
      <c r="E77" s="13">
        <f t="shared" si="15"/>
        <v>0</v>
      </c>
      <c r="F77" s="600"/>
      <c r="G77" s="13">
        <f t="shared" si="16"/>
        <v>0</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900">
        <f t="shared" si="28"/>
        <v>0</v>
      </c>
      <c r="U77" s="2984">
        <f t="shared" si="22"/>
        <v>0</v>
      </c>
      <c r="V77" s="2984">
        <f t="shared" si="23"/>
        <v>0</v>
      </c>
      <c r="W77" s="997"/>
      <c r="X77" s="2984">
        <f t="shared" si="24"/>
        <v>0</v>
      </c>
      <c r="Y77" s="2984">
        <f t="shared" si="25"/>
        <v>0</v>
      </c>
      <c r="Z77" s="997"/>
    </row>
    <row r="78" spans="1:26">
      <c r="A78" s="35"/>
      <c r="B78" s="20"/>
      <c r="C78" s="13">
        <f t="shared" si="14"/>
        <v>1</v>
      </c>
      <c r="D78" s="600"/>
      <c r="E78" s="13">
        <f t="shared" si="15"/>
        <v>0</v>
      </c>
      <c r="F78" s="600"/>
      <c r="G78" s="13">
        <f t="shared" si="16"/>
        <v>0</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900">
        <f t="shared" si="28"/>
        <v>0</v>
      </c>
      <c r="U78" s="2984">
        <f t="shared" si="22"/>
        <v>0</v>
      </c>
      <c r="V78" s="2984">
        <f t="shared" si="23"/>
        <v>0</v>
      </c>
      <c r="W78" s="997"/>
      <c r="X78" s="2984">
        <f t="shared" si="24"/>
        <v>0</v>
      </c>
      <c r="Y78" s="2984">
        <f t="shared" si="25"/>
        <v>0</v>
      </c>
      <c r="Z78" s="997"/>
    </row>
    <row r="79" spans="1:26">
      <c r="A79" s="35"/>
      <c r="B79" s="20"/>
      <c r="C79" s="13">
        <f t="shared" si="14"/>
        <v>1</v>
      </c>
      <c r="D79" s="600"/>
      <c r="E79" s="13">
        <f t="shared" si="15"/>
        <v>0</v>
      </c>
      <c r="F79" s="600"/>
      <c r="G79" s="13">
        <f t="shared" si="16"/>
        <v>0</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900">
        <f t="shared" si="28"/>
        <v>0</v>
      </c>
      <c r="U79" s="2984">
        <f t="shared" si="22"/>
        <v>0</v>
      </c>
      <c r="V79" s="2984">
        <f t="shared" si="23"/>
        <v>0</v>
      </c>
      <c r="W79" s="997"/>
      <c r="X79" s="2984">
        <f t="shared" si="24"/>
        <v>0</v>
      </c>
      <c r="Y79" s="2984">
        <f t="shared" si="25"/>
        <v>0</v>
      </c>
      <c r="Z79" s="997"/>
    </row>
    <row r="80" spans="1:26">
      <c r="A80" s="35"/>
      <c r="B80" s="20"/>
      <c r="C80" s="13">
        <f t="shared" si="14"/>
        <v>1</v>
      </c>
      <c r="D80" s="600"/>
      <c r="E80" s="13">
        <f t="shared" si="15"/>
        <v>0</v>
      </c>
      <c r="F80" s="600"/>
      <c r="G80" s="13">
        <f t="shared" si="16"/>
        <v>0</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900">
        <f t="shared" si="28"/>
        <v>0</v>
      </c>
      <c r="U80" s="2984">
        <f t="shared" si="22"/>
        <v>0</v>
      </c>
      <c r="V80" s="2984">
        <f t="shared" si="23"/>
        <v>0</v>
      </c>
      <c r="W80" s="997"/>
      <c r="X80" s="2984">
        <f t="shared" si="24"/>
        <v>0</v>
      </c>
      <c r="Y80" s="2984">
        <f t="shared" si="25"/>
        <v>0</v>
      </c>
      <c r="Z80" s="997"/>
    </row>
    <row r="81" spans="1:26">
      <c r="A81" s="35"/>
      <c r="B81" s="20"/>
      <c r="C81" s="13">
        <f t="shared" si="14"/>
        <v>1</v>
      </c>
      <c r="D81" s="600"/>
      <c r="E81" s="13">
        <f t="shared" si="15"/>
        <v>0</v>
      </c>
      <c r="F81" s="600"/>
      <c r="G81" s="13">
        <f t="shared" si="16"/>
        <v>0</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900">
        <f t="shared" si="28"/>
        <v>0</v>
      </c>
      <c r="U81" s="2984">
        <f t="shared" si="22"/>
        <v>0</v>
      </c>
      <c r="V81" s="2984">
        <f t="shared" si="23"/>
        <v>0</v>
      </c>
      <c r="W81" s="997"/>
      <c r="X81" s="2984">
        <f t="shared" si="24"/>
        <v>0</v>
      </c>
      <c r="Y81" s="2984">
        <f t="shared" si="25"/>
        <v>0</v>
      </c>
      <c r="Z81" s="997"/>
    </row>
    <row r="82" spans="1:26">
      <c r="A82" s="35"/>
      <c r="B82" s="20"/>
      <c r="C82" s="13">
        <f t="shared" si="14"/>
        <v>1</v>
      </c>
      <c r="D82" s="600"/>
      <c r="E82" s="13">
        <f t="shared" si="15"/>
        <v>0</v>
      </c>
      <c r="F82" s="600"/>
      <c r="G82" s="13">
        <f t="shared" si="16"/>
        <v>0</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900">
        <f t="shared" si="28"/>
        <v>0</v>
      </c>
      <c r="U82" s="2984">
        <f t="shared" si="22"/>
        <v>0</v>
      </c>
      <c r="V82" s="2984">
        <f t="shared" si="23"/>
        <v>0</v>
      </c>
      <c r="W82" s="997"/>
      <c r="X82" s="2984">
        <f t="shared" si="24"/>
        <v>0</v>
      </c>
      <c r="Y82" s="2984">
        <f t="shared" si="25"/>
        <v>0</v>
      </c>
      <c r="Z82" s="997"/>
    </row>
    <row r="83" spans="1:26">
      <c r="A83" s="35"/>
      <c r="B83" s="20"/>
      <c r="C83" s="13">
        <f t="shared" si="14"/>
        <v>1</v>
      </c>
      <c r="D83" s="600"/>
      <c r="E83" s="13">
        <f t="shared" si="15"/>
        <v>0</v>
      </c>
      <c r="F83" s="600"/>
      <c r="G83" s="13">
        <f t="shared" si="16"/>
        <v>0</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900">
        <f t="shared" si="28"/>
        <v>0</v>
      </c>
      <c r="U83" s="2984">
        <f t="shared" si="22"/>
        <v>0</v>
      </c>
      <c r="V83" s="2984">
        <f t="shared" si="23"/>
        <v>0</v>
      </c>
      <c r="W83" s="997"/>
      <c r="X83" s="2984">
        <f t="shared" si="24"/>
        <v>0</v>
      </c>
      <c r="Y83" s="2984">
        <f t="shared" si="25"/>
        <v>0</v>
      </c>
      <c r="Z83" s="997"/>
    </row>
    <row r="84" spans="1:26">
      <c r="A84" s="35"/>
      <c r="B84" s="20"/>
      <c r="C84" s="13">
        <f t="shared" si="14"/>
        <v>1</v>
      </c>
      <c r="D84" s="600"/>
      <c r="E84" s="13">
        <f t="shared" si="15"/>
        <v>0</v>
      </c>
      <c r="F84" s="600"/>
      <c r="G84" s="13">
        <f t="shared" si="16"/>
        <v>0</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900">
        <f t="shared" si="28"/>
        <v>0</v>
      </c>
      <c r="U84" s="2984">
        <f t="shared" si="22"/>
        <v>0</v>
      </c>
      <c r="V84" s="2984">
        <f t="shared" si="23"/>
        <v>0</v>
      </c>
      <c r="W84" s="997"/>
      <c r="X84" s="2984">
        <f t="shared" si="24"/>
        <v>0</v>
      </c>
      <c r="Y84" s="2984">
        <f t="shared" si="25"/>
        <v>0</v>
      </c>
      <c r="Z84" s="997"/>
    </row>
    <row r="85" spans="1:26">
      <c r="A85" s="35"/>
      <c r="B85" s="20"/>
      <c r="C85" s="13">
        <f t="shared" si="14"/>
        <v>1</v>
      </c>
      <c r="D85" s="600"/>
      <c r="E85" s="13">
        <f t="shared" si="15"/>
        <v>0</v>
      </c>
      <c r="F85" s="600"/>
      <c r="G85" s="13">
        <f t="shared" si="16"/>
        <v>0</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900">
        <f t="shared" si="28"/>
        <v>0</v>
      </c>
      <c r="U85" s="2984">
        <f t="shared" si="22"/>
        <v>0</v>
      </c>
      <c r="V85" s="2984">
        <f t="shared" si="23"/>
        <v>0</v>
      </c>
      <c r="W85" s="997"/>
      <c r="X85" s="2984">
        <f t="shared" si="24"/>
        <v>0</v>
      </c>
      <c r="Y85" s="2984">
        <f t="shared" si="25"/>
        <v>0</v>
      </c>
      <c r="Z85" s="997"/>
    </row>
    <row r="86" spans="1:26">
      <c r="A86" s="35"/>
      <c r="B86" s="20"/>
      <c r="C86" s="13">
        <f t="shared" si="14"/>
        <v>1</v>
      </c>
      <c r="D86" s="600"/>
      <c r="E86" s="13">
        <f t="shared" si="15"/>
        <v>0</v>
      </c>
      <c r="F86" s="600"/>
      <c r="G86" s="13">
        <f t="shared" si="16"/>
        <v>0</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900">
        <f t="shared" si="28"/>
        <v>0</v>
      </c>
      <c r="U86" s="2984">
        <f t="shared" si="22"/>
        <v>0</v>
      </c>
      <c r="V86" s="2984">
        <f t="shared" si="23"/>
        <v>0</v>
      </c>
      <c r="W86" s="997"/>
      <c r="X86" s="2984">
        <f t="shared" si="24"/>
        <v>0</v>
      </c>
      <c r="Y86" s="2984">
        <f t="shared" si="25"/>
        <v>0</v>
      </c>
      <c r="Z86" s="997"/>
    </row>
    <row r="87" spans="1:26">
      <c r="A87" s="35"/>
      <c r="B87" s="20"/>
      <c r="C87" s="13">
        <f t="shared" si="14"/>
        <v>1</v>
      </c>
      <c r="D87" s="600"/>
      <c r="E87" s="13">
        <f t="shared" si="15"/>
        <v>0</v>
      </c>
      <c r="F87" s="600"/>
      <c r="G87" s="13">
        <f t="shared" si="16"/>
        <v>0</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900">
        <f t="shared" si="28"/>
        <v>0</v>
      </c>
      <c r="U87" s="2984">
        <f t="shared" si="22"/>
        <v>0</v>
      </c>
      <c r="V87" s="2984">
        <f t="shared" si="23"/>
        <v>0</v>
      </c>
      <c r="W87" s="997"/>
      <c r="X87" s="2984">
        <f t="shared" si="24"/>
        <v>0</v>
      </c>
      <c r="Y87" s="2984">
        <f t="shared" si="25"/>
        <v>0</v>
      </c>
      <c r="Z87" s="997"/>
    </row>
    <row r="88" spans="1:26">
      <c r="A88" s="35"/>
      <c r="B88" s="20"/>
      <c r="C88" s="13">
        <f t="shared" si="14"/>
        <v>1</v>
      </c>
      <c r="D88" s="600"/>
      <c r="E88" s="13">
        <f t="shared" si="15"/>
        <v>0</v>
      </c>
      <c r="F88" s="600"/>
      <c r="G88" s="13">
        <f t="shared" si="16"/>
        <v>0</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900">
        <f t="shared" si="28"/>
        <v>0</v>
      </c>
      <c r="U88" s="2984">
        <f t="shared" si="22"/>
        <v>0</v>
      </c>
      <c r="V88" s="2984">
        <f t="shared" si="23"/>
        <v>0</v>
      </c>
      <c r="W88" s="997"/>
      <c r="X88" s="2984">
        <f t="shared" si="24"/>
        <v>0</v>
      </c>
      <c r="Y88" s="2984">
        <f t="shared" si="25"/>
        <v>0</v>
      </c>
      <c r="Z88" s="997"/>
    </row>
    <row r="89" spans="1:26">
      <c r="A89" s="35"/>
      <c r="B89" s="20"/>
      <c r="C89" s="13">
        <f t="shared" si="14"/>
        <v>1</v>
      </c>
      <c r="D89" s="600"/>
      <c r="E89" s="13">
        <f t="shared" si="15"/>
        <v>0</v>
      </c>
      <c r="F89" s="600"/>
      <c r="G89" s="13">
        <f t="shared" si="16"/>
        <v>0</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900">
        <f t="shared" si="28"/>
        <v>0</v>
      </c>
      <c r="U89" s="2984">
        <f t="shared" si="22"/>
        <v>0</v>
      </c>
      <c r="V89" s="2984">
        <f t="shared" si="23"/>
        <v>0</v>
      </c>
      <c r="W89" s="997"/>
      <c r="X89" s="2984">
        <f t="shared" si="24"/>
        <v>0</v>
      </c>
      <c r="Y89" s="2984">
        <f t="shared" si="25"/>
        <v>0</v>
      </c>
      <c r="Z89" s="997"/>
    </row>
    <row r="90" spans="1:26">
      <c r="A90" s="35"/>
      <c r="B90" s="20"/>
      <c r="C90" s="13">
        <f t="shared" si="14"/>
        <v>1</v>
      </c>
      <c r="D90" s="600"/>
      <c r="E90" s="13">
        <f t="shared" si="15"/>
        <v>0</v>
      </c>
      <c r="F90" s="600"/>
      <c r="G90" s="13">
        <f t="shared" si="16"/>
        <v>0</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900">
        <f t="shared" si="28"/>
        <v>0</v>
      </c>
      <c r="U90" s="2984">
        <f t="shared" si="22"/>
        <v>0</v>
      </c>
      <c r="V90" s="2984">
        <f t="shared" si="23"/>
        <v>0</v>
      </c>
      <c r="W90" s="997"/>
      <c r="X90" s="2984">
        <f t="shared" si="24"/>
        <v>0</v>
      </c>
      <c r="Y90" s="2984">
        <f t="shared" si="25"/>
        <v>0</v>
      </c>
      <c r="Z90" s="997"/>
    </row>
    <row r="91" spans="1:26">
      <c r="A91" s="35"/>
      <c r="B91" s="20"/>
      <c r="C91" s="13">
        <f t="shared" si="14"/>
        <v>1</v>
      </c>
      <c r="D91" s="600"/>
      <c r="E91" s="13">
        <f t="shared" si="15"/>
        <v>0</v>
      </c>
      <c r="F91" s="600"/>
      <c r="G91" s="13">
        <f t="shared" si="16"/>
        <v>0</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900">
        <f t="shared" si="28"/>
        <v>0</v>
      </c>
      <c r="U91" s="2984">
        <f t="shared" si="22"/>
        <v>0</v>
      </c>
      <c r="V91" s="2984">
        <f t="shared" si="23"/>
        <v>0</v>
      </c>
      <c r="W91" s="997"/>
      <c r="X91" s="2984">
        <f t="shared" si="24"/>
        <v>0</v>
      </c>
      <c r="Y91" s="2984">
        <f t="shared" si="25"/>
        <v>0</v>
      </c>
      <c r="Z91" s="997"/>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0</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900">
        <f t="shared" si="28"/>
        <v>0</v>
      </c>
      <c r="U92" s="2984">
        <f t="shared" ref="U92:U155" si="37">ROUND(W92*B92,0)</f>
        <v>0</v>
      </c>
      <c r="V92" s="2984">
        <f t="shared" ref="V92:V155" si="38">ROUND(W92*B92/10000,0)</f>
        <v>0</v>
      </c>
      <c r="W92" s="997"/>
      <c r="X92" s="2984">
        <f t="shared" ref="X92:X155" si="39">ROUND(Z92*B92,0)</f>
        <v>0</v>
      </c>
      <c r="Y92" s="2984">
        <f t="shared" ref="Y92:Y155" si="40">ROUND(Z92*B92/10000,0)</f>
        <v>0</v>
      </c>
      <c r="Z92" s="997"/>
    </row>
    <row r="93" spans="1:26">
      <c r="A93" s="35"/>
      <c r="B93" s="20"/>
      <c r="C93" s="13">
        <f t="shared" si="29"/>
        <v>1</v>
      </c>
      <c r="D93" s="600"/>
      <c r="E93" s="13">
        <f t="shared" si="30"/>
        <v>0</v>
      </c>
      <c r="F93" s="600"/>
      <c r="G93" s="13">
        <f t="shared" si="31"/>
        <v>0</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900">
        <f t="shared" ref="T93:T156" si="43">ROUND(R93*B93/10000,0)</f>
        <v>0</v>
      </c>
      <c r="U93" s="2984">
        <f t="shared" si="37"/>
        <v>0</v>
      </c>
      <c r="V93" s="2984">
        <f t="shared" si="38"/>
        <v>0</v>
      </c>
      <c r="W93" s="997"/>
      <c r="X93" s="2984">
        <f t="shared" si="39"/>
        <v>0</v>
      </c>
      <c r="Y93" s="2984">
        <f t="shared" si="40"/>
        <v>0</v>
      </c>
      <c r="Z93" s="997"/>
    </row>
    <row r="94" spans="1:26">
      <c r="A94" s="35"/>
      <c r="B94" s="20"/>
      <c r="C94" s="13">
        <f t="shared" si="29"/>
        <v>1</v>
      </c>
      <c r="D94" s="600"/>
      <c r="E94" s="13">
        <f t="shared" si="30"/>
        <v>0</v>
      </c>
      <c r="F94" s="600"/>
      <c r="G94" s="13">
        <f t="shared" si="31"/>
        <v>0</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900">
        <f t="shared" si="43"/>
        <v>0</v>
      </c>
      <c r="U94" s="2984">
        <f t="shared" si="37"/>
        <v>0</v>
      </c>
      <c r="V94" s="2984">
        <f t="shared" si="38"/>
        <v>0</v>
      </c>
      <c r="W94" s="997"/>
      <c r="X94" s="2984">
        <f t="shared" si="39"/>
        <v>0</v>
      </c>
      <c r="Y94" s="2984">
        <f t="shared" si="40"/>
        <v>0</v>
      </c>
      <c r="Z94" s="997"/>
    </row>
    <row r="95" spans="1:26">
      <c r="A95" s="35"/>
      <c r="B95" s="20"/>
      <c r="C95" s="13">
        <f t="shared" si="29"/>
        <v>1</v>
      </c>
      <c r="D95" s="600"/>
      <c r="E95" s="13">
        <f t="shared" si="30"/>
        <v>0</v>
      </c>
      <c r="F95" s="600"/>
      <c r="G95" s="13">
        <f t="shared" si="31"/>
        <v>0</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900">
        <f t="shared" si="43"/>
        <v>0</v>
      </c>
      <c r="U95" s="2984">
        <f t="shared" si="37"/>
        <v>0</v>
      </c>
      <c r="V95" s="2984">
        <f t="shared" si="38"/>
        <v>0</v>
      </c>
      <c r="W95" s="997"/>
      <c r="X95" s="2984">
        <f t="shared" si="39"/>
        <v>0</v>
      </c>
      <c r="Y95" s="2984">
        <f t="shared" si="40"/>
        <v>0</v>
      </c>
      <c r="Z95" s="997"/>
    </row>
    <row r="96" spans="1:26">
      <c r="A96" s="35"/>
      <c r="B96" s="20"/>
      <c r="C96" s="13">
        <f t="shared" si="29"/>
        <v>1</v>
      </c>
      <c r="D96" s="600"/>
      <c r="E96" s="13">
        <f t="shared" si="30"/>
        <v>0</v>
      </c>
      <c r="F96" s="600"/>
      <c r="G96" s="13">
        <f t="shared" si="31"/>
        <v>0</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900">
        <f t="shared" si="43"/>
        <v>0</v>
      </c>
      <c r="U96" s="2984">
        <f t="shared" si="37"/>
        <v>0</v>
      </c>
      <c r="V96" s="2984">
        <f t="shared" si="38"/>
        <v>0</v>
      </c>
      <c r="W96" s="997"/>
      <c r="X96" s="2984">
        <f t="shared" si="39"/>
        <v>0</v>
      </c>
      <c r="Y96" s="2984">
        <f t="shared" si="40"/>
        <v>0</v>
      </c>
      <c r="Z96" s="997"/>
    </row>
    <row r="97" spans="1:26">
      <c r="A97" s="35"/>
      <c r="B97" s="20"/>
      <c r="C97" s="13">
        <f t="shared" si="29"/>
        <v>1</v>
      </c>
      <c r="D97" s="600"/>
      <c r="E97" s="13">
        <f t="shared" si="30"/>
        <v>0</v>
      </c>
      <c r="F97" s="600"/>
      <c r="G97" s="13">
        <f t="shared" si="31"/>
        <v>0</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900">
        <f t="shared" si="43"/>
        <v>0</v>
      </c>
      <c r="U97" s="2984">
        <f t="shared" si="37"/>
        <v>0</v>
      </c>
      <c r="V97" s="2984">
        <f t="shared" si="38"/>
        <v>0</v>
      </c>
      <c r="W97" s="997"/>
      <c r="X97" s="2984">
        <f t="shared" si="39"/>
        <v>0</v>
      </c>
      <c r="Y97" s="2984">
        <f t="shared" si="40"/>
        <v>0</v>
      </c>
      <c r="Z97" s="997"/>
    </row>
    <row r="98" spans="1:26">
      <c r="A98" s="35"/>
      <c r="B98" s="20"/>
      <c r="C98" s="13">
        <f t="shared" si="29"/>
        <v>1</v>
      </c>
      <c r="D98" s="600"/>
      <c r="E98" s="13">
        <f t="shared" si="30"/>
        <v>0</v>
      </c>
      <c r="F98" s="600"/>
      <c r="G98" s="13">
        <f t="shared" si="31"/>
        <v>0</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900">
        <f t="shared" si="43"/>
        <v>0</v>
      </c>
      <c r="U98" s="2984">
        <f t="shared" si="37"/>
        <v>0</v>
      </c>
      <c r="V98" s="2984">
        <f t="shared" si="38"/>
        <v>0</v>
      </c>
      <c r="W98" s="997"/>
      <c r="X98" s="2984">
        <f t="shared" si="39"/>
        <v>0</v>
      </c>
      <c r="Y98" s="2984">
        <f t="shared" si="40"/>
        <v>0</v>
      </c>
      <c r="Z98" s="997"/>
    </row>
    <row r="99" spans="1:26">
      <c r="A99" s="35"/>
      <c r="B99" s="20"/>
      <c r="C99" s="13">
        <f t="shared" si="29"/>
        <v>1</v>
      </c>
      <c r="D99" s="600"/>
      <c r="E99" s="13">
        <f t="shared" si="30"/>
        <v>0</v>
      </c>
      <c r="F99" s="600"/>
      <c r="G99" s="13">
        <f t="shared" si="31"/>
        <v>0</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900">
        <f t="shared" si="43"/>
        <v>0</v>
      </c>
      <c r="U99" s="2984">
        <f t="shared" si="37"/>
        <v>0</v>
      </c>
      <c r="V99" s="2984">
        <f t="shared" si="38"/>
        <v>0</v>
      </c>
      <c r="W99" s="997"/>
      <c r="X99" s="2984">
        <f t="shared" si="39"/>
        <v>0</v>
      </c>
      <c r="Y99" s="2984">
        <f t="shared" si="40"/>
        <v>0</v>
      </c>
      <c r="Z99" s="997"/>
    </row>
    <row r="100" spans="1:26">
      <c r="A100" s="35"/>
      <c r="B100" s="20"/>
      <c r="C100" s="13">
        <f t="shared" si="29"/>
        <v>1</v>
      </c>
      <c r="D100" s="600"/>
      <c r="E100" s="13">
        <f t="shared" si="30"/>
        <v>0</v>
      </c>
      <c r="F100" s="600"/>
      <c r="G100" s="13">
        <f t="shared" si="31"/>
        <v>0</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900">
        <f t="shared" si="43"/>
        <v>0</v>
      </c>
      <c r="U100" s="2984">
        <f t="shared" si="37"/>
        <v>0</v>
      </c>
      <c r="V100" s="2984">
        <f t="shared" si="38"/>
        <v>0</v>
      </c>
      <c r="W100" s="997"/>
      <c r="X100" s="2984">
        <f t="shared" si="39"/>
        <v>0</v>
      </c>
      <c r="Y100" s="2984">
        <f t="shared" si="40"/>
        <v>0</v>
      </c>
      <c r="Z100" s="997"/>
    </row>
    <row r="101" spans="1:26">
      <c r="A101" s="35"/>
      <c r="B101" s="20"/>
      <c r="C101" s="13">
        <f t="shared" si="29"/>
        <v>1</v>
      </c>
      <c r="D101" s="600"/>
      <c r="E101" s="13">
        <f t="shared" si="30"/>
        <v>0</v>
      </c>
      <c r="F101" s="600"/>
      <c r="G101" s="13">
        <f t="shared" si="31"/>
        <v>0</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900">
        <f t="shared" si="43"/>
        <v>0</v>
      </c>
      <c r="U101" s="2984">
        <f t="shared" si="37"/>
        <v>0</v>
      </c>
      <c r="V101" s="2984">
        <f t="shared" si="38"/>
        <v>0</v>
      </c>
      <c r="W101" s="997"/>
      <c r="X101" s="2984">
        <f t="shared" si="39"/>
        <v>0</v>
      </c>
      <c r="Y101" s="2984">
        <f t="shared" si="40"/>
        <v>0</v>
      </c>
      <c r="Z101" s="997"/>
    </row>
    <row r="102" spans="1:26">
      <c r="A102" s="35"/>
      <c r="B102" s="20"/>
      <c r="C102" s="13">
        <f t="shared" si="29"/>
        <v>1</v>
      </c>
      <c r="D102" s="600"/>
      <c r="E102" s="13">
        <f t="shared" si="30"/>
        <v>0</v>
      </c>
      <c r="F102" s="600"/>
      <c r="G102" s="13">
        <f t="shared" si="31"/>
        <v>0</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900">
        <f t="shared" si="43"/>
        <v>0</v>
      </c>
      <c r="U102" s="2984">
        <f t="shared" si="37"/>
        <v>0</v>
      </c>
      <c r="V102" s="2984">
        <f t="shared" si="38"/>
        <v>0</v>
      </c>
      <c r="W102" s="997"/>
      <c r="X102" s="2984">
        <f t="shared" si="39"/>
        <v>0</v>
      </c>
      <c r="Y102" s="2984">
        <f t="shared" si="40"/>
        <v>0</v>
      </c>
      <c r="Z102" s="997"/>
    </row>
    <row r="103" spans="1:26">
      <c r="A103" s="35"/>
      <c r="B103" s="20"/>
      <c r="C103" s="13">
        <f t="shared" si="29"/>
        <v>1</v>
      </c>
      <c r="D103" s="600"/>
      <c r="E103" s="13">
        <f t="shared" si="30"/>
        <v>0</v>
      </c>
      <c r="F103" s="600"/>
      <c r="G103" s="13">
        <f t="shared" si="31"/>
        <v>0</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900">
        <f t="shared" si="43"/>
        <v>0</v>
      </c>
      <c r="U103" s="2984">
        <f t="shared" si="37"/>
        <v>0</v>
      </c>
      <c r="V103" s="2984">
        <f t="shared" si="38"/>
        <v>0</v>
      </c>
      <c r="W103" s="997"/>
      <c r="X103" s="2984">
        <f t="shared" si="39"/>
        <v>0</v>
      </c>
      <c r="Y103" s="2984">
        <f t="shared" si="40"/>
        <v>0</v>
      </c>
      <c r="Z103" s="997"/>
    </row>
    <row r="104" spans="1:26">
      <c r="A104" s="35"/>
      <c r="B104" s="20"/>
      <c r="C104" s="13">
        <f t="shared" si="29"/>
        <v>1</v>
      </c>
      <c r="D104" s="600"/>
      <c r="E104" s="13">
        <f t="shared" si="30"/>
        <v>0</v>
      </c>
      <c r="F104" s="600"/>
      <c r="G104" s="13">
        <f t="shared" si="31"/>
        <v>0</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900">
        <f t="shared" si="43"/>
        <v>0</v>
      </c>
      <c r="U104" s="2984">
        <f t="shared" si="37"/>
        <v>0</v>
      </c>
      <c r="V104" s="2984">
        <f t="shared" si="38"/>
        <v>0</v>
      </c>
      <c r="W104" s="997"/>
      <c r="X104" s="2984">
        <f t="shared" si="39"/>
        <v>0</v>
      </c>
      <c r="Y104" s="2984">
        <f t="shared" si="40"/>
        <v>0</v>
      </c>
      <c r="Z104" s="997"/>
    </row>
    <row r="105" spans="1:26">
      <c r="A105" s="35"/>
      <c r="B105" s="20"/>
      <c r="C105" s="13">
        <f t="shared" si="29"/>
        <v>1</v>
      </c>
      <c r="D105" s="600"/>
      <c r="E105" s="13">
        <f t="shared" si="30"/>
        <v>0</v>
      </c>
      <c r="F105" s="600"/>
      <c r="G105" s="13">
        <f t="shared" si="31"/>
        <v>0</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900">
        <f t="shared" si="43"/>
        <v>0</v>
      </c>
      <c r="U105" s="2984">
        <f t="shared" si="37"/>
        <v>0</v>
      </c>
      <c r="V105" s="2984">
        <f t="shared" si="38"/>
        <v>0</v>
      </c>
      <c r="W105" s="997"/>
      <c r="X105" s="2984">
        <f t="shared" si="39"/>
        <v>0</v>
      </c>
      <c r="Y105" s="2984">
        <f t="shared" si="40"/>
        <v>0</v>
      </c>
      <c r="Z105" s="997"/>
    </row>
    <row r="106" spans="1:26">
      <c r="A106" s="35"/>
      <c r="B106" s="20"/>
      <c r="C106" s="13">
        <f t="shared" si="29"/>
        <v>1</v>
      </c>
      <c r="D106" s="600"/>
      <c r="E106" s="13">
        <f t="shared" si="30"/>
        <v>0</v>
      </c>
      <c r="F106" s="600"/>
      <c r="G106" s="13">
        <f t="shared" si="31"/>
        <v>0</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900">
        <f t="shared" si="43"/>
        <v>0</v>
      </c>
      <c r="U106" s="2984">
        <f t="shared" si="37"/>
        <v>0</v>
      </c>
      <c r="V106" s="2984">
        <f t="shared" si="38"/>
        <v>0</v>
      </c>
      <c r="W106" s="997"/>
      <c r="X106" s="2984">
        <f t="shared" si="39"/>
        <v>0</v>
      </c>
      <c r="Y106" s="2984">
        <f t="shared" si="40"/>
        <v>0</v>
      </c>
      <c r="Z106" s="997"/>
    </row>
    <row r="107" spans="1:26">
      <c r="A107" s="35"/>
      <c r="B107" s="20"/>
      <c r="C107" s="13">
        <f t="shared" si="29"/>
        <v>1</v>
      </c>
      <c r="D107" s="600"/>
      <c r="E107" s="13">
        <f t="shared" si="30"/>
        <v>0</v>
      </c>
      <c r="F107" s="600"/>
      <c r="G107" s="13">
        <f t="shared" si="31"/>
        <v>0</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900">
        <f t="shared" si="43"/>
        <v>0</v>
      </c>
      <c r="U107" s="2984">
        <f t="shared" si="37"/>
        <v>0</v>
      </c>
      <c r="V107" s="2984">
        <f t="shared" si="38"/>
        <v>0</v>
      </c>
      <c r="W107" s="997"/>
      <c r="X107" s="2984">
        <f t="shared" si="39"/>
        <v>0</v>
      </c>
      <c r="Y107" s="2984">
        <f t="shared" si="40"/>
        <v>0</v>
      </c>
      <c r="Z107" s="997"/>
    </row>
    <row r="108" spans="1:26">
      <c r="A108" s="35"/>
      <c r="B108" s="20"/>
      <c r="C108" s="13">
        <f t="shared" si="29"/>
        <v>1</v>
      </c>
      <c r="D108" s="600"/>
      <c r="E108" s="13">
        <f t="shared" si="30"/>
        <v>0</v>
      </c>
      <c r="F108" s="600"/>
      <c r="G108" s="13">
        <f t="shared" si="31"/>
        <v>0</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900">
        <f t="shared" si="43"/>
        <v>0</v>
      </c>
      <c r="U108" s="2984">
        <f t="shared" si="37"/>
        <v>0</v>
      </c>
      <c r="V108" s="2984">
        <f t="shared" si="38"/>
        <v>0</v>
      </c>
      <c r="W108" s="997"/>
      <c r="X108" s="2984">
        <f t="shared" si="39"/>
        <v>0</v>
      </c>
      <c r="Y108" s="2984">
        <f t="shared" si="40"/>
        <v>0</v>
      </c>
      <c r="Z108" s="997"/>
    </row>
    <row r="109" spans="1:26">
      <c r="A109" s="35"/>
      <c r="B109" s="20"/>
      <c r="C109" s="13">
        <f t="shared" si="29"/>
        <v>1</v>
      </c>
      <c r="D109" s="600"/>
      <c r="E109" s="13">
        <f t="shared" si="30"/>
        <v>0</v>
      </c>
      <c r="F109" s="600"/>
      <c r="G109" s="13">
        <f t="shared" si="31"/>
        <v>0</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900">
        <f t="shared" si="43"/>
        <v>0</v>
      </c>
      <c r="U109" s="2984">
        <f t="shared" si="37"/>
        <v>0</v>
      </c>
      <c r="V109" s="2984">
        <f t="shared" si="38"/>
        <v>0</v>
      </c>
      <c r="W109" s="997"/>
      <c r="X109" s="2984">
        <f t="shared" si="39"/>
        <v>0</v>
      </c>
      <c r="Y109" s="2984">
        <f t="shared" si="40"/>
        <v>0</v>
      </c>
      <c r="Z109" s="997"/>
    </row>
    <row r="110" spans="1:26">
      <c r="A110" s="35"/>
      <c r="B110" s="20"/>
      <c r="C110" s="13">
        <f t="shared" si="29"/>
        <v>1</v>
      </c>
      <c r="D110" s="600"/>
      <c r="E110" s="13">
        <f t="shared" si="30"/>
        <v>0</v>
      </c>
      <c r="F110" s="600"/>
      <c r="G110" s="13">
        <f t="shared" si="31"/>
        <v>0</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900">
        <f t="shared" si="43"/>
        <v>0</v>
      </c>
      <c r="U110" s="2984">
        <f t="shared" si="37"/>
        <v>0</v>
      </c>
      <c r="V110" s="2984">
        <f t="shared" si="38"/>
        <v>0</v>
      </c>
      <c r="W110" s="997"/>
      <c r="X110" s="2984">
        <f t="shared" si="39"/>
        <v>0</v>
      </c>
      <c r="Y110" s="2984">
        <f t="shared" si="40"/>
        <v>0</v>
      </c>
      <c r="Z110" s="997"/>
    </row>
    <row r="111" spans="1:26">
      <c r="A111" s="35"/>
      <c r="B111" s="20"/>
      <c r="C111" s="13">
        <f t="shared" si="29"/>
        <v>1</v>
      </c>
      <c r="D111" s="600"/>
      <c r="E111" s="13">
        <f t="shared" si="30"/>
        <v>0</v>
      </c>
      <c r="F111" s="600"/>
      <c r="G111" s="13">
        <f t="shared" si="31"/>
        <v>0</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900">
        <f t="shared" si="43"/>
        <v>0</v>
      </c>
      <c r="U111" s="2984">
        <f t="shared" si="37"/>
        <v>0</v>
      </c>
      <c r="V111" s="2984">
        <f t="shared" si="38"/>
        <v>0</v>
      </c>
      <c r="W111" s="997"/>
      <c r="X111" s="2984">
        <f t="shared" si="39"/>
        <v>0</v>
      </c>
      <c r="Y111" s="2984">
        <f t="shared" si="40"/>
        <v>0</v>
      </c>
      <c r="Z111" s="997"/>
    </row>
    <row r="112" spans="1:26">
      <c r="A112" s="35"/>
      <c r="B112" s="20"/>
      <c r="C112" s="13">
        <f t="shared" si="29"/>
        <v>1</v>
      </c>
      <c r="D112" s="600"/>
      <c r="E112" s="13">
        <f t="shared" si="30"/>
        <v>0</v>
      </c>
      <c r="F112" s="600"/>
      <c r="G112" s="13">
        <f t="shared" si="31"/>
        <v>0</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900">
        <f t="shared" si="43"/>
        <v>0</v>
      </c>
      <c r="U112" s="2984">
        <f t="shared" si="37"/>
        <v>0</v>
      </c>
      <c r="V112" s="2984">
        <f t="shared" si="38"/>
        <v>0</v>
      </c>
      <c r="W112" s="997"/>
      <c r="X112" s="2984">
        <f t="shared" si="39"/>
        <v>0</v>
      </c>
      <c r="Y112" s="2984">
        <f t="shared" si="40"/>
        <v>0</v>
      </c>
      <c r="Z112" s="997"/>
    </row>
    <row r="113" spans="1:26">
      <c r="A113" s="35"/>
      <c r="B113" s="20"/>
      <c r="C113" s="13">
        <f t="shared" si="29"/>
        <v>1</v>
      </c>
      <c r="D113" s="600"/>
      <c r="E113" s="13">
        <f t="shared" si="30"/>
        <v>0</v>
      </c>
      <c r="F113" s="600"/>
      <c r="G113" s="13">
        <f t="shared" si="31"/>
        <v>0</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900">
        <f t="shared" si="43"/>
        <v>0</v>
      </c>
      <c r="U113" s="2984">
        <f t="shared" si="37"/>
        <v>0</v>
      </c>
      <c r="V113" s="2984">
        <f t="shared" si="38"/>
        <v>0</v>
      </c>
      <c r="W113" s="997"/>
      <c r="X113" s="2984">
        <f t="shared" si="39"/>
        <v>0</v>
      </c>
      <c r="Y113" s="2984">
        <f t="shared" si="40"/>
        <v>0</v>
      </c>
      <c r="Z113" s="997"/>
    </row>
    <row r="114" spans="1:26">
      <c r="A114" s="35"/>
      <c r="B114" s="20"/>
      <c r="C114" s="13">
        <f t="shared" si="29"/>
        <v>1</v>
      </c>
      <c r="D114" s="600"/>
      <c r="E114" s="13">
        <f t="shared" si="30"/>
        <v>0</v>
      </c>
      <c r="F114" s="600"/>
      <c r="G114" s="13">
        <f t="shared" si="31"/>
        <v>0</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900">
        <f t="shared" si="43"/>
        <v>0</v>
      </c>
      <c r="U114" s="2984">
        <f t="shared" si="37"/>
        <v>0</v>
      </c>
      <c r="V114" s="2984">
        <f t="shared" si="38"/>
        <v>0</v>
      </c>
      <c r="W114" s="997"/>
      <c r="X114" s="2984">
        <f t="shared" si="39"/>
        <v>0</v>
      </c>
      <c r="Y114" s="2984">
        <f t="shared" si="40"/>
        <v>0</v>
      </c>
      <c r="Z114" s="997"/>
    </row>
    <row r="115" spans="1:26">
      <c r="A115" s="35"/>
      <c r="B115" s="20"/>
      <c r="C115" s="13">
        <f t="shared" si="29"/>
        <v>1</v>
      </c>
      <c r="D115" s="600"/>
      <c r="E115" s="13">
        <f t="shared" si="30"/>
        <v>0</v>
      </c>
      <c r="F115" s="600"/>
      <c r="G115" s="13">
        <f t="shared" si="31"/>
        <v>0</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900">
        <f t="shared" si="43"/>
        <v>0</v>
      </c>
      <c r="U115" s="2984">
        <f t="shared" si="37"/>
        <v>0</v>
      </c>
      <c r="V115" s="2984">
        <f t="shared" si="38"/>
        <v>0</v>
      </c>
      <c r="W115" s="997"/>
      <c r="X115" s="2984">
        <f t="shared" si="39"/>
        <v>0</v>
      </c>
      <c r="Y115" s="2984">
        <f t="shared" si="40"/>
        <v>0</v>
      </c>
      <c r="Z115" s="997"/>
    </row>
    <row r="116" spans="1:26">
      <c r="A116" s="35"/>
      <c r="B116" s="20"/>
      <c r="C116" s="13">
        <f t="shared" si="29"/>
        <v>1</v>
      </c>
      <c r="D116" s="600"/>
      <c r="E116" s="13">
        <f t="shared" si="30"/>
        <v>0</v>
      </c>
      <c r="F116" s="600"/>
      <c r="G116" s="13">
        <f t="shared" si="31"/>
        <v>0</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900">
        <f t="shared" si="43"/>
        <v>0</v>
      </c>
      <c r="U116" s="2984">
        <f t="shared" si="37"/>
        <v>0</v>
      </c>
      <c r="V116" s="2984">
        <f t="shared" si="38"/>
        <v>0</v>
      </c>
      <c r="W116" s="997"/>
      <c r="X116" s="2984">
        <f t="shared" si="39"/>
        <v>0</v>
      </c>
      <c r="Y116" s="2984">
        <f t="shared" si="40"/>
        <v>0</v>
      </c>
      <c r="Z116" s="997"/>
    </row>
    <row r="117" spans="1:26">
      <c r="A117" s="35"/>
      <c r="B117" s="20"/>
      <c r="C117" s="13">
        <f t="shared" si="29"/>
        <v>1</v>
      </c>
      <c r="D117" s="600"/>
      <c r="E117" s="13">
        <f t="shared" si="30"/>
        <v>0</v>
      </c>
      <c r="F117" s="600"/>
      <c r="G117" s="13">
        <f t="shared" si="31"/>
        <v>0</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900">
        <f t="shared" si="43"/>
        <v>0</v>
      </c>
      <c r="U117" s="2984">
        <f t="shared" si="37"/>
        <v>0</v>
      </c>
      <c r="V117" s="2984">
        <f t="shared" si="38"/>
        <v>0</v>
      </c>
      <c r="W117" s="997"/>
      <c r="X117" s="2984">
        <f t="shared" si="39"/>
        <v>0</v>
      </c>
      <c r="Y117" s="2984">
        <f t="shared" si="40"/>
        <v>0</v>
      </c>
      <c r="Z117" s="997"/>
    </row>
    <row r="118" spans="1:26">
      <c r="A118" s="35"/>
      <c r="B118" s="20"/>
      <c r="C118" s="13">
        <f t="shared" si="29"/>
        <v>1</v>
      </c>
      <c r="D118" s="600"/>
      <c r="E118" s="13">
        <f t="shared" si="30"/>
        <v>0</v>
      </c>
      <c r="F118" s="600"/>
      <c r="G118" s="13">
        <f t="shared" si="31"/>
        <v>0</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900">
        <f t="shared" si="43"/>
        <v>0</v>
      </c>
      <c r="U118" s="2984">
        <f t="shared" si="37"/>
        <v>0</v>
      </c>
      <c r="V118" s="2984">
        <f t="shared" si="38"/>
        <v>0</v>
      </c>
      <c r="W118" s="997"/>
      <c r="X118" s="2984">
        <f t="shared" si="39"/>
        <v>0</v>
      </c>
      <c r="Y118" s="2984">
        <f t="shared" si="40"/>
        <v>0</v>
      </c>
      <c r="Z118" s="997"/>
    </row>
    <row r="119" spans="1:26">
      <c r="A119" s="35"/>
      <c r="B119" s="20"/>
      <c r="C119" s="13">
        <f t="shared" si="29"/>
        <v>1</v>
      </c>
      <c r="D119" s="600"/>
      <c r="E119" s="13">
        <f t="shared" si="30"/>
        <v>0</v>
      </c>
      <c r="F119" s="600"/>
      <c r="G119" s="13">
        <f t="shared" si="31"/>
        <v>0</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900">
        <f t="shared" si="43"/>
        <v>0</v>
      </c>
      <c r="U119" s="2984">
        <f t="shared" si="37"/>
        <v>0</v>
      </c>
      <c r="V119" s="2984">
        <f t="shared" si="38"/>
        <v>0</v>
      </c>
      <c r="W119" s="997"/>
      <c r="X119" s="2984">
        <f t="shared" si="39"/>
        <v>0</v>
      </c>
      <c r="Y119" s="2984">
        <f t="shared" si="40"/>
        <v>0</v>
      </c>
      <c r="Z119" s="997"/>
    </row>
    <row r="120" spans="1:26">
      <c r="A120" s="35"/>
      <c r="B120" s="20"/>
      <c r="C120" s="13">
        <f t="shared" si="29"/>
        <v>1</v>
      </c>
      <c r="D120" s="600"/>
      <c r="E120" s="13">
        <f t="shared" si="30"/>
        <v>0</v>
      </c>
      <c r="F120" s="600"/>
      <c r="G120" s="13">
        <f t="shared" si="31"/>
        <v>0</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900">
        <f t="shared" si="43"/>
        <v>0</v>
      </c>
      <c r="U120" s="2984">
        <f t="shared" si="37"/>
        <v>0</v>
      </c>
      <c r="V120" s="2984">
        <f t="shared" si="38"/>
        <v>0</v>
      </c>
      <c r="W120" s="997"/>
      <c r="X120" s="2984">
        <f t="shared" si="39"/>
        <v>0</v>
      </c>
      <c r="Y120" s="2984">
        <f t="shared" si="40"/>
        <v>0</v>
      </c>
      <c r="Z120" s="997"/>
    </row>
    <row r="121" spans="1:26">
      <c r="A121" s="35"/>
      <c r="B121" s="20"/>
      <c r="C121" s="13">
        <f t="shared" si="29"/>
        <v>1</v>
      </c>
      <c r="D121" s="600"/>
      <c r="E121" s="13">
        <f t="shared" si="30"/>
        <v>0</v>
      </c>
      <c r="F121" s="600"/>
      <c r="G121" s="13">
        <f t="shared" si="31"/>
        <v>0</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900">
        <f t="shared" si="43"/>
        <v>0</v>
      </c>
      <c r="U121" s="2984">
        <f t="shared" si="37"/>
        <v>0</v>
      </c>
      <c r="V121" s="2984">
        <f t="shared" si="38"/>
        <v>0</v>
      </c>
      <c r="W121" s="997"/>
      <c r="X121" s="2984">
        <f t="shared" si="39"/>
        <v>0</v>
      </c>
      <c r="Y121" s="2984">
        <f t="shared" si="40"/>
        <v>0</v>
      </c>
      <c r="Z121" s="997"/>
    </row>
    <row r="122" spans="1:26">
      <c r="A122" s="35"/>
      <c r="B122" s="20"/>
      <c r="C122" s="13">
        <f t="shared" si="29"/>
        <v>1</v>
      </c>
      <c r="D122" s="600"/>
      <c r="E122" s="13">
        <f t="shared" si="30"/>
        <v>0</v>
      </c>
      <c r="F122" s="600"/>
      <c r="G122" s="13">
        <f t="shared" si="31"/>
        <v>0</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900">
        <f t="shared" si="43"/>
        <v>0</v>
      </c>
      <c r="U122" s="2984">
        <f t="shared" si="37"/>
        <v>0</v>
      </c>
      <c r="V122" s="2984">
        <f t="shared" si="38"/>
        <v>0</v>
      </c>
      <c r="W122" s="997"/>
      <c r="X122" s="2984">
        <f t="shared" si="39"/>
        <v>0</v>
      </c>
      <c r="Y122" s="2984">
        <f t="shared" si="40"/>
        <v>0</v>
      </c>
      <c r="Z122" s="997"/>
    </row>
    <row r="123" spans="1:26">
      <c r="A123" s="35"/>
      <c r="B123" s="20"/>
      <c r="C123" s="13">
        <f t="shared" si="29"/>
        <v>1</v>
      </c>
      <c r="D123" s="600"/>
      <c r="E123" s="13">
        <f t="shared" si="30"/>
        <v>0</v>
      </c>
      <c r="F123" s="600"/>
      <c r="G123" s="13">
        <f t="shared" si="31"/>
        <v>0</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900">
        <f t="shared" si="43"/>
        <v>0</v>
      </c>
      <c r="U123" s="2984">
        <f t="shared" si="37"/>
        <v>0</v>
      </c>
      <c r="V123" s="2984">
        <f t="shared" si="38"/>
        <v>0</v>
      </c>
      <c r="W123" s="997"/>
      <c r="X123" s="2984">
        <f t="shared" si="39"/>
        <v>0</v>
      </c>
      <c r="Y123" s="2984">
        <f t="shared" si="40"/>
        <v>0</v>
      </c>
      <c r="Z123" s="997"/>
    </row>
    <row r="124" spans="1:26">
      <c r="A124" s="35"/>
      <c r="B124" s="20"/>
      <c r="C124" s="13">
        <f t="shared" si="29"/>
        <v>1</v>
      </c>
      <c r="D124" s="600"/>
      <c r="E124" s="13">
        <f t="shared" si="30"/>
        <v>0</v>
      </c>
      <c r="F124" s="600"/>
      <c r="G124" s="13">
        <f t="shared" si="31"/>
        <v>0</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900">
        <f t="shared" si="43"/>
        <v>0</v>
      </c>
      <c r="U124" s="2984">
        <f t="shared" si="37"/>
        <v>0</v>
      </c>
      <c r="V124" s="2984">
        <f t="shared" si="38"/>
        <v>0</v>
      </c>
      <c r="W124" s="997"/>
      <c r="X124" s="2984">
        <f t="shared" si="39"/>
        <v>0</v>
      </c>
      <c r="Y124" s="2984">
        <f t="shared" si="40"/>
        <v>0</v>
      </c>
      <c r="Z124" s="997"/>
    </row>
    <row r="125" spans="1:26">
      <c r="A125" s="35"/>
      <c r="B125" s="20"/>
      <c r="C125" s="13">
        <f t="shared" si="29"/>
        <v>1</v>
      </c>
      <c r="D125" s="600"/>
      <c r="E125" s="13">
        <f t="shared" si="30"/>
        <v>0</v>
      </c>
      <c r="F125" s="600"/>
      <c r="G125" s="13">
        <f t="shared" si="31"/>
        <v>0</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900">
        <f t="shared" si="43"/>
        <v>0</v>
      </c>
      <c r="U125" s="2984">
        <f t="shared" si="37"/>
        <v>0</v>
      </c>
      <c r="V125" s="2984">
        <f t="shared" si="38"/>
        <v>0</v>
      </c>
      <c r="W125" s="997"/>
      <c r="X125" s="2984">
        <f t="shared" si="39"/>
        <v>0</v>
      </c>
      <c r="Y125" s="2984">
        <f t="shared" si="40"/>
        <v>0</v>
      </c>
      <c r="Z125" s="997"/>
    </row>
    <row r="126" spans="1:26">
      <c r="A126" s="35"/>
      <c r="B126" s="20"/>
      <c r="C126" s="13">
        <f t="shared" si="29"/>
        <v>1</v>
      </c>
      <c r="D126" s="600"/>
      <c r="E126" s="13">
        <f t="shared" si="30"/>
        <v>0</v>
      </c>
      <c r="F126" s="600"/>
      <c r="G126" s="13">
        <f t="shared" si="31"/>
        <v>0</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900">
        <f t="shared" si="43"/>
        <v>0</v>
      </c>
      <c r="U126" s="2984">
        <f t="shared" si="37"/>
        <v>0</v>
      </c>
      <c r="V126" s="2984">
        <f t="shared" si="38"/>
        <v>0</v>
      </c>
      <c r="W126" s="997"/>
      <c r="X126" s="2984">
        <f t="shared" si="39"/>
        <v>0</v>
      </c>
      <c r="Y126" s="2984">
        <f t="shared" si="40"/>
        <v>0</v>
      </c>
      <c r="Z126" s="997"/>
    </row>
    <row r="127" spans="1:26">
      <c r="A127" s="35"/>
      <c r="B127" s="20"/>
      <c r="C127" s="13">
        <f t="shared" si="29"/>
        <v>1</v>
      </c>
      <c r="D127" s="600"/>
      <c r="E127" s="13">
        <f t="shared" si="30"/>
        <v>0</v>
      </c>
      <c r="F127" s="600"/>
      <c r="G127" s="13">
        <f t="shared" si="31"/>
        <v>0</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900">
        <f t="shared" si="43"/>
        <v>0</v>
      </c>
      <c r="U127" s="2984">
        <f t="shared" si="37"/>
        <v>0</v>
      </c>
      <c r="V127" s="2984">
        <f t="shared" si="38"/>
        <v>0</v>
      </c>
      <c r="W127" s="997"/>
      <c r="X127" s="2984">
        <f t="shared" si="39"/>
        <v>0</v>
      </c>
      <c r="Y127" s="2984">
        <f t="shared" si="40"/>
        <v>0</v>
      </c>
      <c r="Z127" s="997"/>
    </row>
    <row r="128" spans="1:26">
      <c r="A128" s="35"/>
      <c r="B128" s="20"/>
      <c r="C128" s="13">
        <f t="shared" si="29"/>
        <v>1</v>
      </c>
      <c r="D128" s="600"/>
      <c r="E128" s="13">
        <f t="shared" si="30"/>
        <v>0</v>
      </c>
      <c r="F128" s="600"/>
      <c r="G128" s="13">
        <f t="shared" si="31"/>
        <v>0</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900">
        <f t="shared" si="43"/>
        <v>0</v>
      </c>
      <c r="U128" s="2984">
        <f t="shared" si="37"/>
        <v>0</v>
      </c>
      <c r="V128" s="2984">
        <f t="shared" si="38"/>
        <v>0</v>
      </c>
      <c r="W128" s="997"/>
      <c r="X128" s="2984">
        <f t="shared" si="39"/>
        <v>0</v>
      </c>
      <c r="Y128" s="2984">
        <f t="shared" si="40"/>
        <v>0</v>
      </c>
      <c r="Z128" s="997"/>
    </row>
    <row r="129" spans="1:26">
      <c r="A129" s="35"/>
      <c r="B129" s="20"/>
      <c r="C129" s="13">
        <f t="shared" si="29"/>
        <v>1</v>
      </c>
      <c r="D129" s="600"/>
      <c r="E129" s="13">
        <f t="shared" si="30"/>
        <v>0</v>
      </c>
      <c r="F129" s="600"/>
      <c r="G129" s="13">
        <f t="shared" si="31"/>
        <v>0</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900">
        <f t="shared" si="43"/>
        <v>0</v>
      </c>
      <c r="U129" s="2984">
        <f t="shared" si="37"/>
        <v>0</v>
      </c>
      <c r="V129" s="2984">
        <f t="shared" si="38"/>
        <v>0</v>
      </c>
      <c r="W129" s="997"/>
      <c r="X129" s="2984">
        <f t="shared" si="39"/>
        <v>0</v>
      </c>
      <c r="Y129" s="2984">
        <f t="shared" si="40"/>
        <v>0</v>
      </c>
      <c r="Z129" s="997"/>
    </row>
    <row r="130" spans="1:26">
      <c r="A130" s="35"/>
      <c r="B130" s="20"/>
      <c r="C130" s="13">
        <f t="shared" si="29"/>
        <v>1</v>
      </c>
      <c r="D130" s="600"/>
      <c r="E130" s="13">
        <f t="shared" si="30"/>
        <v>0</v>
      </c>
      <c r="F130" s="600"/>
      <c r="G130" s="13">
        <f t="shared" si="31"/>
        <v>0</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900">
        <f t="shared" si="43"/>
        <v>0</v>
      </c>
      <c r="U130" s="2984">
        <f t="shared" si="37"/>
        <v>0</v>
      </c>
      <c r="V130" s="2984">
        <f t="shared" si="38"/>
        <v>0</v>
      </c>
      <c r="W130" s="997"/>
      <c r="X130" s="2984">
        <f t="shared" si="39"/>
        <v>0</v>
      </c>
      <c r="Y130" s="2984">
        <f t="shared" si="40"/>
        <v>0</v>
      </c>
      <c r="Z130" s="997"/>
    </row>
    <row r="131" spans="1:26">
      <c r="A131" s="35"/>
      <c r="B131" s="20"/>
      <c r="C131" s="13">
        <f t="shared" si="29"/>
        <v>1</v>
      </c>
      <c r="D131" s="600"/>
      <c r="E131" s="13">
        <f t="shared" si="30"/>
        <v>0</v>
      </c>
      <c r="F131" s="600"/>
      <c r="G131" s="13">
        <f t="shared" si="31"/>
        <v>0</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900">
        <f t="shared" si="43"/>
        <v>0</v>
      </c>
      <c r="U131" s="2984">
        <f t="shared" si="37"/>
        <v>0</v>
      </c>
      <c r="V131" s="2984">
        <f t="shared" si="38"/>
        <v>0</v>
      </c>
      <c r="W131" s="997"/>
      <c r="X131" s="2984">
        <f t="shared" si="39"/>
        <v>0</v>
      </c>
      <c r="Y131" s="2984">
        <f t="shared" si="40"/>
        <v>0</v>
      </c>
      <c r="Z131" s="997"/>
    </row>
    <row r="132" spans="1:26">
      <c r="A132" s="35"/>
      <c r="B132" s="20"/>
      <c r="C132" s="13">
        <f t="shared" si="29"/>
        <v>1</v>
      </c>
      <c r="D132" s="600"/>
      <c r="E132" s="13">
        <f t="shared" si="30"/>
        <v>0</v>
      </c>
      <c r="F132" s="600"/>
      <c r="G132" s="13">
        <f t="shared" si="31"/>
        <v>0</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900">
        <f t="shared" si="43"/>
        <v>0</v>
      </c>
      <c r="U132" s="2984">
        <f t="shared" si="37"/>
        <v>0</v>
      </c>
      <c r="V132" s="2984">
        <f t="shared" si="38"/>
        <v>0</v>
      </c>
      <c r="W132" s="997"/>
      <c r="X132" s="2984">
        <f t="shared" si="39"/>
        <v>0</v>
      </c>
      <c r="Y132" s="2984">
        <f t="shared" si="40"/>
        <v>0</v>
      </c>
      <c r="Z132" s="997"/>
    </row>
    <row r="133" spans="1:26">
      <c r="A133" s="35"/>
      <c r="B133" s="20"/>
      <c r="C133" s="13">
        <f t="shared" si="29"/>
        <v>1</v>
      </c>
      <c r="D133" s="600"/>
      <c r="E133" s="13">
        <f t="shared" si="30"/>
        <v>0</v>
      </c>
      <c r="F133" s="600"/>
      <c r="G133" s="13">
        <f t="shared" si="31"/>
        <v>0</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900">
        <f t="shared" si="43"/>
        <v>0</v>
      </c>
      <c r="U133" s="2984">
        <f t="shared" si="37"/>
        <v>0</v>
      </c>
      <c r="V133" s="2984">
        <f t="shared" si="38"/>
        <v>0</v>
      </c>
      <c r="W133" s="997"/>
      <c r="X133" s="2984">
        <f t="shared" si="39"/>
        <v>0</v>
      </c>
      <c r="Y133" s="2984">
        <f t="shared" si="40"/>
        <v>0</v>
      </c>
      <c r="Z133" s="997"/>
    </row>
    <row r="134" spans="1:26">
      <c r="A134" s="35"/>
      <c r="B134" s="20"/>
      <c r="C134" s="13">
        <f t="shared" si="29"/>
        <v>1</v>
      </c>
      <c r="D134" s="600"/>
      <c r="E134" s="13">
        <f t="shared" si="30"/>
        <v>0</v>
      </c>
      <c r="F134" s="600"/>
      <c r="G134" s="13">
        <f t="shared" si="31"/>
        <v>0</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900">
        <f t="shared" si="43"/>
        <v>0</v>
      </c>
      <c r="U134" s="2984">
        <f t="shared" si="37"/>
        <v>0</v>
      </c>
      <c r="V134" s="2984">
        <f t="shared" si="38"/>
        <v>0</v>
      </c>
      <c r="W134" s="997"/>
      <c r="X134" s="2984">
        <f t="shared" si="39"/>
        <v>0</v>
      </c>
      <c r="Y134" s="2984">
        <f t="shared" si="40"/>
        <v>0</v>
      </c>
      <c r="Z134" s="997"/>
    </row>
    <row r="135" spans="1:26">
      <c r="A135" s="35"/>
      <c r="B135" s="20"/>
      <c r="C135" s="13">
        <f t="shared" si="29"/>
        <v>1</v>
      </c>
      <c r="D135" s="600"/>
      <c r="E135" s="13">
        <f t="shared" si="30"/>
        <v>0</v>
      </c>
      <c r="F135" s="600"/>
      <c r="G135" s="13">
        <f t="shared" si="31"/>
        <v>0</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900">
        <f t="shared" si="43"/>
        <v>0</v>
      </c>
      <c r="U135" s="2984">
        <f t="shared" si="37"/>
        <v>0</v>
      </c>
      <c r="V135" s="2984">
        <f t="shared" si="38"/>
        <v>0</v>
      </c>
      <c r="W135" s="997"/>
      <c r="X135" s="2984">
        <f t="shared" si="39"/>
        <v>0</v>
      </c>
      <c r="Y135" s="2984">
        <f t="shared" si="40"/>
        <v>0</v>
      </c>
      <c r="Z135" s="997"/>
    </row>
    <row r="136" spans="1:26">
      <c r="A136" s="35"/>
      <c r="B136" s="20"/>
      <c r="C136" s="13">
        <f t="shared" si="29"/>
        <v>1</v>
      </c>
      <c r="D136" s="600"/>
      <c r="E136" s="13">
        <f t="shared" si="30"/>
        <v>0</v>
      </c>
      <c r="F136" s="600"/>
      <c r="G136" s="13">
        <f t="shared" si="31"/>
        <v>0</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900">
        <f t="shared" si="43"/>
        <v>0</v>
      </c>
      <c r="U136" s="2984">
        <f t="shared" si="37"/>
        <v>0</v>
      </c>
      <c r="V136" s="2984">
        <f t="shared" si="38"/>
        <v>0</v>
      </c>
      <c r="W136" s="997"/>
      <c r="X136" s="2984">
        <f t="shared" si="39"/>
        <v>0</v>
      </c>
      <c r="Y136" s="2984">
        <f t="shared" si="40"/>
        <v>0</v>
      </c>
      <c r="Z136" s="997"/>
    </row>
    <row r="137" spans="1:26">
      <c r="A137" s="35"/>
      <c r="B137" s="20"/>
      <c r="C137" s="13">
        <f t="shared" si="29"/>
        <v>1</v>
      </c>
      <c r="D137" s="600"/>
      <c r="E137" s="13">
        <f t="shared" si="30"/>
        <v>0</v>
      </c>
      <c r="F137" s="600"/>
      <c r="G137" s="13">
        <f t="shared" si="31"/>
        <v>0</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900">
        <f t="shared" si="43"/>
        <v>0</v>
      </c>
      <c r="U137" s="2984">
        <f t="shared" si="37"/>
        <v>0</v>
      </c>
      <c r="V137" s="2984">
        <f t="shared" si="38"/>
        <v>0</v>
      </c>
      <c r="W137" s="997"/>
      <c r="X137" s="2984">
        <f t="shared" si="39"/>
        <v>0</v>
      </c>
      <c r="Y137" s="2984">
        <f t="shared" si="40"/>
        <v>0</v>
      </c>
      <c r="Z137" s="997"/>
    </row>
    <row r="138" spans="1:26">
      <c r="A138" s="35"/>
      <c r="B138" s="20"/>
      <c r="C138" s="13">
        <f t="shared" si="29"/>
        <v>1</v>
      </c>
      <c r="D138" s="600"/>
      <c r="E138" s="13">
        <f t="shared" si="30"/>
        <v>0</v>
      </c>
      <c r="F138" s="600"/>
      <c r="G138" s="13">
        <f t="shared" si="31"/>
        <v>0</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900">
        <f t="shared" si="43"/>
        <v>0</v>
      </c>
      <c r="U138" s="2984">
        <f t="shared" si="37"/>
        <v>0</v>
      </c>
      <c r="V138" s="2984">
        <f t="shared" si="38"/>
        <v>0</v>
      </c>
      <c r="W138" s="997"/>
      <c r="X138" s="2984">
        <f t="shared" si="39"/>
        <v>0</v>
      </c>
      <c r="Y138" s="2984">
        <f t="shared" si="40"/>
        <v>0</v>
      </c>
      <c r="Z138" s="997"/>
    </row>
    <row r="139" spans="1:26">
      <c r="A139" s="35"/>
      <c r="B139" s="20"/>
      <c r="C139" s="13">
        <f t="shared" si="29"/>
        <v>1</v>
      </c>
      <c r="D139" s="600"/>
      <c r="E139" s="13">
        <f t="shared" si="30"/>
        <v>0</v>
      </c>
      <c r="F139" s="600"/>
      <c r="G139" s="13">
        <f t="shared" si="31"/>
        <v>0</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900">
        <f t="shared" si="43"/>
        <v>0</v>
      </c>
      <c r="U139" s="2984">
        <f t="shared" si="37"/>
        <v>0</v>
      </c>
      <c r="V139" s="2984">
        <f t="shared" si="38"/>
        <v>0</v>
      </c>
      <c r="W139" s="997"/>
      <c r="X139" s="2984">
        <f t="shared" si="39"/>
        <v>0</v>
      </c>
      <c r="Y139" s="2984">
        <f t="shared" si="40"/>
        <v>0</v>
      </c>
      <c r="Z139" s="997"/>
    </row>
    <row r="140" spans="1:26">
      <c r="A140" s="35"/>
      <c r="B140" s="20"/>
      <c r="C140" s="13">
        <f t="shared" si="29"/>
        <v>1</v>
      </c>
      <c r="D140" s="600"/>
      <c r="E140" s="13">
        <f t="shared" si="30"/>
        <v>0</v>
      </c>
      <c r="F140" s="600"/>
      <c r="G140" s="13">
        <f t="shared" si="31"/>
        <v>0</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900">
        <f t="shared" si="43"/>
        <v>0</v>
      </c>
      <c r="U140" s="2984">
        <f t="shared" si="37"/>
        <v>0</v>
      </c>
      <c r="V140" s="2984">
        <f t="shared" si="38"/>
        <v>0</v>
      </c>
      <c r="W140" s="997"/>
      <c r="X140" s="2984">
        <f t="shared" si="39"/>
        <v>0</v>
      </c>
      <c r="Y140" s="2984">
        <f t="shared" si="40"/>
        <v>0</v>
      </c>
      <c r="Z140" s="997"/>
    </row>
    <row r="141" spans="1:26">
      <c r="A141" s="35"/>
      <c r="B141" s="20"/>
      <c r="C141" s="13">
        <f t="shared" si="29"/>
        <v>1</v>
      </c>
      <c r="D141" s="600"/>
      <c r="E141" s="13">
        <f t="shared" si="30"/>
        <v>0</v>
      </c>
      <c r="F141" s="600"/>
      <c r="G141" s="13">
        <f t="shared" si="31"/>
        <v>0</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900">
        <f t="shared" si="43"/>
        <v>0</v>
      </c>
      <c r="U141" s="2984">
        <f t="shared" si="37"/>
        <v>0</v>
      </c>
      <c r="V141" s="2984">
        <f t="shared" si="38"/>
        <v>0</v>
      </c>
      <c r="W141" s="997"/>
      <c r="X141" s="2984">
        <f t="shared" si="39"/>
        <v>0</v>
      </c>
      <c r="Y141" s="2984">
        <f t="shared" si="40"/>
        <v>0</v>
      </c>
      <c r="Z141" s="997"/>
    </row>
    <row r="142" spans="1:26">
      <c r="A142" s="35"/>
      <c r="B142" s="20"/>
      <c r="C142" s="13">
        <f t="shared" si="29"/>
        <v>1</v>
      </c>
      <c r="D142" s="600"/>
      <c r="E142" s="13">
        <f t="shared" si="30"/>
        <v>0</v>
      </c>
      <c r="F142" s="600"/>
      <c r="G142" s="13">
        <f t="shared" si="31"/>
        <v>0</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900">
        <f t="shared" si="43"/>
        <v>0</v>
      </c>
      <c r="U142" s="2984">
        <f t="shared" si="37"/>
        <v>0</v>
      </c>
      <c r="V142" s="2984">
        <f t="shared" si="38"/>
        <v>0</v>
      </c>
      <c r="W142" s="997"/>
      <c r="X142" s="2984">
        <f t="shared" si="39"/>
        <v>0</v>
      </c>
      <c r="Y142" s="2984">
        <f t="shared" si="40"/>
        <v>0</v>
      </c>
      <c r="Z142" s="997"/>
    </row>
    <row r="143" spans="1:26">
      <c r="A143" s="35"/>
      <c r="B143" s="20"/>
      <c r="C143" s="13">
        <f t="shared" si="29"/>
        <v>1</v>
      </c>
      <c r="D143" s="600"/>
      <c r="E143" s="13">
        <f t="shared" si="30"/>
        <v>0</v>
      </c>
      <c r="F143" s="600"/>
      <c r="G143" s="13">
        <f t="shared" si="31"/>
        <v>0</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900">
        <f t="shared" si="43"/>
        <v>0</v>
      </c>
      <c r="U143" s="2984">
        <f t="shared" si="37"/>
        <v>0</v>
      </c>
      <c r="V143" s="2984">
        <f t="shared" si="38"/>
        <v>0</v>
      </c>
      <c r="W143" s="997"/>
      <c r="X143" s="2984">
        <f t="shared" si="39"/>
        <v>0</v>
      </c>
      <c r="Y143" s="2984">
        <f t="shared" si="40"/>
        <v>0</v>
      </c>
      <c r="Z143" s="997"/>
    </row>
    <row r="144" spans="1:26">
      <c r="A144" s="35"/>
      <c r="B144" s="20"/>
      <c r="C144" s="13">
        <f t="shared" si="29"/>
        <v>1</v>
      </c>
      <c r="D144" s="600"/>
      <c r="E144" s="13">
        <f t="shared" si="30"/>
        <v>0</v>
      </c>
      <c r="F144" s="600"/>
      <c r="G144" s="13">
        <f t="shared" si="31"/>
        <v>0</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900">
        <f t="shared" si="43"/>
        <v>0</v>
      </c>
      <c r="U144" s="2984">
        <f t="shared" si="37"/>
        <v>0</v>
      </c>
      <c r="V144" s="2984">
        <f t="shared" si="38"/>
        <v>0</v>
      </c>
      <c r="W144" s="997"/>
      <c r="X144" s="2984">
        <f t="shared" si="39"/>
        <v>0</v>
      </c>
      <c r="Y144" s="2984">
        <f t="shared" si="40"/>
        <v>0</v>
      </c>
      <c r="Z144" s="997"/>
    </row>
    <row r="145" spans="1:26">
      <c r="A145" s="35"/>
      <c r="B145" s="20"/>
      <c r="C145" s="13">
        <f t="shared" si="29"/>
        <v>1</v>
      </c>
      <c r="D145" s="600"/>
      <c r="E145" s="13">
        <f t="shared" si="30"/>
        <v>0</v>
      </c>
      <c r="F145" s="600"/>
      <c r="G145" s="13">
        <f t="shared" si="31"/>
        <v>0</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900">
        <f t="shared" si="43"/>
        <v>0</v>
      </c>
      <c r="U145" s="2984">
        <f t="shared" si="37"/>
        <v>0</v>
      </c>
      <c r="V145" s="2984">
        <f t="shared" si="38"/>
        <v>0</v>
      </c>
      <c r="W145" s="997"/>
      <c r="X145" s="2984">
        <f t="shared" si="39"/>
        <v>0</v>
      </c>
      <c r="Y145" s="2984">
        <f t="shared" si="40"/>
        <v>0</v>
      </c>
      <c r="Z145" s="997"/>
    </row>
    <row r="146" spans="1:26">
      <c r="A146" s="35"/>
      <c r="B146" s="20"/>
      <c r="C146" s="13">
        <f t="shared" si="29"/>
        <v>1</v>
      </c>
      <c r="D146" s="600"/>
      <c r="E146" s="13">
        <f t="shared" si="30"/>
        <v>0</v>
      </c>
      <c r="F146" s="600"/>
      <c r="G146" s="13">
        <f t="shared" si="31"/>
        <v>0</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900">
        <f t="shared" si="43"/>
        <v>0</v>
      </c>
      <c r="U146" s="2984">
        <f t="shared" si="37"/>
        <v>0</v>
      </c>
      <c r="V146" s="2984">
        <f t="shared" si="38"/>
        <v>0</v>
      </c>
      <c r="W146" s="997"/>
      <c r="X146" s="2984">
        <f t="shared" si="39"/>
        <v>0</v>
      </c>
      <c r="Y146" s="2984">
        <f t="shared" si="40"/>
        <v>0</v>
      </c>
      <c r="Z146" s="997"/>
    </row>
    <row r="147" spans="1:26">
      <c r="A147" s="35"/>
      <c r="B147" s="20"/>
      <c r="C147" s="13">
        <f t="shared" si="29"/>
        <v>1</v>
      </c>
      <c r="D147" s="600"/>
      <c r="E147" s="13">
        <f t="shared" si="30"/>
        <v>0</v>
      </c>
      <c r="F147" s="600"/>
      <c r="G147" s="13">
        <f t="shared" si="31"/>
        <v>0</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900">
        <f t="shared" si="43"/>
        <v>0</v>
      </c>
      <c r="U147" s="2984">
        <f t="shared" si="37"/>
        <v>0</v>
      </c>
      <c r="V147" s="2984">
        <f t="shared" si="38"/>
        <v>0</v>
      </c>
      <c r="W147" s="997"/>
      <c r="X147" s="2984">
        <f t="shared" si="39"/>
        <v>0</v>
      </c>
      <c r="Y147" s="2984">
        <f t="shared" si="40"/>
        <v>0</v>
      </c>
      <c r="Z147" s="997"/>
    </row>
    <row r="148" spans="1:26">
      <c r="A148" s="35"/>
      <c r="B148" s="20"/>
      <c r="C148" s="13">
        <f t="shared" si="29"/>
        <v>1</v>
      </c>
      <c r="D148" s="600"/>
      <c r="E148" s="13">
        <f t="shared" si="30"/>
        <v>0</v>
      </c>
      <c r="F148" s="600"/>
      <c r="G148" s="13">
        <f t="shared" si="31"/>
        <v>0</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900">
        <f t="shared" si="43"/>
        <v>0</v>
      </c>
      <c r="U148" s="2984">
        <f t="shared" si="37"/>
        <v>0</v>
      </c>
      <c r="V148" s="2984">
        <f t="shared" si="38"/>
        <v>0</v>
      </c>
      <c r="W148" s="997"/>
      <c r="X148" s="2984">
        <f t="shared" si="39"/>
        <v>0</v>
      </c>
      <c r="Y148" s="2984">
        <f t="shared" si="40"/>
        <v>0</v>
      </c>
      <c r="Z148" s="997"/>
    </row>
    <row r="149" spans="1:26">
      <c r="A149" s="35"/>
      <c r="B149" s="20"/>
      <c r="C149" s="13">
        <f t="shared" si="29"/>
        <v>1</v>
      </c>
      <c r="D149" s="600"/>
      <c r="E149" s="13">
        <f t="shared" si="30"/>
        <v>0</v>
      </c>
      <c r="F149" s="600"/>
      <c r="G149" s="13">
        <f t="shared" si="31"/>
        <v>0</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900">
        <f t="shared" si="43"/>
        <v>0</v>
      </c>
      <c r="U149" s="2984">
        <f t="shared" si="37"/>
        <v>0</v>
      </c>
      <c r="V149" s="2984">
        <f t="shared" si="38"/>
        <v>0</v>
      </c>
      <c r="W149" s="997"/>
      <c r="X149" s="2984">
        <f t="shared" si="39"/>
        <v>0</v>
      </c>
      <c r="Y149" s="2984">
        <f t="shared" si="40"/>
        <v>0</v>
      </c>
      <c r="Z149" s="997"/>
    </row>
    <row r="150" spans="1:26">
      <c r="A150" s="35"/>
      <c r="B150" s="20"/>
      <c r="C150" s="13">
        <f t="shared" si="29"/>
        <v>1</v>
      </c>
      <c r="D150" s="600"/>
      <c r="E150" s="13">
        <f t="shared" si="30"/>
        <v>0</v>
      </c>
      <c r="F150" s="600"/>
      <c r="G150" s="13">
        <f t="shared" si="31"/>
        <v>0</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900">
        <f t="shared" si="43"/>
        <v>0</v>
      </c>
      <c r="U150" s="2984">
        <f t="shared" si="37"/>
        <v>0</v>
      </c>
      <c r="V150" s="2984">
        <f t="shared" si="38"/>
        <v>0</v>
      </c>
      <c r="W150" s="997"/>
      <c r="X150" s="2984">
        <f t="shared" si="39"/>
        <v>0</v>
      </c>
      <c r="Y150" s="2984">
        <f t="shared" si="40"/>
        <v>0</v>
      </c>
      <c r="Z150" s="997"/>
    </row>
    <row r="151" spans="1:26">
      <c r="A151" s="35"/>
      <c r="B151" s="20"/>
      <c r="C151" s="13">
        <f t="shared" si="29"/>
        <v>1</v>
      </c>
      <c r="D151" s="600"/>
      <c r="E151" s="13">
        <f t="shared" si="30"/>
        <v>0</v>
      </c>
      <c r="F151" s="600"/>
      <c r="G151" s="13">
        <f t="shared" si="31"/>
        <v>0</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900">
        <f t="shared" si="43"/>
        <v>0</v>
      </c>
      <c r="U151" s="2984">
        <f t="shared" si="37"/>
        <v>0</v>
      </c>
      <c r="V151" s="2984">
        <f t="shared" si="38"/>
        <v>0</v>
      </c>
      <c r="W151" s="997"/>
      <c r="X151" s="2984">
        <f t="shared" si="39"/>
        <v>0</v>
      </c>
      <c r="Y151" s="2984">
        <f t="shared" si="40"/>
        <v>0</v>
      </c>
      <c r="Z151" s="997"/>
    </row>
    <row r="152" spans="1:26">
      <c r="A152" s="35"/>
      <c r="B152" s="20"/>
      <c r="C152" s="13">
        <f t="shared" si="29"/>
        <v>1</v>
      </c>
      <c r="D152" s="600"/>
      <c r="E152" s="13">
        <f t="shared" si="30"/>
        <v>0</v>
      </c>
      <c r="F152" s="600"/>
      <c r="G152" s="13">
        <f t="shared" si="31"/>
        <v>0</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900">
        <f t="shared" si="43"/>
        <v>0</v>
      </c>
      <c r="U152" s="2984">
        <f t="shared" si="37"/>
        <v>0</v>
      </c>
      <c r="V152" s="2984">
        <f t="shared" si="38"/>
        <v>0</v>
      </c>
      <c r="W152" s="997"/>
      <c r="X152" s="2984">
        <f t="shared" si="39"/>
        <v>0</v>
      </c>
      <c r="Y152" s="2984">
        <f t="shared" si="40"/>
        <v>0</v>
      </c>
      <c r="Z152" s="997"/>
    </row>
    <row r="153" spans="1:26">
      <c r="A153" s="35"/>
      <c r="B153" s="20"/>
      <c r="C153" s="13">
        <f t="shared" si="29"/>
        <v>1</v>
      </c>
      <c r="D153" s="600"/>
      <c r="E153" s="13">
        <f t="shared" si="30"/>
        <v>0</v>
      </c>
      <c r="F153" s="600"/>
      <c r="G153" s="13">
        <f t="shared" si="31"/>
        <v>0</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900">
        <f t="shared" si="43"/>
        <v>0</v>
      </c>
      <c r="U153" s="2984">
        <f t="shared" si="37"/>
        <v>0</v>
      </c>
      <c r="V153" s="2984">
        <f t="shared" si="38"/>
        <v>0</v>
      </c>
      <c r="W153" s="997"/>
      <c r="X153" s="2984">
        <f t="shared" si="39"/>
        <v>0</v>
      </c>
      <c r="Y153" s="2984">
        <f t="shared" si="40"/>
        <v>0</v>
      </c>
      <c r="Z153" s="997"/>
    </row>
    <row r="154" spans="1:26">
      <c r="A154" s="35"/>
      <c r="B154" s="20"/>
      <c r="C154" s="13">
        <f t="shared" si="29"/>
        <v>1</v>
      </c>
      <c r="D154" s="600"/>
      <c r="E154" s="13">
        <f t="shared" si="30"/>
        <v>0</v>
      </c>
      <c r="F154" s="600"/>
      <c r="G154" s="13">
        <f t="shared" si="31"/>
        <v>0</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900">
        <f t="shared" si="43"/>
        <v>0</v>
      </c>
      <c r="U154" s="2984">
        <f t="shared" si="37"/>
        <v>0</v>
      </c>
      <c r="V154" s="2984">
        <f t="shared" si="38"/>
        <v>0</v>
      </c>
      <c r="W154" s="997"/>
      <c r="X154" s="2984">
        <f t="shared" si="39"/>
        <v>0</v>
      </c>
      <c r="Y154" s="2984">
        <f t="shared" si="40"/>
        <v>0</v>
      </c>
      <c r="Z154" s="997"/>
    </row>
    <row r="155" spans="1:26">
      <c r="A155" s="35"/>
      <c r="B155" s="20"/>
      <c r="C155" s="13">
        <f t="shared" si="29"/>
        <v>1</v>
      </c>
      <c r="D155" s="600"/>
      <c r="E155" s="13">
        <f t="shared" si="30"/>
        <v>0</v>
      </c>
      <c r="F155" s="600"/>
      <c r="G155" s="13">
        <f t="shared" si="31"/>
        <v>0</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900">
        <f t="shared" si="43"/>
        <v>0</v>
      </c>
      <c r="U155" s="2984">
        <f t="shared" si="37"/>
        <v>0</v>
      </c>
      <c r="V155" s="2984">
        <f t="shared" si="38"/>
        <v>0</v>
      </c>
      <c r="W155" s="997"/>
      <c r="X155" s="2984">
        <f t="shared" si="39"/>
        <v>0</v>
      </c>
      <c r="Y155" s="2984">
        <f t="shared" si="40"/>
        <v>0</v>
      </c>
      <c r="Z155" s="997"/>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0</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900">
        <f t="shared" si="43"/>
        <v>0</v>
      </c>
      <c r="U156" s="2984">
        <f t="shared" ref="U156:U219" si="52">ROUND(W156*B156,0)</f>
        <v>0</v>
      </c>
      <c r="V156" s="2984">
        <f t="shared" ref="V156:V219" si="53">ROUND(W156*B156/10000,0)</f>
        <v>0</v>
      </c>
      <c r="W156" s="997"/>
      <c r="X156" s="2984">
        <f t="shared" ref="X156:X219" si="54">ROUND(Z156*B156,0)</f>
        <v>0</v>
      </c>
      <c r="Y156" s="2984">
        <f t="shared" ref="Y156:Y219" si="55">ROUND(Z156*B156/10000,0)</f>
        <v>0</v>
      </c>
      <c r="Z156" s="997"/>
    </row>
    <row r="157" spans="1:26">
      <c r="A157" s="35"/>
      <c r="B157" s="20"/>
      <c r="C157" s="13">
        <f t="shared" si="44"/>
        <v>1</v>
      </c>
      <c r="D157" s="600"/>
      <c r="E157" s="13">
        <f t="shared" si="45"/>
        <v>0</v>
      </c>
      <c r="F157" s="600"/>
      <c r="G157" s="13">
        <f t="shared" si="46"/>
        <v>0</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900">
        <f t="shared" ref="T157:T220" si="58">ROUND(R157*B157/10000,0)</f>
        <v>0</v>
      </c>
      <c r="U157" s="2984">
        <f t="shared" si="52"/>
        <v>0</v>
      </c>
      <c r="V157" s="2984">
        <f t="shared" si="53"/>
        <v>0</v>
      </c>
      <c r="W157" s="997"/>
      <c r="X157" s="2984">
        <f t="shared" si="54"/>
        <v>0</v>
      </c>
      <c r="Y157" s="2984">
        <f t="shared" si="55"/>
        <v>0</v>
      </c>
      <c r="Z157" s="997"/>
    </row>
    <row r="158" spans="1:26">
      <c r="A158" s="35"/>
      <c r="B158" s="20"/>
      <c r="C158" s="13">
        <f t="shared" si="44"/>
        <v>1</v>
      </c>
      <c r="D158" s="600"/>
      <c r="E158" s="13">
        <f t="shared" si="45"/>
        <v>0</v>
      </c>
      <c r="F158" s="600"/>
      <c r="G158" s="13">
        <f t="shared" si="46"/>
        <v>0</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900">
        <f t="shared" si="58"/>
        <v>0</v>
      </c>
      <c r="U158" s="2984">
        <f t="shared" si="52"/>
        <v>0</v>
      </c>
      <c r="V158" s="2984">
        <f t="shared" si="53"/>
        <v>0</v>
      </c>
      <c r="W158" s="997"/>
      <c r="X158" s="2984">
        <f t="shared" si="54"/>
        <v>0</v>
      </c>
      <c r="Y158" s="2984">
        <f t="shared" si="55"/>
        <v>0</v>
      </c>
      <c r="Z158" s="997"/>
    </row>
    <row r="159" spans="1:26">
      <c r="A159" s="35"/>
      <c r="B159" s="20"/>
      <c r="C159" s="13">
        <f t="shared" si="44"/>
        <v>1</v>
      </c>
      <c r="D159" s="600"/>
      <c r="E159" s="13">
        <f t="shared" si="45"/>
        <v>0</v>
      </c>
      <c r="F159" s="600"/>
      <c r="G159" s="13">
        <f t="shared" si="46"/>
        <v>0</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900">
        <f t="shared" si="58"/>
        <v>0</v>
      </c>
      <c r="U159" s="2984">
        <f t="shared" si="52"/>
        <v>0</v>
      </c>
      <c r="V159" s="2984">
        <f t="shared" si="53"/>
        <v>0</v>
      </c>
      <c r="W159" s="997"/>
      <c r="X159" s="2984">
        <f t="shared" si="54"/>
        <v>0</v>
      </c>
      <c r="Y159" s="2984">
        <f t="shared" si="55"/>
        <v>0</v>
      </c>
      <c r="Z159" s="997"/>
    </row>
    <row r="160" spans="1:26">
      <c r="A160" s="35"/>
      <c r="B160" s="20"/>
      <c r="C160" s="13">
        <f t="shared" si="44"/>
        <v>1</v>
      </c>
      <c r="D160" s="600"/>
      <c r="E160" s="13">
        <f t="shared" si="45"/>
        <v>0</v>
      </c>
      <c r="F160" s="600"/>
      <c r="G160" s="13">
        <f t="shared" si="46"/>
        <v>0</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900">
        <f t="shared" si="58"/>
        <v>0</v>
      </c>
      <c r="U160" s="2984">
        <f t="shared" si="52"/>
        <v>0</v>
      </c>
      <c r="V160" s="2984">
        <f t="shared" si="53"/>
        <v>0</v>
      </c>
      <c r="W160" s="997"/>
      <c r="X160" s="2984">
        <f t="shared" si="54"/>
        <v>0</v>
      </c>
      <c r="Y160" s="2984">
        <f t="shared" si="55"/>
        <v>0</v>
      </c>
      <c r="Z160" s="997"/>
    </row>
    <row r="161" spans="1:26">
      <c r="A161" s="35"/>
      <c r="B161" s="20"/>
      <c r="C161" s="13">
        <f t="shared" si="44"/>
        <v>1</v>
      </c>
      <c r="D161" s="600"/>
      <c r="E161" s="13">
        <f t="shared" si="45"/>
        <v>0</v>
      </c>
      <c r="F161" s="600"/>
      <c r="G161" s="13">
        <f t="shared" si="46"/>
        <v>0</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900">
        <f t="shared" si="58"/>
        <v>0</v>
      </c>
      <c r="U161" s="2984">
        <f t="shared" si="52"/>
        <v>0</v>
      </c>
      <c r="V161" s="2984">
        <f t="shared" si="53"/>
        <v>0</v>
      </c>
      <c r="W161" s="997"/>
      <c r="X161" s="2984">
        <f t="shared" si="54"/>
        <v>0</v>
      </c>
      <c r="Y161" s="2984">
        <f t="shared" si="55"/>
        <v>0</v>
      </c>
      <c r="Z161" s="997"/>
    </row>
    <row r="162" spans="1:26">
      <c r="A162" s="35"/>
      <c r="B162" s="20"/>
      <c r="C162" s="13">
        <f t="shared" si="44"/>
        <v>1</v>
      </c>
      <c r="D162" s="600"/>
      <c r="E162" s="13">
        <f t="shared" si="45"/>
        <v>0</v>
      </c>
      <c r="F162" s="600"/>
      <c r="G162" s="13">
        <f t="shared" si="46"/>
        <v>0</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900">
        <f t="shared" si="58"/>
        <v>0</v>
      </c>
      <c r="U162" s="2984">
        <f t="shared" si="52"/>
        <v>0</v>
      </c>
      <c r="V162" s="2984">
        <f t="shared" si="53"/>
        <v>0</v>
      </c>
      <c r="W162" s="997"/>
      <c r="X162" s="2984">
        <f t="shared" si="54"/>
        <v>0</v>
      </c>
      <c r="Y162" s="2984">
        <f t="shared" si="55"/>
        <v>0</v>
      </c>
      <c r="Z162" s="997"/>
    </row>
    <row r="163" spans="1:26">
      <c r="A163" s="35"/>
      <c r="B163" s="20"/>
      <c r="C163" s="13">
        <f t="shared" si="44"/>
        <v>1</v>
      </c>
      <c r="D163" s="600"/>
      <c r="E163" s="13">
        <f t="shared" si="45"/>
        <v>0</v>
      </c>
      <c r="F163" s="600"/>
      <c r="G163" s="13">
        <f t="shared" si="46"/>
        <v>0</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900">
        <f t="shared" si="58"/>
        <v>0</v>
      </c>
      <c r="U163" s="2984">
        <f t="shared" si="52"/>
        <v>0</v>
      </c>
      <c r="V163" s="2984">
        <f t="shared" si="53"/>
        <v>0</v>
      </c>
      <c r="W163" s="997"/>
      <c r="X163" s="2984">
        <f t="shared" si="54"/>
        <v>0</v>
      </c>
      <c r="Y163" s="2984">
        <f t="shared" si="55"/>
        <v>0</v>
      </c>
      <c r="Z163" s="997"/>
    </row>
    <row r="164" spans="1:26">
      <c r="A164" s="35"/>
      <c r="B164" s="20"/>
      <c r="C164" s="13">
        <f t="shared" si="44"/>
        <v>1</v>
      </c>
      <c r="D164" s="600"/>
      <c r="E164" s="13">
        <f t="shared" si="45"/>
        <v>0</v>
      </c>
      <c r="F164" s="600"/>
      <c r="G164" s="13">
        <f t="shared" si="46"/>
        <v>0</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900">
        <f t="shared" si="58"/>
        <v>0</v>
      </c>
      <c r="U164" s="2984">
        <f t="shared" si="52"/>
        <v>0</v>
      </c>
      <c r="V164" s="2984">
        <f t="shared" si="53"/>
        <v>0</v>
      </c>
      <c r="W164" s="997"/>
      <c r="X164" s="2984">
        <f t="shared" si="54"/>
        <v>0</v>
      </c>
      <c r="Y164" s="2984">
        <f t="shared" si="55"/>
        <v>0</v>
      </c>
      <c r="Z164" s="997"/>
    </row>
    <row r="165" spans="1:26">
      <c r="A165" s="35"/>
      <c r="B165" s="20"/>
      <c r="C165" s="13">
        <f t="shared" si="44"/>
        <v>1</v>
      </c>
      <c r="D165" s="600"/>
      <c r="E165" s="13">
        <f t="shared" si="45"/>
        <v>0</v>
      </c>
      <c r="F165" s="600"/>
      <c r="G165" s="13">
        <f t="shared" si="46"/>
        <v>0</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900">
        <f t="shared" si="58"/>
        <v>0</v>
      </c>
      <c r="U165" s="2984">
        <f t="shared" si="52"/>
        <v>0</v>
      </c>
      <c r="V165" s="2984">
        <f t="shared" si="53"/>
        <v>0</v>
      </c>
      <c r="W165" s="997"/>
      <c r="X165" s="2984">
        <f t="shared" si="54"/>
        <v>0</v>
      </c>
      <c r="Y165" s="2984">
        <f t="shared" si="55"/>
        <v>0</v>
      </c>
      <c r="Z165" s="997"/>
    </row>
    <row r="166" spans="1:26">
      <c r="A166" s="35"/>
      <c r="B166" s="20"/>
      <c r="C166" s="13">
        <f t="shared" si="44"/>
        <v>1</v>
      </c>
      <c r="D166" s="600"/>
      <c r="E166" s="13">
        <f t="shared" si="45"/>
        <v>0</v>
      </c>
      <c r="F166" s="600"/>
      <c r="G166" s="13">
        <f t="shared" si="46"/>
        <v>0</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900">
        <f t="shared" si="58"/>
        <v>0</v>
      </c>
      <c r="U166" s="2984">
        <f t="shared" si="52"/>
        <v>0</v>
      </c>
      <c r="V166" s="2984">
        <f t="shared" si="53"/>
        <v>0</v>
      </c>
      <c r="W166" s="997"/>
      <c r="X166" s="2984">
        <f t="shared" si="54"/>
        <v>0</v>
      </c>
      <c r="Y166" s="2984">
        <f t="shared" si="55"/>
        <v>0</v>
      </c>
      <c r="Z166" s="997"/>
    </row>
    <row r="167" spans="1:26">
      <c r="A167" s="35"/>
      <c r="B167" s="20"/>
      <c r="C167" s="13">
        <f t="shared" si="44"/>
        <v>1</v>
      </c>
      <c r="D167" s="600"/>
      <c r="E167" s="13">
        <f t="shared" si="45"/>
        <v>0</v>
      </c>
      <c r="F167" s="600"/>
      <c r="G167" s="13">
        <f t="shared" si="46"/>
        <v>0</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900">
        <f t="shared" si="58"/>
        <v>0</v>
      </c>
      <c r="U167" s="2984">
        <f t="shared" si="52"/>
        <v>0</v>
      </c>
      <c r="V167" s="2984">
        <f t="shared" si="53"/>
        <v>0</v>
      </c>
      <c r="W167" s="997"/>
      <c r="X167" s="2984">
        <f t="shared" si="54"/>
        <v>0</v>
      </c>
      <c r="Y167" s="2984">
        <f t="shared" si="55"/>
        <v>0</v>
      </c>
      <c r="Z167" s="997"/>
    </row>
    <row r="168" spans="1:26">
      <c r="A168" s="35"/>
      <c r="B168" s="20"/>
      <c r="C168" s="13">
        <f t="shared" si="44"/>
        <v>1</v>
      </c>
      <c r="D168" s="600"/>
      <c r="E168" s="13">
        <f t="shared" si="45"/>
        <v>0</v>
      </c>
      <c r="F168" s="600"/>
      <c r="G168" s="13">
        <f t="shared" si="46"/>
        <v>0</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900">
        <f t="shared" si="58"/>
        <v>0</v>
      </c>
      <c r="U168" s="2984">
        <f t="shared" si="52"/>
        <v>0</v>
      </c>
      <c r="V168" s="2984">
        <f t="shared" si="53"/>
        <v>0</v>
      </c>
      <c r="W168" s="997"/>
      <c r="X168" s="2984">
        <f t="shared" si="54"/>
        <v>0</v>
      </c>
      <c r="Y168" s="2984">
        <f t="shared" si="55"/>
        <v>0</v>
      </c>
      <c r="Z168" s="997"/>
    </row>
    <row r="169" spans="1:26">
      <c r="A169" s="35"/>
      <c r="B169" s="20"/>
      <c r="C169" s="13">
        <f t="shared" si="44"/>
        <v>1</v>
      </c>
      <c r="D169" s="600"/>
      <c r="E169" s="13">
        <f t="shared" si="45"/>
        <v>0</v>
      </c>
      <c r="F169" s="600"/>
      <c r="G169" s="13">
        <f t="shared" si="46"/>
        <v>0</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900">
        <f t="shared" si="58"/>
        <v>0</v>
      </c>
      <c r="U169" s="2984">
        <f t="shared" si="52"/>
        <v>0</v>
      </c>
      <c r="V169" s="2984">
        <f t="shared" si="53"/>
        <v>0</v>
      </c>
      <c r="W169" s="997"/>
      <c r="X169" s="2984">
        <f t="shared" si="54"/>
        <v>0</v>
      </c>
      <c r="Y169" s="2984">
        <f t="shared" si="55"/>
        <v>0</v>
      </c>
      <c r="Z169" s="997"/>
    </row>
    <row r="170" spans="1:26">
      <c r="A170" s="35"/>
      <c r="B170" s="20"/>
      <c r="C170" s="13">
        <f t="shared" si="44"/>
        <v>1</v>
      </c>
      <c r="D170" s="600"/>
      <c r="E170" s="13">
        <f t="shared" si="45"/>
        <v>0</v>
      </c>
      <c r="F170" s="600"/>
      <c r="G170" s="13">
        <f t="shared" si="46"/>
        <v>0</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900">
        <f t="shared" si="58"/>
        <v>0</v>
      </c>
      <c r="U170" s="2984">
        <f t="shared" si="52"/>
        <v>0</v>
      </c>
      <c r="V170" s="2984">
        <f t="shared" si="53"/>
        <v>0</v>
      </c>
      <c r="W170" s="997"/>
      <c r="X170" s="2984">
        <f t="shared" si="54"/>
        <v>0</v>
      </c>
      <c r="Y170" s="2984">
        <f t="shared" si="55"/>
        <v>0</v>
      </c>
      <c r="Z170" s="997"/>
    </row>
    <row r="171" spans="1:26">
      <c r="A171" s="35"/>
      <c r="B171" s="20"/>
      <c r="C171" s="13">
        <f t="shared" si="44"/>
        <v>1</v>
      </c>
      <c r="D171" s="600"/>
      <c r="E171" s="13">
        <f t="shared" si="45"/>
        <v>0</v>
      </c>
      <c r="F171" s="600"/>
      <c r="G171" s="13">
        <f t="shared" si="46"/>
        <v>0</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900">
        <f t="shared" si="58"/>
        <v>0</v>
      </c>
      <c r="U171" s="2984">
        <f t="shared" si="52"/>
        <v>0</v>
      </c>
      <c r="V171" s="2984">
        <f t="shared" si="53"/>
        <v>0</v>
      </c>
      <c r="W171" s="997"/>
      <c r="X171" s="2984">
        <f t="shared" si="54"/>
        <v>0</v>
      </c>
      <c r="Y171" s="2984">
        <f t="shared" si="55"/>
        <v>0</v>
      </c>
      <c r="Z171" s="997"/>
    </row>
    <row r="172" spans="1:26">
      <c r="A172" s="35"/>
      <c r="B172" s="20"/>
      <c r="C172" s="13">
        <f t="shared" si="44"/>
        <v>1</v>
      </c>
      <c r="D172" s="600"/>
      <c r="E172" s="13">
        <f t="shared" si="45"/>
        <v>0</v>
      </c>
      <c r="F172" s="600"/>
      <c r="G172" s="13">
        <f t="shared" si="46"/>
        <v>0</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900">
        <f t="shared" si="58"/>
        <v>0</v>
      </c>
      <c r="U172" s="2984">
        <f t="shared" si="52"/>
        <v>0</v>
      </c>
      <c r="V172" s="2984">
        <f t="shared" si="53"/>
        <v>0</v>
      </c>
      <c r="W172" s="997"/>
      <c r="X172" s="2984">
        <f t="shared" si="54"/>
        <v>0</v>
      </c>
      <c r="Y172" s="2984">
        <f t="shared" si="55"/>
        <v>0</v>
      </c>
      <c r="Z172" s="997"/>
    </row>
    <row r="173" spans="1:26">
      <c r="A173" s="35"/>
      <c r="B173" s="20"/>
      <c r="C173" s="13">
        <f t="shared" si="44"/>
        <v>1</v>
      </c>
      <c r="D173" s="600"/>
      <c r="E173" s="13">
        <f t="shared" si="45"/>
        <v>0</v>
      </c>
      <c r="F173" s="600"/>
      <c r="G173" s="13">
        <f t="shared" si="46"/>
        <v>0</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900">
        <f t="shared" si="58"/>
        <v>0</v>
      </c>
      <c r="U173" s="2984">
        <f t="shared" si="52"/>
        <v>0</v>
      </c>
      <c r="V173" s="2984">
        <f t="shared" si="53"/>
        <v>0</v>
      </c>
      <c r="W173" s="997"/>
      <c r="X173" s="2984">
        <f t="shared" si="54"/>
        <v>0</v>
      </c>
      <c r="Y173" s="2984">
        <f t="shared" si="55"/>
        <v>0</v>
      </c>
      <c r="Z173" s="997"/>
    </row>
    <row r="174" spans="1:26">
      <c r="A174" s="35"/>
      <c r="B174" s="20"/>
      <c r="C174" s="13">
        <f t="shared" si="44"/>
        <v>1</v>
      </c>
      <c r="D174" s="600"/>
      <c r="E174" s="13">
        <f t="shared" si="45"/>
        <v>0</v>
      </c>
      <c r="F174" s="600"/>
      <c r="G174" s="13">
        <f t="shared" si="46"/>
        <v>0</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900">
        <f t="shared" si="58"/>
        <v>0</v>
      </c>
      <c r="U174" s="2984">
        <f t="shared" si="52"/>
        <v>0</v>
      </c>
      <c r="V174" s="2984">
        <f t="shared" si="53"/>
        <v>0</v>
      </c>
      <c r="W174" s="997"/>
      <c r="X174" s="2984">
        <f t="shared" si="54"/>
        <v>0</v>
      </c>
      <c r="Y174" s="2984">
        <f t="shared" si="55"/>
        <v>0</v>
      </c>
      <c r="Z174" s="997"/>
    </row>
    <row r="175" spans="1:26">
      <c r="A175" s="35"/>
      <c r="B175" s="20"/>
      <c r="C175" s="13">
        <f t="shared" si="44"/>
        <v>1</v>
      </c>
      <c r="D175" s="600"/>
      <c r="E175" s="13">
        <f t="shared" si="45"/>
        <v>0</v>
      </c>
      <c r="F175" s="600"/>
      <c r="G175" s="13">
        <f t="shared" si="46"/>
        <v>0</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900">
        <f t="shared" si="58"/>
        <v>0</v>
      </c>
      <c r="U175" s="2984">
        <f t="shared" si="52"/>
        <v>0</v>
      </c>
      <c r="V175" s="2984">
        <f t="shared" si="53"/>
        <v>0</v>
      </c>
      <c r="W175" s="997"/>
      <c r="X175" s="2984">
        <f t="shared" si="54"/>
        <v>0</v>
      </c>
      <c r="Y175" s="2984">
        <f t="shared" si="55"/>
        <v>0</v>
      </c>
      <c r="Z175" s="997"/>
    </row>
    <row r="176" spans="1:26">
      <c r="A176" s="35"/>
      <c r="B176" s="20"/>
      <c r="C176" s="13">
        <f t="shared" si="44"/>
        <v>1</v>
      </c>
      <c r="D176" s="600"/>
      <c r="E176" s="13">
        <f t="shared" si="45"/>
        <v>0</v>
      </c>
      <c r="F176" s="600"/>
      <c r="G176" s="13">
        <f t="shared" si="46"/>
        <v>0</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900">
        <f t="shared" si="58"/>
        <v>0</v>
      </c>
      <c r="U176" s="2984">
        <f t="shared" si="52"/>
        <v>0</v>
      </c>
      <c r="V176" s="2984">
        <f t="shared" si="53"/>
        <v>0</v>
      </c>
      <c r="W176" s="997"/>
      <c r="X176" s="2984">
        <f t="shared" si="54"/>
        <v>0</v>
      </c>
      <c r="Y176" s="2984">
        <f t="shared" si="55"/>
        <v>0</v>
      </c>
      <c r="Z176" s="997"/>
    </row>
    <row r="177" spans="1:26">
      <c r="A177" s="35"/>
      <c r="B177" s="20"/>
      <c r="C177" s="13">
        <f t="shared" si="44"/>
        <v>1</v>
      </c>
      <c r="D177" s="600"/>
      <c r="E177" s="13">
        <f t="shared" si="45"/>
        <v>0</v>
      </c>
      <c r="F177" s="600"/>
      <c r="G177" s="13">
        <f t="shared" si="46"/>
        <v>0</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900">
        <f t="shared" si="58"/>
        <v>0</v>
      </c>
      <c r="U177" s="2984">
        <f t="shared" si="52"/>
        <v>0</v>
      </c>
      <c r="V177" s="2984">
        <f t="shared" si="53"/>
        <v>0</v>
      </c>
      <c r="W177" s="997"/>
      <c r="X177" s="2984">
        <f t="shared" si="54"/>
        <v>0</v>
      </c>
      <c r="Y177" s="2984">
        <f t="shared" si="55"/>
        <v>0</v>
      </c>
      <c r="Z177" s="997"/>
    </row>
    <row r="178" spans="1:26">
      <c r="A178" s="35"/>
      <c r="B178" s="20"/>
      <c r="C178" s="13">
        <f t="shared" si="44"/>
        <v>1</v>
      </c>
      <c r="D178" s="600"/>
      <c r="E178" s="13">
        <f t="shared" si="45"/>
        <v>0</v>
      </c>
      <c r="F178" s="600"/>
      <c r="G178" s="13">
        <f t="shared" si="46"/>
        <v>0</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900">
        <f t="shared" si="58"/>
        <v>0</v>
      </c>
      <c r="U178" s="2984">
        <f t="shared" si="52"/>
        <v>0</v>
      </c>
      <c r="V178" s="2984">
        <f t="shared" si="53"/>
        <v>0</v>
      </c>
      <c r="W178" s="997"/>
      <c r="X178" s="2984">
        <f t="shared" si="54"/>
        <v>0</v>
      </c>
      <c r="Y178" s="2984">
        <f t="shared" si="55"/>
        <v>0</v>
      </c>
      <c r="Z178" s="997"/>
    </row>
    <row r="179" spans="1:26">
      <c r="A179" s="35"/>
      <c r="B179" s="20"/>
      <c r="C179" s="13">
        <f t="shared" si="44"/>
        <v>1</v>
      </c>
      <c r="D179" s="600"/>
      <c r="E179" s="13">
        <f t="shared" si="45"/>
        <v>0</v>
      </c>
      <c r="F179" s="600"/>
      <c r="G179" s="13">
        <f t="shared" si="46"/>
        <v>0</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900">
        <f t="shared" si="58"/>
        <v>0</v>
      </c>
      <c r="U179" s="2984">
        <f t="shared" si="52"/>
        <v>0</v>
      </c>
      <c r="V179" s="2984">
        <f t="shared" si="53"/>
        <v>0</v>
      </c>
      <c r="W179" s="997"/>
      <c r="X179" s="2984">
        <f t="shared" si="54"/>
        <v>0</v>
      </c>
      <c r="Y179" s="2984">
        <f t="shared" si="55"/>
        <v>0</v>
      </c>
      <c r="Z179" s="997"/>
    </row>
    <row r="180" spans="1:26">
      <c r="A180" s="35"/>
      <c r="B180" s="20"/>
      <c r="C180" s="13">
        <f t="shared" si="44"/>
        <v>1</v>
      </c>
      <c r="D180" s="600"/>
      <c r="E180" s="13">
        <f t="shared" si="45"/>
        <v>0</v>
      </c>
      <c r="F180" s="600"/>
      <c r="G180" s="13">
        <f t="shared" si="46"/>
        <v>0</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900">
        <f t="shared" si="58"/>
        <v>0</v>
      </c>
      <c r="U180" s="2984">
        <f t="shared" si="52"/>
        <v>0</v>
      </c>
      <c r="V180" s="2984">
        <f t="shared" si="53"/>
        <v>0</v>
      </c>
      <c r="W180" s="997"/>
      <c r="X180" s="2984">
        <f t="shared" si="54"/>
        <v>0</v>
      </c>
      <c r="Y180" s="2984">
        <f t="shared" si="55"/>
        <v>0</v>
      </c>
      <c r="Z180" s="997"/>
    </row>
    <row r="181" spans="1:26">
      <c r="A181" s="35"/>
      <c r="B181" s="20"/>
      <c r="C181" s="13">
        <f t="shared" si="44"/>
        <v>1</v>
      </c>
      <c r="D181" s="600"/>
      <c r="E181" s="13">
        <f t="shared" si="45"/>
        <v>0</v>
      </c>
      <c r="F181" s="600"/>
      <c r="G181" s="13">
        <f t="shared" si="46"/>
        <v>0</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900">
        <f t="shared" si="58"/>
        <v>0</v>
      </c>
      <c r="U181" s="2984">
        <f t="shared" si="52"/>
        <v>0</v>
      </c>
      <c r="V181" s="2984">
        <f t="shared" si="53"/>
        <v>0</v>
      </c>
      <c r="W181" s="997"/>
      <c r="X181" s="2984">
        <f t="shared" si="54"/>
        <v>0</v>
      </c>
      <c r="Y181" s="2984">
        <f t="shared" si="55"/>
        <v>0</v>
      </c>
      <c r="Z181" s="997"/>
    </row>
    <row r="182" spans="1:26">
      <c r="A182" s="35"/>
      <c r="B182" s="20"/>
      <c r="C182" s="13">
        <f t="shared" si="44"/>
        <v>1</v>
      </c>
      <c r="D182" s="600"/>
      <c r="E182" s="13">
        <f t="shared" si="45"/>
        <v>0</v>
      </c>
      <c r="F182" s="600"/>
      <c r="G182" s="13">
        <f t="shared" si="46"/>
        <v>0</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900">
        <f t="shared" si="58"/>
        <v>0</v>
      </c>
      <c r="U182" s="2984">
        <f t="shared" si="52"/>
        <v>0</v>
      </c>
      <c r="V182" s="2984">
        <f t="shared" si="53"/>
        <v>0</v>
      </c>
      <c r="W182" s="997"/>
      <c r="X182" s="2984">
        <f t="shared" si="54"/>
        <v>0</v>
      </c>
      <c r="Y182" s="2984">
        <f t="shared" si="55"/>
        <v>0</v>
      </c>
      <c r="Z182" s="997"/>
    </row>
    <row r="183" spans="1:26">
      <c r="A183" s="35"/>
      <c r="B183" s="20"/>
      <c r="C183" s="13">
        <f t="shared" si="44"/>
        <v>1</v>
      </c>
      <c r="D183" s="600"/>
      <c r="E183" s="13">
        <f t="shared" si="45"/>
        <v>0</v>
      </c>
      <c r="F183" s="600"/>
      <c r="G183" s="13">
        <f t="shared" si="46"/>
        <v>0</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900">
        <f t="shared" si="58"/>
        <v>0</v>
      </c>
      <c r="U183" s="2984">
        <f t="shared" si="52"/>
        <v>0</v>
      </c>
      <c r="V183" s="2984">
        <f t="shared" si="53"/>
        <v>0</v>
      </c>
      <c r="W183" s="997"/>
      <c r="X183" s="2984">
        <f t="shared" si="54"/>
        <v>0</v>
      </c>
      <c r="Y183" s="2984">
        <f t="shared" si="55"/>
        <v>0</v>
      </c>
      <c r="Z183" s="997"/>
    </row>
    <row r="184" spans="1:26">
      <c r="A184" s="35"/>
      <c r="B184" s="20"/>
      <c r="C184" s="13">
        <f t="shared" si="44"/>
        <v>1</v>
      </c>
      <c r="D184" s="600"/>
      <c r="E184" s="13">
        <f t="shared" si="45"/>
        <v>0</v>
      </c>
      <c r="F184" s="600"/>
      <c r="G184" s="13">
        <f t="shared" si="46"/>
        <v>0</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900">
        <f t="shared" si="58"/>
        <v>0</v>
      </c>
      <c r="U184" s="2984">
        <f t="shared" si="52"/>
        <v>0</v>
      </c>
      <c r="V184" s="2984">
        <f t="shared" si="53"/>
        <v>0</v>
      </c>
      <c r="W184" s="997"/>
      <c r="X184" s="2984">
        <f t="shared" si="54"/>
        <v>0</v>
      </c>
      <c r="Y184" s="2984">
        <f t="shared" si="55"/>
        <v>0</v>
      </c>
      <c r="Z184" s="997"/>
    </row>
    <row r="185" spans="1:26">
      <c r="A185" s="35"/>
      <c r="B185" s="20"/>
      <c r="C185" s="13">
        <f t="shared" si="44"/>
        <v>1</v>
      </c>
      <c r="D185" s="600"/>
      <c r="E185" s="13">
        <f t="shared" si="45"/>
        <v>0</v>
      </c>
      <c r="F185" s="600"/>
      <c r="G185" s="13">
        <f t="shared" si="46"/>
        <v>0</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900">
        <f t="shared" si="58"/>
        <v>0</v>
      </c>
      <c r="U185" s="2984">
        <f t="shared" si="52"/>
        <v>0</v>
      </c>
      <c r="V185" s="2984">
        <f t="shared" si="53"/>
        <v>0</v>
      </c>
      <c r="W185" s="997"/>
      <c r="X185" s="2984">
        <f t="shared" si="54"/>
        <v>0</v>
      </c>
      <c r="Y185" s="2984">
        <f t="shared" si="55"/>
        <v>0</v>
      </c>
      <c r="Z185" s="997"/>
    </row>
    <row r="186" spans="1:26">
      <c r="A186" s="35"/>
      <c r="B186" s="20"/>
      <c r="C186" s="13">
        <f t="shared" si="44"/>
        <v>1</v>
      </c>
      <c r="D186" s="600"/>
      <c r="E186" s="13">
        <f t="shared" si="45"/>
        <v>0</v>
      </c>
      <c r="F186" s="600"/>
      <c r="G186" s="13">
        <f t="shared" si="46"/>
        <v>0</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900">
        <f t="shared" si="58"/>
        <v>0</v>
      </c>
      <c r="U186" s="2984">
        <f t="shared" si="52"/>
        <v>0</v>
      </c>
      <c r="V186" s="2984">
        <f t="shared" si="53"/>
        <v>0</v>
      </c>
      <c r="W186" s="997"/>
      <c r="X186" s="2984">
        <f t="shared" si="54"/>
        <v>0</v>
      </c>
      <c r="Y186" s="2984">
        <f t="shared" si="55"/>
        <v>0</v>
      </c>
      <c r="Z186" s="997"/>
    </row>
    <row r="187" spans="1:26">
      <c r="A187" s="35"/>
      <c r="B187" s="20"/>
      <c r="C187" s="13">
        <f t="shared" si="44"/>
        <v>1</v>
      </c>
      <c r="D187" s="600"/>
      <c r="E187" s="13">
        <f t="shared" si="45"/>
        <v>0</v>
      </c>
      <c r="F187" s="600"/>
      <c r="G187" s="13">
        <f t="shared" si="46"/>
        <v>0</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900">
        <f t="shared" si="58"/>
        <v>0</v>
      </c>
      <c r="U187" s="2984">
        <f t="shared" si="52"/>
        <v>0</v>
      </c>
      <c r="V187" s="2984">
        <f t="shared" si="53"/>
        <v>0</v>
      </c>
      <c r="W187" s="997"/>
      <c r="X187" s="2984">
        <f t="shared" si="54"/>
        <v>0</v>
      </c>
      <c r="Y187" s="2984">
        <f t="shared" si="55"/>
        <v>0</v>
      </c>
      <c r="Z187" s="997"/>
    </row>
    <row r="188" spans="1:26">
      <c r="A188" s="35"/>
      <c r="B188" s="20"/>
      <c r="C188" s="13">
        <f t="shared" si="44"/>
        <v>1</v>
      </c>
      <c r="D188" s="600"/>
      <c r="E188" s="13">
        <f t="shared" si="45"/>
        <v>0</v>
      </c>
      <c r="F188" s="600"/>
      <c r="G188" s="13">
        <f t="shared" si="46"/>
        <v>0</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900">
        <f t="shared" si="58"/>
        <v>0</v>
      </c>
      <c r="U188" s="2984">
        <f t="shared" si="52"/>
        <v>0</v>
      </c>
      <c r="V188" s="2984">
        <f t="shared" si="53"/>
        <v>0</v>
      </c>
      <c r="W188" s="997"/>
      <c r="X188" s="2984">
        <f t="shared" si="54"/>
        <v>0</v>
      </c>
      <c r="Y188" s="2984">
        <f t="shared" si="55"/>
        <v>0</v>
      </c>
      <c r="Z188" s="997"/>
    </row>
    <row r="189" spans="1:26">
      <c r="A189" s="35"/>
      <c r="B189" s="20"/>
      <c r="C189" s="13">
        <f t="shared" si="44"/>
        <v>1</v>
      </c>
      <c r="D189" s="600"/>
      <c r="E189" s="13">
        <f t="shared" si="45"/>
        <v>0</v>
      </c>
      <c r="F189" s="600"/>
      <c r="G189" s="13">
        <f t="shared" si="46"/>
        <v>0</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900">
        <f t="shared" si="58"/>
        <v>0</v>
      </c>
      <c r="U189" s="2984">
        <f t="shared" si="52"/>
        <v>0</v>
      </c>
      <c r="V189" s="2984">
        <f t="shared" si="53"/>
        <v>0</v>
      </c>
      <c r="W189" s="997"/>
      <c r="X189" s="2984">
        <f t="shared" si="54"/>
        <v>0</v>
      </c>
      <c r="Y189" s="2984">
        <f t="shared" si="55"/>
        <v>0</v>
      </c>
      <c r="Z189" s="997"/>
    </row>
    <row r="190" spans="1:26">
      <c r="A190" s="35"/>
      <c r="B190" s="20"/>
      <c r="C190" s="13">
        <f t="shared" si="44"/>
        <v>1</v>
      </c>
      <c r="D190" s="600"/>
      <c r="E190" s="13">
        <f t="shared" si="45"/>
        <v>0</v>
      </c>
      <c r="F190" s="600"/>
      <c r="G190" s="13">
        <f t="shared" si="46"/>
        <v>0</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900">
        <f t="shared" si="58"/>
        <v>0</v>
      </c>
      <c r="U190" s="2984">
        <f t="shared" si="52"/>
        <v>0</v>
      </c>
      <c r="V190" s="2984">
        <f t="shared" si="53"/>
        <v>0</v>
      </c>
      <c r="W190" s="997"/>
      <c r="X190" s="2984">
        <f t="shared" si="54"/>
        <v>0</v>
      </c>
      <c r="Y190" s="2984">
        <f t="shared" si="55"/>
        <v>0</v>
      </c>
      <c r="Z190" s="997"/>
    </row>
    <row r="191" spans="1:26">
      <c r="A191" s="35"/>
      <c r="B191" s="20"/>
      <c r="C191" s="13">
        <f t="shared" si="44"/>
        <v>1</v>
      </c>
      <c r="D191" s="600"/>
      <c r="E191" s="13">
        <f t="shared" si="45"/>
        <v>0</v>
      </c>
      <c r="F191" s="600"/>
      <c r="G191" s="13">
        <f t="shared" si="46"/>
        <v>0</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900">
        <f t="shared" si="58"/>
        <v>0</v>
      </c>
      <c r="U191" s="2984">
        <f t="shared" si="52"/>
        <v>0</v>
      </c>
      <c r="V191" s="2984">
        <f t="shared" si="53"/>
        <v>0</v>
      </c>
      <c r="W191" s="997"/>
      <c r="X191" s="2984">
        <f t="shared" si="54"/>
        <v>0</v>
      </c>
      <c r="Y191" s="2984">
        <f t="shared" si="55"/>
        <v>0</v>
      </c>
      <c r="Z191" s="997"/>
    </row>
    <row r="192" spans="1:26">
      <c r="A192" s="35"/>
      <c r="B192" s="20"/>
      <c r="C192" s="13">
        <f t="shared" si="44"/>
        <v>1</v>
      </c>
      <c r="D192" s="600"/>
      <c r="E192" s="13">
        <f t="shared" si="45"/>
        <v>0</v>
      </c>
      <c r="F192" s="600"/>
      <c r="G192" s="13">
        <f t="shared" si="46"/>
        <v>0</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900">
        <f t="shared" si="58"/>
        <v>0</v>
      </c>
      <c r="U192" s="2984">
        <f t="shared" si="52"/>
        <v>0</v>
      </c>
      <c r="V192" s="2984">
        <f t="shared" si="53"/>
        <v>0</v>
      </c>
      <c r="W192" s="997"/>
      <c r="X192" s="2984">
        <f t="shared" si="54"/>
        <v>0</v>
      </c>
      <c r="Y192" s="2984">
        <f t="shared" si="55"/>
        <v>0</v>
      </c>
      <c r="Z192" s="997"/>
    </row>
    <row r="193" spans="1:26">
      <c r="A193" s="35"/>
      <c r="B193" s="20"/>
      <c r="C193" s="13">
        <f t="shared" si="44"/>
        <v>1</v>
      </c>
      <c r="D193" s="600"/>
      <c r="E193" s="13">
        <f t="shared" si="45"/>
        <v>0</v>
      </c>
      <c r="F193" s="600"/>
      <c r="G193" s="13">
        <f t="shared" si="46"/>
        <v>0</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900">
        <f t="shared" si="58"/>
        <v>0</v>
      </c>
      <c r="U193" s="2984">
        <f t="shared" si="52"/>
        <v>0</v>
      </c>
      <c r="V193" s="2984">
        <f t="shared" si="53"/>
        <v>0</v>
      </c>
      <c r="W193" s="997"/>
      <c r="X193" s="2984">
        <f t="shared" si="54"/>
        <v>0</v>
      </c>
      <c r="Y193" s="2984">
        <f t="shared" si="55"/>
        <v>0</v>
      </c>
      <c r="Z193" s="997"/>
    </row>
    <row r="194" spans="1:26">
      <c r="A194" s="35"/>
      <c r="B194" s="20"/>
      <c r="C194" s="13">
        <f t="shared" si="44"/>
        <v>1</v>
      </c>
      <c r="D194" s="600"/>
      <c r="E194" s="13">
        <f t="shared" si="45"/>
        <v>0</v>
      </c>
      <c r="F194" s="600"/>
      <c r="G194" s="13">
        <f t="shared" si="46"/>
        <v>0</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900">
        <f t="shared" si="58"/>
        <v>0</v>
      </c>
      <c r="U194" s="2984">
        <f t="shared" si="52"/>
        <v>0</v>
      </c>
      <c r="V194" s="2984">
        <f t="shared" si="53"/>
        <v>0</v>
      </c>
      <c r="W194" s="997"/>
      <c r="X194" s="2984">
        <f t="shared" si="54"/>
        <v>0</v>
      </c>
      <c r="Y194" s="2984">
        <f t="shared" si="55"/>
        <v>0</v>
      </c>
      <c r="Z194" s="997"/>
    </row>
    <row r="195" spans="1:26">
      <c r="A195" s="35"/>
      <c r="B195" s="20"/>
      <c r="C195" s="13">
        <f t="shared" si="44"/>
        <v>1</v>
      </c>
      <c r="D195" s="600"/>
      <c r="E195" s="13">
        <f t="shared" si="45"/>
        <v>0</v>
      </c>
      <c r="F195" s="600"/>
      <c r="G195" s="13">
        <f t="shared" si="46"/>
        <v>0</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900">
        <f t="shared" si="58"/>
        <v>0</v>
      </c>
      <c r="U195" s="2984">
        <f t="shared" si="52"/>
        <v>0</v>
      </c>
      <c r="V195" s="2984">
        <f t="shared" si="53"/>
        <v>0</v>
      </c>
      <c r="W195" s="997"/>
      <c r="X195" s="2984">
        <f t="shared" si="54"/>
        <v>0</v>
      </c>
      <c r="Y195" s="2984">
        <f t="shared" si="55"/>
        <v>0</v>
      </c>
      <c r="Z195" s="997"/>
    </row>
    <row r="196" spans="1:26">
      <c r="A196" s="35"/>
      <c r="B196" s="20"/>
      <c r="C196" s="13">
        <f t="shared" si="44"/>
        <v>1</v>
      </c>
      <c r="D196" s="600"/>
      <c r="E196" s="13">
        <f t="shared" si="45"/>
        <v>0</v>
      </c>
      <c r="F196" s="600"/>
      <c r="G196" s="13">
        <f t="shared" si="46"/>
        <v>0</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900">
        <f t="shared" si="58"/>
        <v>0</v>
      </c>
      <c r="U196" s="2984">
        <f t="shared" si="52"/>
        <v>0</v>
      </c>
      <c r="V196" s="2984">
        <f t="shared" si="53"/>
        <v>0</v>
      </c>
      <c r="W196" s="997"/>
      <c r="X196" s="2984">
        <f t="shared" si="54"/>
        <v>0</v>
      </c>
      <c r="Y196" s="2984">
        <f t="shared" si="55"/>
        <v>0</v>
      </c>
      <c r="Z196" s="997"/>
    </row>
    <row r="197" spans="1:26">
      <c r="A197" s="35"/>
      <c r="B197" s="20"/>
      <c r="C197" s="13">
        <f t="shared" si="44"/>
        <v>1</v>
      </c>
      <c r="D197" s="600"/>
      <c r="E197" s="13">
        <f t="shared" si="45"/>
        <v>0</v>
      </c>
      <c r="F197" s="600"/>
      <c r="G197" s="13">
        <f t="shared" si="46"/>
        <v>0</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900">
        <f t="shared" si="58"/>
        <v>0</v>
      </c>
      <c r="U197" s="2984">
        <f t="shared" si="52"/>
        <v>0</v>
      </c>
      <c r="V197" s="2984">
        <f t="shared" si="53"/>
        <v>0</v>
      </c>
      <c r="W197" s="997"/>
      <c r="X197" s="2984">
        <f t="shared" si="54"/>
        <v>0</v>
      </c>
      <c r="Y197" s="2984">
        <f t="shared" si="55"/>
        <v>0</v>
      </c>
      <c r="Z197" s="997"/>
    </row>
    <row r="198" spans="1:26">
      <c r="A198" s="35"/>
      <c r="B198" s="20"/>
      <c r="C198" s="13">
        <f t="shared" si="44"/>
        <v>1</v>
      </c>
      <c r="D198" s="600"/>
      <c r="E198" s="13">
        <f t="shared" si="45"/>
        <v>0</v>
      </c>
      <c r="F198" s="600"/>
      <c r="G198" s="13">
        <f t="shared" si="46"/>
        <v>0</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900">
        <f t="shared" si="58"/>
        <v>0</v>
      </c>
      <c r="U198" s="2984">
        <f t="shared" si="52"/>
        <v>0</v>
      </c>
      <c r="V198" s="2984">
        <f t="shared" si="53"/>
        <v>0</v>
      </c>
      <c r="W198" s="997"/>
      <c r="X198" s="2984">
        <f t="shared" si="54"/>
        <v>0</v>
      </c>
      <c r="Y198" s="2984">
        <f t="shared" si="55"/>
        <v>0</v>
      </c>
      <c r="Z198" s="997"/>
    </row>
    <row r="199" spans="1:26">
      <c r="A199" s="35"/>
      <c r="B199" s="20"/>
      <c r="C199" s="13">
        <f t="shared" si="44"/>
        <v>1</v>
      </c>
      <c r="D199" s="600"/>
      <c r="E199" s="13">
        <f t="shared" si="45"/>
        <v>0</v>
      </c>
      <c r="F199" s="600"/>
      <c r="G199" s="13">
        <f t="shared" si="46"/>
        <v>0</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900">
        <f t="shared" si="58"/>
        <v>0</v>
      </c>
      <c r="U199" s="2984">
        <f t="shared" si="52"/>
        <v>0</v>
      </c>
      <c r="V199" s="2984">
        <f t="shared" si="53"/>
        <v>0</v>
      </c>
      <c r="W199" s="997"/>
      <c r="X199" s="2984">
        <f t="shared" si="54"/>
        <v>0</v>
      </c>
      <c r="Y199" s="2984">
        <f t="shared" si="55"/>
        <v>0</v>
      </c>
      <c r="Z199" s="997"/>
    </row>
    <row r="200" spans="1:26">
      <c r="A200" s="35"/>
      <c r="B200" s="20"/>
      <c r="C200" s="13">
        <f t="shared" si="44"/>
        <v>1</v>
      </c>
      <c r="D200" s="600"/>
      <c r="E200" s="13">
        <f t="shared" si="45"/>
        <v>0</v>
      </c>
      <c r="F200" s="600"/>
      <c r="G200" s="13">
        <f t="shared" si="46"/>
        <v>0</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900">
        <f t="shared" si="58"/>
        <v>0</v>
      </c>
      <c r="U200" s="2984">
        <f t="shared" si="52"/>
        <v>0</v>
      </c>
      <c r="V200" s="2984">
        <f t="shared" si="53"/>
        <v>0</v>
      </c>
      <c r="W200" s="997"/>
      <c r="X200" s="2984">
        <f t="shared" si="54"/>
        <v>0</v>
      </c>
      <c r="Y200" s="2984">
        <f t="shared" si="55"/>
        <v>0</v>
      </c>
      <c r="Z200" s="997"/>
    </row>
    <row r="201" spans="1:26">
      <c r="A201" s="35"/>
      <c r="B201" s="20"/>
      <c r="C201" s="13">
        <f t="shared" si="44"/>
        <v>1</v>
      </c>
      <c r="D201" s="600"/>
      <c r="E201" s="13">
        <f t="shared" si="45"/>
        <v>0</v>
      </c>
      <c r="F201" s="600"/>
      <c r="G201" s="13">
        <f t="shared" si="46"/>
        <v>0</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900">
        <f t="shared" si="58"/>
        <v>0</v>
      </c>
      <c r="U201" s="2984">
        <f t="shared" si="52"/>
        <v>0</v>
      </c>
      <c r="V201" s="2984">
        <f t="shared" si="53"/>
        <v>0</v>
      </c>
      <c r="W201" s="997"/>
      <c r="X201" s="2984">
        <f t="shared" si="54"/>
        <v>0</v>
      </c>
      <c r="Y201" s="2984">
        <f t="shared" si="55"/>
        <v>0</v>
      </c>
      <c r="Z201" s="997"/>
    </row>
    <row r="202" spans="1:26">
      <c r="A202" s="35"/>
      <c r="B202" s="20"/>
      <c r="C202" s="13">
        <f t="shared" si="44"/>
        <v>1</v>
      </c>
      <c r="D202" s="600"/>
      <c r="E202" s="13">
        <f t="shared" si="45"/>
        <v>0</v>
      </c>
      <c r="F202" s="600"/>
      <c r="G202" s="13">
        <f t="shared" si="46"/>
        <v>0</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900">
        <f t="shared" si="58"/>
        <v>0</v>
      </c>
      <c r="U202" s="2984">
        <f t="shared" si="52"/>
        <v>0</v>
      </c>
      <c r="V202" s="2984">
        <f t="shared" si="53"/>
        <v>0</v>
      </c>
      <c r="W202" s="997"/>
      <c r="X202" s="2984">
        <f t="shared" si="54"/>
        <v>0</v>
      </c>
      <c r="Y202" s="2984">
        <f t="shared" si="55"/>
        <v>0</v>
      </c>
      <c r="Z202" s="997"/>
    </row>
    <row r="203" spans="1:26">
      <c r="A203" s="35"/>
      <c r="B203" s="20"/>
      <c r="C203" s="13">
        <f t="shared" si="44"/>
        <v>1</v>
      </c>
      <c r="D203" s="600"/>
      <c r="E203" s="13">
        <f t="shared" si="45"/>
        <v>0</v>
      </c>
      <c r="F203" s="600"/>
      <c r="G203" s="13">
        <f t="shared" si="46"/>
        <v>0</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900">
        <f t="shared" si="58"/>
        <v>0</v>
      </c>
      <c r="U203" s="2984">
        <f t="shared" si="52"/>
        <v>0</v>
      </c>
      <c r="V203" s="2984">
        <f t="shared" si="53"/>
        <v>0</v>
      </c>
      <c r="W203" s="997"/>
      <c r="X203" s="2984">
        <f t="shared" si="54"/>
        <v>0</v>
      </c>
      <c r="Y203" s="2984">
        <f t="shared" si="55"/>
        <v>0</v>
      </c>
      <c r="Z203" s="997"/>
    </row>
    <row r="204" spans="1:26">
      <c r="A204" s="35"/>
      <c r="B204" s="20"/>
      <c r="C204" s="13">
        <f t="shared" si="44"/>
        <v>1</v>
      </c>
      <c r="D204" s="600"/>
      <c r="E204" s="13">
        <f t="shared" si="45"/>
        <v>0</v>
      </c>
      <c r="F204" s="600"/>
      <c r="G204" s="13">
        <f t="shared" si="46"/>
        <v>0</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900">
        <f t="shared" si="58"/>
        <v>0</v>
      </c>
      <c r="U204" s="2984">
        <f t="shared" si="52"/>
        <v>0</v>
      </c>
      <c r="V204" s="2984">
        <f t="shared" si="53"/>
        <v>0</v>
      </c>
      <c r="W204" s="997"/>
      <c r="X204" s="2984">
        <f t="shared" si="54"/>
        <v>0</v>
      </c>
      <c r="Y204" s="2984">
        <f t="shared" si="55"/>
        <v>0</v>
      </c>
      <c r="Z204" s="997"/>
    </row>
    <row r="205" spans="1:26">
      <c r="A205" s="35"/>
      <c r="B205" s="20"/>
      <c r="C205" s="13">
        <f t="shared" si="44"/>
        <v>1</v>
      </c>
      <c r="D205" s="600"/>
      <c r="E205" s="13">
        <f t="shared" si="45"/>
        <v>0</v>
      </c>
      <c r="F205" s="600"/>
      <c r="G205" s="13">
        <f t="shared" si="46"/>
        <v>0</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900">
        <f t="shared" si="58"/>
        <v>0</v>
      </c>
      <c r="U205" s="2984">
        <f t="shared" si="52"/>
        <v>0</v>
      </c>
      <c r="V205" s="2984">
        <f t="shared" si="53"/>
        <v>0</v>
      </c>
      <c r="W205" s="997"/>
      <c r="X205" s="2984">
        <f t="shared" si="54"/>
        <v>0</v>
      </c>
      <c r="Y205" s="2984">
        <f t="shared" si="55"/>
        <v>0</v>
      </c>
      <c r="Z205" s="997"/>
    </row>
    <row r="206" spans="1:26">
      <c r="A206" s="35"/>
      <c r="B206" s="20"/>
      <c r="C206" s="13">
        <f t="shared" si="44"/>
        <v>1</v>
      </c>
      <c r="D206" s="600"/>
      <c r="E206" s="13">
        <f t="shared" si="45"/>
        <v>0</v>
      </c>
      <c r="F206" s="600"/>
      <c r="G206" s="13">
        <f t="shared" si="46"/>
        <v>0</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900">
        <f t="shared" si="58"/>
        <v>0</v>
      </c>
      <c r="U206" s="2984">
        <f t="shared" si="52"/>
        <v>0</v>
      </c>
      <c r="V206" s="2984">
        <f t="shared" si="53"/>
        <v>0</v>
      </c>
      <c r="W206" s="997"/>
      <c r="X206" s="2984">
        <f t="shared" si="54"/>
        <v>0</v>
      </c>
      <c r="Y206" s="2984">
        <f t="shared" si="55"/>
        <v>0</v>
      </c>
      <c r="Z206" s="997"/>
    </row>
    <row r="207" spans="1:26">
      <c r="A207" s="35"/>
      <c r="B207" s="20"/>
      <c r="C207" s="13">
        <f t="shared" si="44"/>
        <v>1</v>
      </c>
      <c r="D207" s="600"/>
      <c r="E207" s="13">
        <f t="shared" si="45"/>
        <v>0</v>
      </c>
      <c r="F207" s="600"/>
      <c r="G207" s="13">
        <f t="shared" si="46"/>
        <v>0</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900">
        <f t="shared" si="58"/>
        <v>0</v>
      </c>
      <c r="U207" s="2984">
        <f t="shared" si="52"/>
        <v>0</v>
      </c>
      <c r="V207" s="2984">
        <f t="shared" si="53"/>
        <v>0</v>
      </c>
      <c r="W207" s="997"/>
      <c r="X207" s="2984">
        <f t="shared" si="54"/>
        <v>0</v>
      </c>
      <c r="Y207" s="2984">
        <f t="shared" si="55"/>
        <v>0</v>
      </c>
      <c r="Z207" s="997"/>
    </row>
    <row r="208" spans="1:26">
      <c r="A208" s="35"/>
      <c r="B208" s="20"/>
      <c r="C208" s="13">
        <f t="shared" si="44"/>
        <v>1</v>
      </c>
      <c r="D208" s="600"/>
      <c r="E208" s="13">
        <f t="shared" si="45"/>
        <v>0</v>
      </c>
      <c r="F208" s="600"/>
      <c r="G208" s="13">
        <f t="shared" si="46"/>
        <v>0</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900">
        <f t="shared" si="58"/>
        <v>0</v>
      </c>
      <c r="U208" s="2984">
        <f t="shared" si="52"/>
        <v>0</v>
      </c>
      <c r="V208" s="2984">
        <f t="shared" si="53"/>
        <v>0</v>
      </c>
      <c r="W208" s="997"/>
      <c r="X208" s="2984">
        <f t="shared" si="54"/>
        <v>0</v>
      </c>
      <c r="Y208" s="2984">
        <f t="shared" si="55"/>
        <v>0</v>
      </c>
      <c r="Z208" s="997"/>
    </row>
    <row r="209" spans="1:26">
      <c r="A209" s="35"/>
      <c r="B209" s="20"/>
      <c r="C209" s="13">
        <f t="shared" si="44"/>
        <v>1</v>
      </c>
      <c r="D209" s="600"/>
      <c r="E209" s="13">
        <f t="shared" si="45"/>
        <v>0</v>
      </c>
      <c r="F209" s="600"/>
      <c r="G209" s="13">
        <f t="shared" si="46"/>
        <v>0</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900">
        <f t="shared" si="58"/>
        <v>0</v>
      </c>
      <c r="U209" s="2984">
        <f t="shared" si="52"/>
        <v>0</v>
      </c>
      <c r="V209" s="2984">
        <f t="shared" si="53"/>
        <v>0</v>
      </c>
      <c r="W209" s="997"/>
      <c r="X209" s="2984">
        <f t="shared" si="54"/>
        <v>0</v>
      </c>
      <c r="Y209" s="2984">
        <f t="shared" si="55"/>
        <v>0</v>
      </c>
      <c r="Z209" s="997"/>
    </row>
    <row r="210" spans="1:26">
      <c r="A210" s="35"/>
      <c r="B210" s="20"/>
      <c r="C210" s="13">
        <f t="shared" si="44"/>
        <v>1</v>
      </c>
      <c r="D210" s="600"/>
      <c r="E210" s="13">
        <f t="shared" si="45"/>
        <v>0</v>
      </c>
      <c r="F210" s="600"/>
      <c r="G210" s="13">
        <f t="shared" si="46"/>
        <v>0</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900">
        <f t="shared" si="58"/>
        <v>0</v>
      </c>
      <c r="U210" s="2984">
        <f t="shared" si="52"/>
        <v>0</v>
      </c>
      <c r="V210" s="2984">
        <f t="shared" si="53"/>
        <v>0</v>
      </c>
      <c r="W210" s="997"/>
      <c r="X210" s="2984">
        <f t="shared" si="54"/>
        <v>0</v>
      </c>
      <c r="Y210" s="2984">
        <f t="shared" si="55"/>
        <v>0</v>
      </c>
      <c r="Z210" s="997"/>
    </row>
    <row r="211" spans="1:26">
      <c r="A211" s="35"/>
      <c r="B211" s="20"/>
      <c r="C211" s="13">
        <f t="shared" si="44"/>
        <v>1</v>
      </c>
      <c r="D211" s="600"/>
      <c r="E211" s="13">
        <f t="shared" si="45"/>
        <v>0</v>
      </c>
      <c r="F211" s="600"/>
      <c r="G211" s="13">
        <f t="shared" si="46"/>
        <v>0</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900">
        <f t="shared" si="58"/>
        <v>0</v>
      </c>
      <c r="U211" s="2984">
        <f t="shared" si="52"/>
        <v>0</v>
      </c>
      <c r="V211" s="2984">
        <f t="shared" si="53"/>
        <v>0</v>
      </c>
      <c r="W211" s="997"/>
      <c r="X211" s="2984">
        <f t="shared" si="54"/>
        <v>0</v>
      </c>
      <c r="Y211" s="2984">
        <f t="shared" si="55"/>
        <v>0</v>
      </c>
      <c r="Z211" s="997"/>
    </row>
    <row r="212" spans="1:26">
      <c r="A212" s="35"/>
      <c r="B212" s="20"/>
      <c r="C212" s="13">
        <f t="shared" si="44"/>
        <v>1</v>
      </c>
      <c r="D212" s="600"/>
      <c r="E212" s="13">
        <f t="shared" si="45"/>
        <v>0</v>
      </c>
      <c r="F212" s="600"/>
      <c r="G212" s="13">
        <f t="shared" si="46"/>
        <v>0</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900">
        <f t="shared" si="58"/>
        <v>0</v>
      </c>
      <c r="U212" s="2984">
        <f t="shared" si="52"/>
        <v>0</v>
      </c>
      <c r="V212" s="2984">
        <f t="shared" si="53"/>
        <v>0</v>
      </c>
      <c r="W212" s="997"/>
      <c r="X212" s="2984">
        <f t="shared" si="54"/>
        <v>0</v>
      </c>
      <c r="Y212" s="2984">
        <f t="shared" si="55"/>
        <v>0</v>
      </c>
      <c r="Z212" s="997"/>
    </row>
    <row r="213" spans="1:26">
      <c r="A213" s="35"/>
      <c r="B213" s="20"/>
      <c r="C213" s="13">
        <f t="shared" si="44"/>
        <v>1</v>
      </c>
      <c r="D213" s="600"/>
      <c r="E213" s="13">
        <f t="shared" si="45"/>
        <v>0</v>
      </c>
      <c r="F213" s="600"/>
      <c r="G213" s="13">
        <f t="shared" si="46"/>
        <v>0</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900">
        <f t="shared" si="58"/>
        <v>0</v>
      </c>
      <c r="U213" s="2984">
        <f t="shared" si="52"/>
        <v>0</v>
      </c>
      <c r="V213" s="2984">
        <f t="shared" si="53"/>
        <v>0</v>
      </c>
      <c r="W213" s="997"/>
      <c r="X213" s="2984">
        <f t="shared" si="54"/>
        <v>0</v>
      </c>
      <c r="Y213" s="2984">
        <f t="shared" si="55"/>
        <v>0</v>
      </c>
      <c r="Z213" s="997"/>
    </row>
    <row r="214" spans="1:26">
      <c r="A214" s="35"/>
      <c r="B214" s="20"/>
      <c r="C214" s="13">
        <f t="shared" si="44"/>
        <v>1</v>
      </c>
      <c r="D214" s="600"/>
      <c r="E214" s="13">
        <f t="shared" si="45"/>
        <v>0</v>
      </c>
      <c r="F214" s="600"/>
      <c r="G214" s="13">
        <f t="shared" si="46"/>
        <v>0</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900">
        <f t="shared" si="58"/>
        <v>0</v>
      </c>
      <c r="U214" s="2984">
        <f t="shared" si="52"/>
        <v>0</v>
      </c>
      <c r="V214" s="2984">
        <f t="shared" si="53"/>
        <v>0</v>
      </c>
      <c r="W214" s="997"/>
      <c r="X214" s="2984">
        <f t="shared" si="54"/>
        <v>0</v>
      </c>
      <c r="Y214" s="2984">
        <f t="shared" si="55"/>
        <v>0</v>
      </c>
      <c r="Z214" s="997"/>
    </row>
    <row r="215" spans="1:26">
      <c r="A215" s="35"/>
      <c r="B215" s="20"/>
      <c r="C215" s="13">
        <f t="shared" si="44"/>
        <v>1</v>
      </c>
      <c r="D215" s="600"/>
      <c r="E215" s="13">
        <f t="shared" si="45"/>
        <v>0</v>
      </c>
      <c r="F215" s="600"/>
      <c r="G215" s="13">
        <f t="shared" si="46"/>
        <v>0</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900">
        <f t="shared" si="58"/>
        <v>0</v>
      </c>
      <c r="U215" s="2984">
        <f t="shared" si="52"/>
        <v>0</v>
      </c>
      <c r="V215" s="2984">
        <f t="shared" si="53"/>
        <v>0</v>
      </c>
      <c r="W215" s="997"/>
      <c r="X215" s="2984">
        <f t="shared" si="54"/>
        <v>0</v>
      </c>
      <c r="Y215" s="2984">
        <f t="shared" si="55"/>
        <v>0</v>
      </c>
      <c r="Z215" s="997"/>
    </row>
    <row r="216" spans="1:26">
      <c r="A216" s="35"/>
      <c r="B216" s="20"/>
      <c r="C216" s="13">
        <f t="shared" si="44"/>
        <v>1</v>
      </c>
      <c r="D216" s="600"/>
      <c r="E216" s="13">
        <f t="shared" si="45"/>
        <v>0</v>
      </c>
      <c r="F216" s="600"/>
      <c r="G216" s="13">
        <f t="shared" si="46"/>
        <v>0</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900">
        <f t="shared" si="58"/>
        <v>0</v>
      </c>
      <c r="U216" s="2984">
        <f t="shared" si="52"/>
        <v>0</v>
      </c>
      <c r="V216" s="2984">
        <f t="shared" si="53"/>
        <v>0</v>
      </c>
      <c r="W216" s="997"/>
      <c r="X216" s="2984">
        <f t="shared" si="54"/>
        <v>0</v>
      </c>
      <c r="Y216" s="2984">
        <f t="shared" si="55"/>
        <v>0</v>
      </c>
      <c r="Z216" s="997"/>
    </row>
    <row r="217" spans="1:26">
      <c r="A217" s="35"/>
      <c r="B217" s="20"/>
      <c r="C217" s="13">
        <f t="shared" si="44"/>
        <v>1</v>
      </c>
      <c r="D217" s="600"/>
      <c r="E217" s="13">
        <f t="shared" si="45"/>
        <v>0</v>
      </c>
      <c r="F217" s="600"/>
      <c r="G217" s="13">
        <f t="shared" si="46"/>
        <v>0</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900">
        <f t="shared" si="58"/>
        <v>0</v>
      </c>
      <c r="U217" s="2984">
        <f t="shared" si="52"/>
        <v>0</v>
      </c>
      <c r="V217" s="2984">
        <f t="shared" si="53"/>
        <v>0</v>
      </c>
      <c r="W217" s="997"/>
      <c r="X217" s="2984">
        <f t="shared" si="54"/>
        <v>0</v>
      </c>
      <c r="Y217" s="2984">
        <f t="shared" si="55"/>
        <v>0</v>
      </c>
      <c r="Z217" s="997"/>
    </row>
    <row r="218" spans="1:26">
      <c r="A218" s="35"/>
      <c r="B218" s="20"/>
      <c r="C218" s="13">
        <f t="shared" si="44"/>
        <v>1</v>
      </c>
      <c r="D218" s="600"/>
      <c r="E218" s="13">
        <f t="shared" si="45"/>
        <v>0</v>
      </c>
      <c r="F218" s="600"/>
      <c r="G218" s="13">
        <f t="shared" si="46"/>
        <v>0</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900">
        <f t="shared" si="58"/>
        <v>0</v>
      </c>
      <c r="U218" s="2984">
        <f t="shared" si="52"/>
        <v>0</v>
      </c>
      <c r="V218" s="2984">
        <f t="shared" si="53"/>
        <v>0</v>
      </c>
      <c r="W218" s="997"/>
      <c r="X218" s="2984">
        <f t="shared" si="54"/>
        <v>0</v>
      </c>
      <c r="Y218" s="2984">
        <f t="shared" si="55"/>
        <v>0</v>
      </c>
      <c r="Z218" s="997"/>
    </row>
    <row r="219" spans="1:26">
      <c r="A219" s="35"/>
      <c r="B219" s="20"/>
      <c r="C219" s="13">
        <f t="shared" si="44"/>
        <v>1</v>
      </c>
      <c r="D219" s="600"/>
      <c r="E219" s="13">
        <f t="shared" si="45"/>
        <v>0</v>
      </c>
      <c r="F219" s="600"/>
      <c r="G219" s="13">
        <f t="shared" si="46"/>
        <v>0</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900">
        <f t="shared" si="58"/>
        <v>0</v>
      </c>
      <c r="U219" s="2984">
        <f t="shared" si="52"/>
        <v>0</v>
      </c>
      <c r="V219" s="2984">
        <f t="shared" si="53"/>
        <v>0</v>
      </c>
      <c r="W219" s="997"/>
      <c r="X219" s="2984">
        <f t="shared" si="54"/>
        <v>0</v>
      </c>
      <c r="Y219" s="2984">
        <f t="shared" si="55"/>
        <v>0</v>
      </c>
      <c r="Z219" s="997"/>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0</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900">
        <f t="shared" si="58"/>
        <v>0</v>
      </c>
      <c r="U220" s="2984">
        <f t="shared" ref="U220:U283" si="67">ROUND(W220*B220,0)</f>
        <v>0</v>
      </c>
      <c r="V220" s="2984">
        <f t="shared" ref="V220:V283" si="68">ROUND(W220*B220/10000,0)</f>
        <v>0</v>
      </c>
      <c r="W220" s="997"/>
      <c r="X220" s="2984">
        <f t="shared" ref="X220:X283" si="69">ROUND(Z220*B220,0)</f>
        <v>0</v>
      </c>
      <c r="Y220" s="2984">
        <f t="shared" ref="Y220:Y283" si="70">ROUND(Z220*B220/10000,0)</f>
        <v>0</v>
      </c>
      <c r="Z220" s="997"/>
    </row>
    <row r="221" spans="1:26">
      <c r="A221" s="35"/>
      <c r="B221" s="20"/>
      <c r="C221" s="13">
        <f t="shared" si="59"/>
        <v>1</v>
      </c>
      <c r="D221" s="600"/>
      <c r="E221" s="13">
        <f t="shared" si="60"/>
        <v>0</v>
      </c>
      <c r="F221" s="600"/>
      <c r="G221" s="13">
        <f t="shared" si="61"/>
        <v>0</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900">
        <f t="shared" ref="T221:T284" si="73">ROUND(R221*B221/10000,0)</f>
        <v>0</v>
      </c>
      <c r="U221" s="2984">
        <f t="shared" si="67"/>
        <v>0</v>
      </c>
      <c r="V221" s="2984">
        <f t="shared" si="68"/>
        <v>0</v>
      </c>
      <c r="W221" s="997"/>
      <c r="X221" s="2984">
        <f t="shared" si="69"/>
        <v>0</v>
      </c>
      <c r="Y221" s="2984">
        <f t="shared" si="70"/>
        <v>0</v>
      </c>
      <c r="Z221" s="997"/>
    </row>
    <row r="222" spans="1:26">
      <c r="A222" s="35"/>
      <c r="B222" s="20"/>
      <c r="C222" s="13">
        <f t="shared" si="59"/>
        <v>1</v>
      </c>
      <c r="D222" s="600"/>
      <c r="E222" s="13">
        <f t="shared" si="60"/>
        <v>0</v>
      </c>
      <c r="F222" s="600"/>
      <c r="G222" s="13">
        <f t="shared" si="61"/>
        <v>0</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900">
        <f t="shared" si="73"/>
        <v>0</v>
      </c>
      <c r="U222" s="2984">
        <f t="shared" si="67"/>
        <v>0</v>
      </c>
      <c r="V222" s="2984">
        <f t="shared" si="68"/>
        <v>0</v>
      </c>
      <c r="W222" s="997"/>
      <c r="X222" s="2984">
        <f t="shared" si="69"/>
        <v>0</v>
      </c>
      <c r="Y222" s="2984">
        <f t="shared" si="70"/>
        <v>0</v>
      </c>
      <c r="Z222" s="997"/>
    </row>
    <row r="223" spans="1:26">
      <c r="A223" s="35"/>
      <c r="B223" s="20"/>
      <c r="C223" s="13">
        <f t="shared" si="59"/>
        <v>1</v>
      </c>
      <c r="D223" s="600"/>
      <c r="E223" s="13">
        <f t="shared" si="60"/>
        <v>0</v>
      </c>
      <c r="F223" s="600"/>
      <c r="G223" s="13">
        <f t="shared" si="61"/>
        <v>0</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900">
        <f t="shared" si="73"/>
        <v>0</v>
      </c>
      <c r="U223" s="2984">
        <f t="shared" si="67"/>
        <v>0</v>
      </c>
      <c r="V223" s="2984">
        <f t="shared" si="68"/>
        <v>0</v>
      </c>
      <c r="W223" s="997"/>
      <c r="X223" s="2984">
        <f t="shared" si="69"/>
        <v>0</v>
      </c>
      <c r="Y223" s="2984">
        <f t="shared" si="70"/>
        <v>0</v>
      </c>
      <c r="Z223" s="997"/>
    </row>
    <row r="224" spans="1:26">
      <c r="A224" s="35"/>
      <c r="B224" s="20"/>
      <c r="C224" s="13">
        <f t="shared" si="59"/>
        <v>1</v>
      </c>
      <c r="D224" s="600"/>
      <c r="E224" s="13">
        <f t="shared" si="60"/>
        <v>0</v>
      </c>
      <c r="F224" s="600"/>
      <c r="G224" s="13">
        <f t="shared" si="61"/>
        <v>0</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900">
        <f t="shared" si="73"/>
        <v>0</v>
      </c>
      <c r="U224" s="2984">
        <f t="shared" si="67"/>
        <v>0</v>
      </c>
      <c r="V224" s="2984">
        <f t="shared" si="68"/>
        <v>0</v>
      </c>
      <c r="W224" s="997"/>
      <c r="X224" s="2984">
        <f t="shared" si="69"/>
        <v>0</v>
      </c>
      <c r="Y224" s="2984">
        <f t="shared" si="70"/>
        <v>0</v>
      </c>
      <c r="Z224" s="997"/>
    </row>
    <row r="225" spans="1:26">
      <c r="A225" s="35"/>
      <c r="B225" s="20"/>
      <c r="C225" s="13">
        <f t="shared" si="59"/>
        <v>1</v>
      </c>
      <c r="D225" s="600"/>
      <c r="E225" s="13">
        <f t="shared" si="60"/>
        <v>0</v>
      </c>
      <c r="F225" s="600"/>
      <c r="G225" s="13">
        <f t="shared" si="61"/>
        <v>0</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900">
        <f t="shared" si="73"/>
        <v>0</v>
      </c>
      <c r="U225" s="2984">
        <f t="shared" si="67"/>
        <v>0</v>
      </c>
      <c r="V225" s="2984">
        <f t="shared" si="68"/>
        <v>0</v>
      </c>
      <c r="W225" s="997"/>
      <c r="X225" s="2984">
        <f t="shared" si="69"/>
        <v>0</v>
      </c>
      <c r="Y225" s="2984">
        <f t="shared" si="70"/>
        <v>0</v>
      </c>
      <c r="Z225" s="997"/>
    </row>
    <row r="226" spans="1:26">
      <c r="A226" s="35"/>
      <c r="B226" s="20"/>
      <c r="C226" s="13">
        <f t="shared" si="59"/>
        <v>1</v>
      </c>
      <c r="D226" s="600"/>
      <c r="E226" s="13">
        <f t="shared" si="60"/>
        <v>0</v>
      </c>
      <c r="F226" s="600"/>
      <c r="G226" s="13">
        <f t="shared" si="61"/>
        <v>0</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900">
        <f t="shared" si="73"/>
        <v>0</v>
      </c>
      <c r="U226" s="2984">
        <f t="shared" si="67"/>
        <v>0</v>
      </c>
      <c r="V226" s="2984">
        <f t="shared" si="68"/>
        <v>0</v>
      </c>
      <c r="W226" s="997"/>
      <c r="X226" s="2984">
        <f t="shared" si="69"/>
        <v>0</v>
      </c>
      <c r="Y226" s="2984">
        <f t="shared" si="70"/>
        <v>0</v>
      </c>
      <c r="Z226" s="997"/>
    </row>
    <row r="227" spans="1:26">
      <c r="A227" s="35"/>
      <c r="B227" s="20"/>
      <c r="C227" s="13">
        <f t="shared" si="59"/>
        <v>1</v>
      </c>
      <c r="D227" s="600"/>
      <c r="E227" s="13">
        <f t="shared" si="60"/>
        <v>0</v>
      </c>
      <c r="F227" s="600"/>
      <c r="G227" s="13">
        <f t="shared" si="61"/>
        <v>0</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900">
        <f t="shared" si="73"/>
        <v>0</v>
      </c>
      <c r="U227" s="2984">
        <f t="shared" si="67"/>
        <v>0</v>
      </c>
      <c r="V227" s="2984">
        <f t="shared" si="68"/>
        <v>0</v>
      </c>
      <c r="W227" s="997"/>
      <c r="X227" s="2984">
        <f t="shared" si="69"/>
        <v>0</v>
      </c>
      <c r="Y227" s="2984">
        <f t="shared" si="70"/>
        <v>0</v>
      </c>
      <c r="Z227" s="997"/>
    </row>
    <row r="228" spans="1:26">
      <c r="A228" s="35"/>
      <c r="B228" s="20"/>
      <c r="C228" s="13">
        <f t="shared" si="59"/>
        <v>1</v>
      </c>
      <c r="D228" s="600"/>
      <c r="E228" s="13">
        <f t="shared" si="60"/>
        <v>0</v>
      </c>
      <c r="F228" s="600"/>
      <c r="G228" s="13">
        <f t="shared" si="61"/>
        <v>0</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900">
        <f t="shared" si="73"/>
        <v>0</v>
      </c>
      <c r="U228" s="2984">
        <f t="shared" si="67"/>
        <v>0</v>
      </c>
      <c r="V228" s="2984">
        <f t="shared" si="68"/>
        <v>0</v>
      </c>
      <c r="W228" s="997"/>
      <c r="X228" s="2984">
        <f t="shared" si="69"/>
        <v>0</v>
      </c>
      <c r="Y228" s="2984">
        <f t="shared" si="70"/>
        <v>0</v>
      </c>
      <c r="Z228" s="997"/>
    </row>
    <row r="229" spans="1:26">
      <c r="A229" s="35"/>
      <c r="B229" s="20"/>
      <c r="C229" s="13">
        <f t="shared" si="59"/>
        <v>1</v>
      </c>
      <c r="D229" s="600"/>
      <c r="E229" s="13">
        <f t="shared" si="60"/>
        <v>0</v>
      </c>
      <c r="F229" s="600"/>
      <c r="G229" s="13">
        <f t="shared" si="61"/>
        <v>0</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900">
        <f t="shared" si="73"/>
        <v>0</v>
      </c>
      <c r="U229" s="2984">
        <f t="shared" si="67"/>
        <v>0</v>
      </c>
      <c r="V229" s="2984">
        <f t="shared" si="68"/>
        <v>0</v>
      </c>
      <c r="W229" s="997"/>
      <c r="X229" s="2984">
        <f t="shared" si="69"/>
        <v>0</v>
      </c>
      <c r="Y229" s="2984">
        <f t="shared" si="70"/>
        <v>0</v>
      </c>
      <c r="Z229" s="997"/>
    </row>
    <row r="230" spans="1:26">
      <c r="A230" s="35"/>
      <c r="B230" s="20"/>
      <c r="C230" s="13">
        <f t="shared" si="59"/>
        <v>1</v>
      </c>
      <c r="D230" s="600"/>
      <c r="E230" s="13">
        <f t="shared" si="60"/>
        <v>0</v>
      </c>
      <c r="F230" s="600"/>
      <c r="G230" s="13">
        <f t="shared" si="61"/>
        <v>0</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900">
        <f t="shared" si="73"/>
        <v>0</v>
      </c>
      <c r="U230" s="2984">
        <f t="shared" si="67"/>
        <v>0</v>
      </c>
      <c r="V230" s="2984">
        <f t="shared" si="68"/>
        <v>0</v>
      </c>
      <c r="W230" s="997"/>
      <c r="X230" s="2984">
        <f t="shared" si="69"/>
        <v>0</v>
      </c>
      <c r="Y230" s="2984">
        <f t="shared" si="70"/>
        <v>0</v>
      </c>
      <c r="Z230" s="997"/>
    </row>
    <row r="231" spans="1:26">
      <c r="A231" s="35"/>
      <c r="B231" s="20"/>
      <c r="C231" s="13">
        <f t="shared" si="59"/>
        <v>1</v>
      </c>
      <c r="D231" s="600"/>
      <c r="E231" s="13">
        <f t="shared" si="60"/>
        <v>0</v>
      </c>
      <c r="F231" s="600"/>
      <c r="G231" s="13">
        <f t="shared" si="61"/>
        <v>0</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900">
        <f t="shared" si="73"/>
        <v>0</v>
      </c>
      <c r="U231" s="2984">
        <f t="shared" si="67"/>
        <v>0</v>
      </c>
      <c r="V231" s="2984">
        <f t="shared" si="68"/>
        <v>0</v>
      </c>
      <c r="W231" s="997"/>
      <c r="X231" s="2984">
        <f t="shared" si="69"/>
        <v>0</v>
      </c>
      <c r="Y231" s="2984">
        <f t="shared" si="70"/>
        <v>0</v>
      </c>
      <c r="Z231" s="997"/>
    </row>
    <row r="232" spans="1:26">
      <c r="A232" s="35"/>
      <c r="B232" s="20"/>
      <c r="C232" s="13">
        <f t="shared" si="59"/>
        <v>1</v>
      </c>
      <c r="D232" s="600"/>
      <c r="E232" s="13">
        <f t="shared" si="60"/>
        <v>0</v>
      </c>
      <c r="F232" s="600"/>
      <c r="G232" s="13">
        <f t="shared" si="61"/>
        <v>0</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900">
        <f t="shared" si="73"/>
        <v>0</v>
      </c>
      <c r="U232" s="2984">
        <f t="shared" si="67"/>
        <v>0</v>
      </c>
      <c r="V232" s="2984">
        <f t="shared" si="68"/>
        <v>0</v>
      </c>
      <c r="W232" s="997"/>
      <c r="X232" s="2984">
        <f t="shared" si="69"/>
        <v>0</v>
      </c>
      <c r="Y232" s="2984">
        <f t="shared" si="70"/>
        <v>0</v>
      </c>
      <c r="Z232" s="997"/>
    </row>
    <row r="233" spans="1:26">
      <c r="A233" s="35"/>
      <c r="B233" s="20"/>
      <c r="C233" s="13">
        <f t="shared" si="59"/>
        <v>1</v>
      </c>
      <c r="D233" s="600"/>
      <c r="E233" s="13">
        <f t="shared" si="60"/>
        <v>0</v>
      </c>
      <c r="F233" s="600"/>
      <c r="G233" s="13">
        <f t="shared" si="61"/>
        <v>0</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900">
        <f t="shared" si="73"/>
        <v>0</v>
      </c>
      <c r="U233" s="2984">
        <f t="shared" si="67"/>
        <v>0</v>
      </c>
      <c r="V233" s="2984">
        <f t="shared" si="68"/>
        <v>0</v>
      </c>
      <c r="W233" s="997"/>
      <c r="X233" s="2984">
        <f t="shared" si="69"/>
        <v>0</v>
      </c>
      <c r="Y233" s="2984">
        <f t="shared" si="70"/>
        <v>0</v>
      </c>
      <c r="Z233" s="997"/>
    </row>
    <row r="234" spans="1:26">
      <c r="A234" s="35"/>
      <c r="B234" s="20"/>
      <c r="C234" s="13">
        <f t="shared" si="59"/>
        <v>1</v>
      </c>
      <c r="D234" s="600"/>
      <c r="E234" s="13">
        <f t="shared" si="60"/>
        <v>0</v>
      </c>
      <c r="F234" s="600"/>
      <c r="G234" s="13">
        <f t="shared" si="61"/>
        <v>0</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900">
        <f t="shared" si="73"/>
        <v>0</v>
      </c>
      <c r="U234" s="2984">
        <f t="shared" si="67"/>
        <v>0</v>
      </c>
      <c r="V234" s="2984">
        <f t="shared" si="68"/>
        <v>0</v>
      </c>
      <c r="W234" s="997"/>
      <c r="X234" s="2984">
        <f t="shared" si="69"/>
        <v>0</v>
      </c>
      <c r="Y234" s="2984">
        <f t="shared" si="70"/>
        <v>0</v>
      </c>
      <c r="Z234" s="997"/>
    </row>
    <row r="235" spans="1:26">
      <c r="A235" s="35"/>
      <c r="B235" s="20"/>
      <c r="C235" s="13">
        <f t="shared" si="59"/>
        <v>1</v>
      </c>
      <c r="D235" s="600"/>
      <c r="E235" s="13">
        <f t="shared" si="60"/>
        <v>0</v>
      </c>
      <c r="F235" s="600"/>
      <c r="G235" s="13">
        <f t="shared" si="61"/>
        <v>0</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900">
        <f t="shared" si="73"/>
        <v>0</v>
      </c>
      <c r="U235" s="2984">
        <f t="shared" si="67"/>
        <v>0</v>
      </c>
      <c r="V235" s="2984">
        <f t="shared" si="68"/>
        <v>0</v>
      </c>
      <c r="W235" s="997"/>
      <c r="X235" s="2984">
        <f t="shared" si="69"/>
        <v>0</v>
      </c>
      <c r="Y235" s="2984">
        <f t="shared" si="70"/>
        <v>0</v>
      </c>
      <c r="Z235" s="997"/>
    </row>
    <row r="236" spans="1:26">
      <c r="A236" s="35"/>
      <c r="B236" s="20"/>
      <c r="C236" s="13">
        <f t="shared" si="59"/>
        <v>1</v>
      </c>
      <c r="D236" s="600"/>
      <c r="E236" s="13">
        <f t="shared" si="60"/>
        <v>0</v>
      </c>
      <c r="F236" s="600"/>
      <c r="G236" s="13">
        <f t="shared" si="61"/>
        <v>0</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900">
        <f t="shared" si="73"/>
        <v>0</v>
      </c>
      <c r="U236" s="2984">
        <f t="shared" si="67"/>
        <v>0</v>
      </c>
      <c r="V236" s="2984">
        <f t="shared" si="68"/>
        <v>0</v>
      </c>
      <c r="W236" s="997"/>
      <c r="X236" s="2984">
        <f t="shared" si="69"/>
        <v>0</v>
      </c>
      <c r="Y236" s="2984">
        <f t="shared" si="70"/>
        <v>0</v>
      </c>
      <c r="Z236" s="997"/>
    </row>
    <row r="237" spans="1:26">
      <c r="A237" s="35"/>
      <c r="B237" s="20"/>
      <c r="C237" s="13">
        <f t="shared" si="59"/>
        <v>1</v>
      </c>
      <c r="D237" s="600"/>
      <c r="E237" s="13">
        <f t="shared" si="60"/>
        <v>0</v>
      </c>
      <c r="F237" s="600"/>
      <c r="G237" s="13">
        <f t="shared" si="61"/>
        <v>0</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900">
        <f t="shared" si="73"/>
        <v>0</v>
      </c>
      <c r="U237" s="2984">
        <f t="shared" si="67"/>
        <v>0</v>
      </c>
      <c r="V237" s="2984">
        <f t="shared" si="68"/>
        <v>0</v>
      </c>
      <c r="W237" s="997"/>
      <c r="X237" s="2984">
        <f t="shared" si="69"/>
        <v>0</v>
      </c>
      <c r="Y237" s="2984">
        <f t="shared" si="70"/>
        <v>0</v>
      </c>
      <c r="Z237" s="997"/>
    </row>
    <row r="238" spans="1:26">
      <c r="A238" s="35"/>
      <c r="B238" s="20"/>
      <c r="C238" s="13">
        <f t="shared" si="59"/>
        <v>1</v>
      </c>
      <c r="D238" s="600"/>
      <c r="E238" s="13">
        <f t="shared" si="60"/>
        <v>0</v>
      </c>
      <c r="F238" s="600"/>
      <c r="G238" s="13">
        <f t="shared" si="61"/>
        <v>0</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900">
        <f t="shared" si="73"/>
        <v>0</v>
      </c>
      <c r="U238" s="2984">
        <f t="shared" si="67"/>
        <v>0</v>
      </c>
      <c r="V238" s="2984">
        <f t="shared" si="68"/>
        <v>0</v>
      </c>
      <c r="W238" s="997"/>
      <c r="X238" s="2984">
        <f t="shared" si="69"/>
        <v>0</v>
      </c>
      <c r="Y238" s="2984">
        <f t="shared" si="70"/>
        <v>0</v>
      </c>
      <c r="Z238" s="997"/>
    </row>
    <row r="239" spans="1:26">
      <c r="A239" s="35"/>
      <c r="B239" s="20"/>
      <c r="C239" s="13">
        <f t="shared" si="59"/>
        <v>1</v>
      </c>
      <c r="D239" s="600"/>
      <c r="E239" s="13">
        <f t="shared" si="60"/>
        <v>0</v>
      </c>
      <c r="F239" s="600"/>
      <c r="G239" s="13">
        <f t="shared" si="61"/>
        <v>0</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900">
        <f t="shared" si="73"/>
        <v>0</v>
      </c>
      <c r="U239" s="2984">
        <f t="shared" si="67"/>
        <v>0</v>
      </c>
      <c r="V239" s="2984">
        <f t="shared" si="68"/>
        <v>0</v>
      </c>
      <c r="W239" s="997"/>
      <c r="X239" s="2984">
        <f t="shared" si="69"/>
        <v>0</v>
      </c>
      <c r="Y239" s="2984">
        <f t="shared" si="70"/>
        <v>0</v>
      </c>
      <c r="Z239" s="997"/>
    </row>
    <row r="240" spans="1:26">
      <c r="A240" s="35"/>
      <c r="B240" s="20"/>
      <c r="C240" s="13">
        <f t="shared" si="59"/>
        <v>1</v>
      </c>
      <c r="D240" s="600"/>
      <c r="E240" s="13">
        <f t="shared" si="60"/>
        <v>0</v>
      </c>
      <c r="F240" s="600"/>
      <c r="G240" s="13">
        <f t="shared" si="61"/>
        <v>0</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900">
        <f t="shared" si="73"/>
        <v>0</v>
      </c>
      <c r="U240" s="2984">
        <f t="shared" si="67"/>
        <v>0</v>
      </c>
      <c r="V240" s="2984">
        <f t="shared" si="68"/>
        <v>0</v>
      </c>
      <c r="W240" s="997"/>
      <c r="X240" s="2984">
        <f t="shared" si="69"/>
        <v>0</v>
      </c>
      <c r="Y240" s="2984">
        <f t="shared" si="70"/>
        <v>0</v>
      </c>
      <c r="Z240" s="997"/>
    </row>
    <row r="241" spans="1:26">
      <c r="A241" s="35"/>
      <c r="B241" s="20"/>
      <c r="C241" s="13">
        <f t="shared" si="59"/>
        <v>1</v>
      </c>
      <c r="D241" s="600"/>
      <c r="E241" s="13">
        <f t="shared" si="60"/>
        <v>0</v>
      </c>
      <c r="F241" s="600"/>
      <c r="G241" s="13">
        <f t="shared" si="61"/>
        <v>0</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900">
        <f t="shared" si="73"/>
        <v>0</v>
      </c>
      <c r="U241" s="2984">
        <f t="shared" si="67"/>
        <v>0</v>
      </c>
      <c r="V241" s="2984">
        <f t="shared" si="68"/>
        <v>0</v>
      </c>
      <c r="W241" s="997"/>
      <c r="X241" s="2984">
        <f t="shared" si="69"/>
        <v>0</v>
      </c>
      <c r="Y241" s="2984">
        <f t="shared" si="70"/>
        <v>0</v>
      </c>
      <c r="Z241" s="997"/>
    </row>
    <row r="242" spans="1:26">
      <c r="A242" s="35"/>
      <c r="B242" s="20"/>
      <c r="C242" s="13">
        <f t="shared" si="59"/>
        <v>1</v>
      </c>
      <c r="D242" s="600"/>
      <c r="E242" s="13">
        <f t="shared" si="60"/>
        <v>0</v>
      </c>
      <c r="F242" s="600"/>
      <c r="G242" s="13">
        <f t="shared" si="61"/>
        <v>0</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900">
        <f t="shared" si="73"/>
        <v>0</v>
      </c>
      <c r="U242" s="2984">
        <f t="shared" si="67"/>
        <v>0</v>
      </c>
      <c r="V242" s="2984">
        <f t="shared" si="68"/>
        <v>0</v>
      </c>
      <c r="W242" s="997"/>
      <c r="X242" s="2984">
        <f t="shared" si="69"/>
        <v>0</v>
      </c>
      <c r="Y242" s="2984">
        <f t="shared" si="70"/>
        <v>0</v>
      </c>
      <c r="Z242" s="997"/>
    </row>
    <row r="243" spans="1:26">
      <c r="A243" s="35"/>
      <c r="B243" s="20"/>
      <c r="C243" s="13">
        <f t="shared" si="59"/>
        <v>1</v>
      </c>
      <c r="D243" s="600"/>
      <c r="E243" s="13">
        <f t="shared" si="60"/>
        <v>0</v>
      </c>
      <c r="F243" s="600"/>
      <c r="G243" s="13">
        <f t="shared" si="61"/>
        <v>0</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900">
        <f t="shared" si="73"/>
        <v>0</v>
      </c>
      <c r="U243" s="2984">
        <f t="shared" si="67"/>
        <v>0</v>
      </c>
      <c r="V243" s="2984">
        <f t="shared" si="68"/>
        <v>0</v>
      </c>
      <c r="W243" s="997"/>
      <c r="X243" s="2984">
        <f t="shared" si="69"/>
        <v>0</v>
      </c>
      <c r="Y243" s="2984">
        <f t="shared" si="70"/>
        <v>0</v>
      </c>
      <c r="Z243" s="997"/>
    </row>
    <row r="244" spans="1:26">
      <c r="A244" s="35"/>
      <c r="B244" s="20"/>
      <c r="C244" s="13">
        <f t="shared" si="59"/>
        <v>1</v>
      </c>
      <c r="D244" s="600"/>
      <c r="E244" s="13">
        <f t="shared" si="60"/>
        <v>0</v>
      </c>
      <c r="F244" s="600"/>
      <c r="G244" s="13">
        <f t="shared" si="61"/>
        <v>0</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900">
        <f t="shared" si="73"/>
        <v>0</v>
      </c>
      <c r="U244" s="2984">
        <f t="shared" si="67"/>
        <v>0</v>
      </c>
      <c r="V244" s="2984">
        <f t="shared" si="68"/>
        <v>0</v>
      </c>
      <c r="W244" s="997"/>
      <c r="X244" s="2984">
        <f t="shared" si="69"/>
        <v>0</v>
      </c>
      <c r="Y244" s="2984">
        <f t="shared" si="70"/>
        <v>0</v>
      </c>
      <c r="Z244" s="997"/>
    </row>
    <row r="245" spans="1:26">
      <c r="A245" s="35"/>
      <c r="B245" s="20"/>
      <c r="C245" s="13">
        <f t="shared" si="59"/>
        <v>1</v>
      </c>
      <c r="D245" s="600"/>
      <c r="E245" s="13">
        <f t="shared" si="60"/>
        <v>0</v>
      </c>
      <c r="F245" s="600"/>
      <c r="G245" s="13">
        <f t="shared" si="61"/>
        <v>0</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900">
        <f t="shared" si="73"/>
        <v>0</v>
      </c>
      <c r="U245" s="2984">
        <f t="shared" si="67"/>
        <v>0</v>
      </c>
      <c r="V245" s="2984">
        <f t="shared" si="68"/>
        <v>0</v>
      </c>
      <c r="W245" s="997"/>
      <c r="X245" s="2984">
        <f t="shared" si="69"/>
        <v>0</v>
      </c>
      <c r="Y245" s="2984">
        <f t="shared" si="70"/>
        <v>0</v>
      </c>
      <c r="Z245" s="997"/>
    </row>
    <row r="246" spans="1:26">
      <c r="A246" s="35"/>
      <c r="B246" s="20"/>
      <c r="C246" s="13">
        <f t="shared" si="59"/>
        <v>1</v>
      </c>
      <c r="D246" s="600"/>
      <c r="E246" s="13">
        <f t="shared" si="60"/>
        <v>0</v>
      </c>
      <c r="F246" s="600"/>
      <c r="G246" s="13">
        <f t="shared" si="61"/>
        <v>0</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900">
        <f t="shared" si="73"/>
        <v>0</v>
      </c>
      <c r="U246" s="2984">
        <f t="shared" si="67"/>
        <v>0</v>
      </c>
      <c r="V246" s="2984">
        <f t="shared" si="68"/>
        <v>0</v>
      </c>
      <c r="W246" s="997"/>
      <c r="X246" s="2984">
        <f t="shared" si="69"/>
        <v>0</v>
      </c>
      <c r="Y246" s="2984">
        <f t="shared" si="70"/>
        <v>0</v>
      </c>
      <c r="Z246" s="997"/>
    </row>
    <row r="247" spans="1:26">
      <c r="A247" s="35"/>
      <c r="B247" s="20"/>
      <c r="C247" s="13">
        <f t="shared" si="59"/>
        <v>1</v>
      </c>
      <c r="D247" s="600"/>
      <c r="E247" s="13">
        <f t="shared" si="60"/>
        <v>0</v>
      </c>
      <c r="F247" s="600"/>
      <c r="G247" s="13">
        <f t="shared" si="61"/>
        <v>0</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900">
        <f t="shared" si="73"/>
        <v>0</v>
      </c>
      <c r="U247" s="2984">
        <f t="shared" si="67"/>
        <v>0</v>
      </c>
      <c r="V247" s="2984">
        <f t="shared" si="68"/>
        <v>0</v>
      </c>
      <c r="W247" s="997"/>
      <c r="X247" s="2984">
        <f t="shared" si="69"/>
        <v>0</v>
      </c>
      <c r="Y247" s="2984">
        <f t="shared" si="70"/>
        <v>0</v>
      </c>
      <c r="Z247" s="997"/>
    </row>
    <row r="248" spans="1:26">
      <c r="A248" s="35"/>
      <c r="B248" s="20"/>
      <c r="C248" s="13">
        <f t="shared" si="59"/>
        <v>1</v>
      </c>
      <c r="D248" s="600"/>
      <c r="E248" s="13">
        <f t="shared" si="60"/>
        <v>0</v>
      </c>
      <c r="F248" s="600"/>
      <c r="G248" s="13">
        <f t="shared" si="61"/>
        <v>0</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900">
        <f t="shared" si="73"/>
        <v>0</v>
      </c>
      <c r="U248" s="2984">
        <f t="shared" si="67"/>
        <v>0</v>
      </c>
      <c r="V248" s="2984">
        <f t="shared" si="68"/>
        <v>0</v>
      </c>
      <c r="W248" s="997"/>
      <c r="X248" s="2984">
        <f t="shared" si="69"/>
        <v>0</v>
      </c>
      <c r="Y248" s="2984">
        <f t="shared" si="70"/>
        <v>0</v>
      </c>
      <c r="Z248" s="997"/>
    </row>
    <row r="249" spans="1:26">
      <c r="A249" s="35"/>
      <c r="B249" s="20"/>
      <c r="C249" s="13">
        <f t="shared" si="59"/>
        <v>1</v>
      </c>
      <c r="D249" s="600"/>
      <c r="E249" s="13">
        <f t="shared" si="60"/>
        <v>0</v>
      </c>
      <c r="F249" s="600"/>
      <c r="G249" s="13">
        <f t="shared" si="61"/>
        <v>0</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900">
        <f t="shared" si="73"/>
        <v>0</v>
      </c>
      <c r="U249" s="2984">
        <f t="shared" si="67"/>
        <v>0</v>
      </c>
      <c r="V249" s="2984">
        <f t="shared" si="68"/>
        <v>0</v>
      </c>
      <c r="W249" s="997"/>
      <c r="X249" s="2984">
        <f t="shared" si="69"/>
        <v>0</v>
      </c>
      <c r="Y249" s="2984">
        <f t="shared" si="70"/>
        <v>0</v>
      </c>
      <c r="Z249" s="997"/>
    </row>
    <row r="250" spans="1:26">
      <c r="A250" s="35"/>
      <c r="B250" s="20"/>
      <c r="C250" s="13">
        <f t="shared" si="59"/>
        <v>1</v>
      </c>
      <c r="D250" s="600"/>
      <c r="E250" s="13">
        <f t="shared" si="60"/>
        <v>0</v>
      </c>
      <c r="F250" s="600"/>
      <c r="G250" s="13">
        <f t="shared" si="61"/>
        <v>0</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900">
        <f t="shared" si="73"/>
        <v>0</v>
      </c>
      <c r="U250" s="2984">
        <f t="shared" si="67"/>
        <v>0</v>
      </c>
      <c r="V250" s="2984">
        <f t="shared" si="68"/>
        <v>0</v>
      </c>
      <c r="W250" s="997"/>
      <c r="X250" s="2984">
        <f t="shared" si="69"/>
        <v>0</v>
      </c>
      <c r="Y250" s="2984">
        <f t="shared" si="70"/>
        <v>0</v>
      </c>
      <c r="Z250" s="997"/>
    </row>
    <row r="251" spans="1:26">
      <c r="A251" s="35"/>
      <c r="B251" s="20"/>
      <c r="C251" s="13">
        <f t="shared" si="59"/>
        <v>1</v>
      </c>
      <c r="D251" s="600"/>
      <c r="E251" s="13">
        <f t="shared" si="60"/>
        <v>0</v>
      </c>
      <c r="F251" s="600"/>
      <c r="G251" s="13">
        <f t="shared" si="61"/>
        <v>0</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900">
        <f t="shared" si="73"/>
        <v>0</v>
      </c>
      <c r="U251" s="2984">
        <f t="shared" si="67"/>
        <v>0</v>
      </c>
      <c r="V251" s="2984">
        <f t="shared" si="68"/>
        <v>0</v>
      </c>
      <c r="W251" s="997"/>
      <c r="X251" s="2984">
        <f t="shared" si="69"/>
        <v>0</v>
      </c>
      <c r="Y251" s="2984">
        <f t="shared" si="70"/>
        <v>0</v>
      </c>
      <c r="Z251" s="997"/>
    </row>
    <row r="252" spans="1:26">
      <c r="A252" s="35"/>
      <c r="B252" s="20"/>
      <c r="C252" s="13">
        <f t="shared" si="59"/>
        <v>1</v>
      </c>
      <c r="D252" s="600"/>
      <c r="E252" s="13">
        <f t="shared" si="60"/>
        <v>0</v>
      </c>
      <c r="F252" s="600"/>
      <c r="G252" s="13">
        <f t="shared" si="61"/>
        <v>0</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900">
        <f t="shared" si="73"/>
        <v>0</v>
      </c>
      <c r="U252" s="2984">
        <f t="shared" si="67"/>
        <v>0</v>
      </c>
      <c r="V252" s="2984">
        <f t="shared" si="68"/>
        <v>0</v>
      </c>
      <c r="W252" s="997"/>
      <c r="X252" s="2984">
        <f t="shared" si="69"/>
        <v>0</v>
      </c>
      <c r="Y252" s="2984">
        <f t="shared" si="70"/>
        <v>0</v>
      </c>
      <c r="Z252" s="997"/>
    </row>
    <row r="253" spans="1:26">
      <c r="A253" s="35"/>
      <c r="B253" s="20"/>
      <c r="C253" s="13">
        <f t="shared" si="59"/>
        <v>1</v>
      </c>
      <c r="D253" s="600"/>
      <c r="E253" s="13">
        <f t="shared" si="60"/>
        <v>0</v>
      </c>
      <c r="F253" s="600"/>
      <c r="G253" s="13">
        <f t="shared" si="61"/>
        <v>0</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900">
        <f t="shared" si="73"/>
        <v>0</v>
      </c>
      <c r="U253" s="2984">
        <f t="shared" si="67"/>
        <v>0</v>
      </c>
      <c r="V253" s="2984">
        <f t="shared" si="68"/>
        <v>0</v>
      </c>
      <c r="W253" s="997"/>
      <c r="X253" s="2984">
        <f t="shared" si="69"/>
        <v>0</v>
      </c>
      <c r="Y253" s="2984">
        <f t="shared" si="70"/>
        <v>0</v>
      </c>
      <c r="Z253" s="997"/>
    </row>
    <row r="254" spans="1:26">
      <c r="A254" s="35"/>
      <c r="B254" s="20"/>
      <c r="C254" s="13">
        <f t="shared" si="59"/>
        <v>1</v>
      </c>
      <c r="D254" s="600"/>
      <c r="E254" s="13">
        <f t="shared" si="60"/>
        <v>0</v>
      </c>
      <c r="F254" s="600"/>
      <c r="G254" s="13">
        <f t="shared" si="61"/>
        <v>0</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900">
        <f t="shared" si="73"/>
        <v>0</v>
      </c>
      <c r="U254" s="2984">
        <f t="shared" si="67"/>
        <v>0</v>
      </c>
      <c r="V254" s="2984">
        <f t="shared" si="68"/>
        <v>0</v>
      </c>
      <c r="W254" s="997"/>
      <c r="X254" s="2984">
        <f t="shared" si="69"/>
        <v>0</v>
      </c>
      <c r="Y254" s="2984">
        <f t="shared" si="70"/>
        <v>0</v>
      </c>
      <c r="Z254" s="997"/>
    </row>
    <row r="255" spans="1:26">
      <c r="A255" s="35"/>
      <c r="B255" s="20"/>
      <c r="C255" s="13">
        <f t="shared" si="59"/>
        <v>1</v>
      </c>
      <c r="D255" s="600"/>
      <c r="E255" s="13">
        <f t="shared" si="60"/>
        <v>0</v>
      </c>
      <c r="F255" s="600"/>
      <c r="G255" s="13">
        <f t="shared" si="61"/>
        <v>0</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900">
        <f t="shared" si="73"/>
        <v>0</v>
      </c>
      <c r="U255" s="2984">
        <f t="shared" si="67"/>
        <v>0</v>
      </c>
      <c r="V255" s="2984">
        <f t="shared" si="68"/>
        <v>0</v>
      </c>
      <c r="W255" s="997"/>
      <c r="X255" s="2984">
        <f t="shared" si="69"/>
        <v>0</v>
      </c>
      <c r="Y255" s="2984">
        <f t="shared" si="70"/>
        <v>0</v>
      </c>
      <c r="Z255" s="997"/>
    </row>
    <row r="256" spans="1:26">
      <c r="A256" s="35"/>
      <c r="B256" s="20"/>
      <c r="C256" s="13">
        <f t="shared" si="59"/>
        <v>1</v>
      </c>
      <c r="D256" s="600"/>
      <c r="E256" s="13">
        <f t="shared" si="60"/>
        <v>0</v>
      </c>
      <c r="F256" s="600"/>
      <c r="G256" s="13">
        <f t="shared" si="61"/>
        <v>0</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900">
        <f t="shared" si="73"/>
        <v>0</v>
      </c>
      <c r="U256" s="2984">
        <f t="shared" si="67"/>
        <v>0</v>
      </c>
      <c r="V256" s="2984">
        <f t="shared" si="68"/>
        <v>0</v>
      </c>
      <c r="W256" s="997"/>
      <c r="X256" s="2984">
        <f t="shared" si="69"/>
        <v>0</v>
      </c>
      <c r="Y256" s="2984">
        <f t="shared" si="70"/>
        <v>0</v>
      </c>
      <c r="Z256" s="997"/>
    </row>
    <row r="257" spans="1:26">
      <c r="A257" s="35"/>
      <c r="B257" s="20"/>
      <c r="C257" s="13">
        <f t="shared" si="59"/>
        <v>1</v>
      </c>
      <c r="D257" s="600"/>
      <c r="E257" s="13">
        <f t="shared" si="60"/>
        <v>0</v>
      </c>
      <c r="F257" s="600"/>
      <c r="G257" s="13">
        <f t="shared" si="61"/>
        <v>0</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900">
        <f t="shared" si="73"/>
        <v>0</v>
      </c>
      <c r="U257" s="2984">
        <f t="shared" si="67"/>
        <v>0</v>
      </c>
      <c r="V257" s="2984">
        <f t="shared" si="68"/>
        <v>0</v>
      </c>
      <c r="W257" s="997"/>
      <c r="X257" s="2984">
        <f t="shared" si="69"/>
        <v>0</v>
      </c>
      <c r="Y257" s="2984">
        <f t="shared" si="70"/>
        <v>0</v>
      </c>
      <c r="Z257" s="997"/>
    </row>
    <row r="258" spans="1:26">
      <c r="A258" s="35"/>
      <c r="B258" s="20"/>
      <c r="C258" s="13">
        <f t="shared" si="59"/>
        <v>1</v>
      </c>
      <c r="D258" s="600"/>
      <c r="E258" s="13">
        <f t="shared" si="60"/>
        <v>0</v>
      </c>
      <c r="F258" s="600"/>
      <c r="G258" s="13">
        <f t="shared" si="61"/>
        <v>0</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900">
        <f t="shared" si="73"/>
        <v>0</v>
      </c>
      <c r="U258" s="2984">
        <f t="shared" si="67"/>
        <v>0</v>
      </c>
      <c r="V258" s="2984">
        <f t="shared" si="68"/>
        <v>0</v>
      </c>
      <c r="W258" s="997"/>
      <c r="X258" s="2984">
        <f t="shared" si="69"/>
        <v>0</v>
      </c>
      <c r="Y258" s="2984">
        <f t="shared" si="70"/>
        <v>0</v>
      </c>
      <c r="Z258" s="997"/>
    </row>
    <row r="259" spans="1:26">
      <c r="A259" s="35"/>
      <c r="B259" s="20"/>
      <c r="C259" s="13">
        <f t="shared" si="59"/>
        <v>1</v>
      </c>
      <c r="D259" s="600"/>
      <c r="E259" s="13">
        <f t="shared" si="60"/>
        <v>0</v>
      </c>
      <c r="F259" s="600"/>
      <c r="G259" s="13">
        <f t="shared" si="61"/>
        <v>0</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900">
        <f t="shared" si="73"/>
        <v>0</v>
      </c>
      <c r="U259" s="2984">
        <f t="shared" si="67"/>
        <v>0</v>
      </c>
      <c r="V259" s="2984">
        <f t="shared" si="68"/>
        <v>0</v>
      </c>
      <c r="W259" s="997"/>
      <c r="X259" s="2984">
        <f t="shared" si="69"/>
        <v>0</v>
      </c>
      <c r="Y259" s="2984">
        <f t="shared" si="70"/>
        <v>0</v>
      </c>
      <c r="Z259" s="997"/>
    </row>
    <row r="260" spans="1:26">
      <c r="A260" s="35"/>
      <c r="B260" s="20"/>
      <c r="C260" s="13">
        <f t="shared" si="59"/>
        <v>1</v>
      </c>
      <c r="D260" s="600"/>
      <c r="E260" s="13">
        <f t="shared" si="60"/>
        <v>0</v>
      </c>
      <c r="F260" s="600"/>
      <c r="G260" s="13">
        <f t="shared" si="61"/>
        <v>0</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900">
        <f t="shared" si="73"/>
        <v>0</v>
      </c>
      <c r="U260" s="2984">
        <f t="shared" si="67"/>
        <v>0</v>
      </c>
      <c r="V260" s="2984">
        <f t="shared" si="68"/>
        <v>0</v>
      </c>
      <c r="W260" s="997"/>
      <c r="X260" s="2984">
        <f t="shared" si="69"/>
        <v>0</v>
      </c>
      <c r="Y260" s="2984">
        <f t="shared" si="70"/>
        <v>0</v>
      </c>
      <c r="Z260" s="997"/>
    </row>
    <row r="261" spans="1:26">
      <c r="A261" s="35"/>
      <c r="B261" s="20"/>
      <c r="C261" s="13">
        <f t="shared" si="59"/>
        <v>1</v>
      </c>
      <c r="D261" s="600"/>
      <c r="E261" s="13">
        <f t="shared" si="60"/>
        <v>0</v>
      </c>
      <c r="F261" s="600"/>
      <c r="G261" s="13">
        <f t="shared" si="61"/>
        <v>0</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900">
        <f t="shared" si="73"/>
        <v>0</v>
      </c>
      <c r="U261" s="2984">
        <f t="shared" si="67"/>
        <v>0</v>
      </c>
      <c r="V261" s="2984">
        <f t="shared" si="68"/>
        <v>0</v>
      </c>
      <c r="W261" s="997"/>
      <c r="X261" s="2984">
        <f t="shared" si="69"/>
        <v>0</v>
      </c>
      <c r="Y261" s="2984">
        <f t="shared" si="70"/>
        <v>0</v>
      </c>
      <c r="Z261" s="997"/>
    </row>
    <row r="262" spans="1:26">
      <c r="A262" s="35"/>
      <c r="B262" s="20"/>
      <c r="C262" s="13">
        <f t="shared" si="59"/>
        <v>1</v>
      </c>
      <c r="D262" s="600"/>
      <c r="E262" s="13">
        <f t="shared" si="60"/>
        <v>0</v>
      </c>
      <c r="F262" s="600"/>
      <c r="G262" s="13">
        <f t="shared" si="61"/>
        <v>0</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900">
        <f t="shared" si="73"/>
        <v>0</v>
      </c>
      <c r="U262" s="2984">
        <f t="shared" si="67"/>
        <v>0</v>
      </c>
      <c r="V262" s="2984">
        <f t="shared" si="68"/>
        <v>0</v>
      </c>
      <c r="W262" s="997"/>
      <c r="X262" s="2984">
        <f t="shared" si="69"/>
        <v>0</v>
      </c>
      <c r="Y262" s="2984">
        <f t="shared" si="70"/>
        <v>0</v>
      </c>
      <c r="Z262" s="997"/>
    </row>
    <row r="263" spans="1:26">
      <c r="A263" s="35"/>
      <c r="B263" s="20"/>
      <c r="C263" s="13">
        <f t="shared" si="59"/>
        <v>1</v>
      </c>
      <c r="D263" s="600"/>
      <c r="E263" s="13">
        <f t="shared" si="60"/>
        <v>0</v>
      </c>
      <c r="F263" s="600"/>
      <c r="G263" s="13">
        <f t="shared" si="61"/>
        <v>0</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900">
        <f t="shared" si="73"/>
        <v>0</v>
      </c>
      <c r="U263" s="2984">
        <f t="shared" si="67"/>
        <v>0</v>
      </c>
      <c r="V263" s="2984">
        <f t="shared" si="68"/>
        <v>0</v>
      </c>
      <c r="W263" s="997"/>
      <c r="X263" s="2984">
        <f t="shared" si="69"/>
        <v>0</v>
      </c>
      <c r="Y263" s="2984">
        <f t="shared" si="70"/>
        <v>0</v>
      </c>
      <c r="Z263" s="997"/>
    </row>
    <row r="264" spans="1:26">
      <c r="A264" s="35"/>
      <c r="B264" s="20"/>
      <c r="C264" s="13">
        <f t="shared" si="59"/>
        <v>1</v>
      </c>
      <c r="D264" s="600"/>
      <c r="E264" s="13">
        <f t="shared" si="60"/>
        <v>0</v>
      </c>
      <c r="F264" s="600"/>
      <c r="G264" s="13">
        <f t="shared" si="61"/>
        <v>0</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900">
        <f t="shared" si="73"/>
        <v>0</v>
      </c>
      <c r="U264" s="2984">
        <f t="shared" si="67"/>
        <v>0</v>
      </c>
      <c r="V264" s="2984">
        <f t="shared" si="68"/>
        <v>0</v>
      </c>
      <c r="W264" s="997"/>
      <c r="X264" s="2984">
        <f t="shared" si="69"/>
        <v>0</v>
      </c>
      <c r="Y264" s="2984">
        <f t="shared" si="70"/>
        <v>0</v>
      </c>
      <c r="Z264" s="997"/>
    </row>
    <row r="265" spans="1:26">
      <c r="A265" s="35"/>
      <c r="B265" s="20"/>
      <c r="C265" s="13">
        <f t="shared" si="59"/>
        <v>1</v>
      </c>
      <c r="D265" s="600"/>
      <c r="E265" s="13">
        <f t="shared" si="60"/>
        <v>0</v>
      </c>
      <c r="F265" s="600"/>
      <c r="G265" s="13">
        <f t="shared" si="61"/>
        <v>0</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900">
        <f t="shared" si="73"/>
        <v>0</v>
      </c>
      <c r="U265" s="2984">
        <f t="shared" si="67"/>
        <v>0</v>
      </c>
      <c r="V265" s="2984">
        <f t="shared" si="68"/>
        <v>0</v>
      </c>
      <c r="W265" s="997"/>
      <c r="X265" s="2984">
        <f t="shared" si="69"/>
        <v>0</v>
      </c>
      <c r="Y265" s="2984">
        <f t="shared" si="70"/>
        <v>0</v>
      </c>
      <c r="Z265" s="997"/>
    </row>
    <row r="266" spans="1:26">
      <c r="A266" s="35"/>
      <c r="B266" s="20"/>
      <c r="C266" s="13">
        <f t="shared" si="59"/>
        <v>1</v>
      </c>
      <c r="D266" s="600"/>
      <c r="E266" s="13">
        <f t="shared" si="60"/>
        <v>0</v>
      </c>
      <c r="F266" s="600"/>
      <c r="G266" s="13">
        <f t="shared" si="61"/>
        <v>0</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900">
        <f t="shared" si="73"/>
        <v>0</v>
      </c>
      <c r="U266" s="2984">
        <f t="shared" si="67"/>
        <v>0</v>
      </c>
      <c r="V266" s="2984">
        <f t="shared" si="68"/>
        <v>0</v>
      </c>
      <c r="W266" s="997"/>
      <c r="X266" s="2984">
        <f t="shared" si="69"/>
        <v>0</v>
      </c>
      <c r="Y266" s="2984">
        <f t="shared" si="70"/>
        <v>0</v>
      </c>
      <c r="Z266" s="997"/>
    </row>
    <row r="267" spans="1:26">
      <c r="A267" s="35"/>
      <c r="B267" s="20"/>
      <c r="C267" s="13">
        <f t="shared" si="59"/>
        <v>1</v>
      </c>
      <c r="D267" s="600"/>
      <c r="E267" s="13">
        <f t="shared" si="60"/>
        <v>0</v>
      </c>
      <c r="F267" s="600"/>
      <c r="G267" s="13">
        <f t="shared" si="61"/>
        <v>0</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900">
        <f t="shared" si="73"/>
        <v>0</v>
      </c>
      <c r="U267" s="2984">
        <f t="shared" si="67"/>
        <v>0</v>
      </c>
      <c r="V267" s="2984">
        <f t="shared" si="68"/>
        <v>0</v>
      </c>
      <c r="W267" s="997"/>
      <c r="X267" s="2984">
        <f t="shared" si="69"/>
        <v>0</v>
      </c>
      <c r="Y267" s="2984">
        <f t="shared" si="70"/>
        <v>0</v>
      </c>
      <c r="Z267" s="997"/>
    </row>
    <row r="268" spans="1:26">
      <c r="A268" s="35"/>
      <c r="B268" s="20"/>
      <c r="C268" s="13">
        <f t="shared" si="59"/>
        <v>1</v>
      </c>
      <c r="D268" s="600"/>
      <c r="E268" s="13">
        <f t="shared" si="60"/>
        <v>0</v>
      </c>
      <c r="F268" s="600"/>
      <c r="G268" s="13">
        <f t="shared" si="61"/>
        <v>0</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900">
        <f t="shared" si="73"/>
        <v>0</v>
      </c>
      <c r="U268" s="2984">
        <f t="shared" si="67"/>
        <v>0</v>
      </c>
      <c r="V268" s="2984">
        <f t="shared" si="68"/>
        <v>0</v>
      </c>
      <c r="W268" s="997"/>
      <c r="X268" s="2984">
        <f t="shared" si="69"/>
        <v>0</v>
      </c>
      <c r="Y268" s="2984">
        <f t="shared" si="70"/>
        <v>0</v>
      </c>
      <c r="Z268" s="997"/>
    </row>
    <row r="269" spans="1:26">
      <c r="A269" s="35"/>
      <c r="B269" s="20"/>
      <c r="C269" s="13">
        <f t="shared" si="59"/>
        <v>1</v>
      </c>
      <c r="D269" s="600"/>
      <c r="E269" s="13">
        <f t="shared" si="60"/>
        <v>0</v>
      </c>
      <c r="F269" s="600"/>
      <c r="G269" s="13">
        <f t="shared" si="61"/>
        <v>0</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900">
        <f t="shared" si="73"/>
        <v>0</v>
      </c>
      <c r="U269" s="2984">
        <f t="shared" si="67"/>
        <v>0</v>
      </c>
      <c r="V269" s="2984">
        <f t="shared" si="68"/>
        <v>0</v>
      </c>
      <c r="W269" s="997"/>
      <c r="X269" s="2984">
        <f t="shared" si="69"/>
        <v>0</v>
      </c>
      <c r="Y269" s="2984">
        <f t="shared" si="70"/>
        <v>0</v>
      </c>
      <c r="Z269" s="997"/>
    </row>
    <row r="270" spans="1:26">
      <c r="A270" s="35"/>
      <c r="B270" s="20"/>
      <c r="C270" s="13">
        <f t="shared" si="59"/>
        <v>1</v>
      </c>
      <c r="D270" s="600"/>
      <c r="E270" s="13">
        <f t="shared" si="60"/>
        <v>0</v>
      </c>
      <c r="F270" s="600"/>
      <c r="G270" s="13">
        <f t="shared" si="61"/>
        <v>0</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900">
        <f t="shared" si="73"/>
        <v>0</v>
      </c>
      <c r="U270" s="2984">
        <f t="shared" si="67"/>
        <v>0</v>
      </c>
      <c r="V270" s="2984">
        <f t="shared" si="68"/>
        <v>0</v>
      </c>
      <c r="W270" s="997"/>
      <c r="X270" s="2984">
        <f t="shared" si="69"/>
        <v>0</v>
      </c>
      <c r="Y270" s="2984">
        <f t="shared" si="70"/>
        <v>0</v>
      </c>
      <c r="Z270" s="997"/>
    </row>
    <row r="271" spans="1:26">
      <c r="A271" s="35"/>
      <c r="B271" s="20"/>
      <c r="C271" s="13">
        <f t="shared" si="59"/>
        <v>1</v>
      </c>
      <c r="D271" s="600"/>
      <c r="E271" s="13">
        <f t="shared" si="60"/>
        <v>0</v>
      </c>
      <c r="F271" s="600"/>
      <c r="G271" s="13">
        <f t="shared" si="61"/>
        <v>0</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900">
        <f t="shared" si="73"/>
        <v>0</v>
      </c>
      <c r="U271" s="2984">
        <f t="shared" si="67"/>
        <v>0</v>
      </c>
      <c r="V271" s="2984">
        <f t="shared" si="68"/>
        <v>0</v>
      </c>
      <c r="W271" s="997"/>
      <c r="X271" s="2984">
        <f t="shared" si="69"/>
        <v>0</v>
      </c>
      <c r="Y271" s="2984">
        <f t="shared" si="70"/>
        <v>0</v>
      </c>
      <c r="Z271" s="997"/>
    </row>
    <row r="272" spans="1:26">
      <c r="A272" s="35"/>
      <c r="B272" s="20"/>
      <c r="C272" s="13">
        <f t="shared" si="59"/>
        <v>1</v>
      </c>
      <c r="D272" s="600"/>
      <c r="E272" s="13">
        <f t="shared" si="60"/>
        <v>0</v>
      </c>
      <c r="F272" s="600"/>
      <c r="G272" s="13">
        <f t="shared" si="61"/>
        <v>0</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900">
        <f t="shared" si="73"/>
        <v>0</v>
      </c>
      <c r="U272" s="2984">
        <f t="shared" si="67"/>
        <v>0</v>
      </c>
      <c r="V272" s="2984">
        <f t="shared" si="68"/>
        <v>0</v>
      </c>
      <c r="W272" s="997"/>
      <c r="X272" s="2984">
        <f t="shared" si="69"/>
        <v>0</v>
      </c>
      <c r="Y272" s="2984">
        <f t="shared" si="70"/>
        <v>0</v>
      </c>
      <c r="Z272" s="997"/>
    </row>
    <row r="273" spans="1:26">
      <c r="A273" s="35"/>
      <c r="B273" s="20"/>
      <c r="C273" s="13">
        <f t="shared" si="59"/>
        <v>1</v>
      </c>
      <c r="D273" s="600"/>
      <c r="E273" s="13">
        <f t="shared" si="60"/>
        <v>0</v>
      </c>
      <c r="F273" s="600"/>
      <c r="G273" s="13">
        <f t="shared" si="61"/>
        <v>0</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900">
        <f t="shared" si="73"/>
        <v>0</v>
      </c>
      <c r="U273" s="2984">
        <f t="shared" si="67"/>
        <v>0</v>
      </c>
      <c r="V273" s="2984">
        <f t="shared" si="68"/>
        <v>0</v>
      </c>
      <c r="W273" s="997"/>
      <c r="X273" s="2984">
        <f t="shared" si="69"/>
        <v>0</v>
      </c>
      <c r="Y273" s="2984">
        <f t="shared" si="70"/>
        <v>0</v>
      </c>
      <c r="Z273" s="997"/>
    </row>
    <row r="274" spans="1:26">
      <c r="A274" s="35"/>
      <c r="B274" s="20"/>
      <c r="C274" s="13">
        <f t="shared" si="59"/>
        <v>1</v>
      </c>
      <c r="D274" s="600"/>
      <c r="E274" s="13">
        <f t="shared" si="60"/>
        <v>0</v>
      </c>
      <c r="F274" s="600"/>
      <c r="G274" s="13">
        <f t="shared" si="61"/>
        <v>0</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900">
        <f t="shared" si="73"/>
        <v>0</v>
      </c>
      <c r="U274" s="2984">
        <f t="shared" si="67"/>
        <v>0</v>
      </c>
      <c r="V274" s="2984">
        <f t="shared" si="68"/>
        <v>0</v>
      </c>
      <c r="W274" s="997"/>
      <c r="X274" s="2984">
        <f t="shared" si="69"/>
        <v>0</v>
      </c>
      <c r="Y274" s="2984">
        <f t="shared" si="70"/>
        <v>0</v>
      </c>
      <c r="Z274" s="997"/>
    </row>
    <row r="275" spans="1:26">
      <c r="A275" s="35"/>
      <c r="B275" s="20"/>
      <c r="C275" s="13">
        <f t="shared" si="59"/>
        <v>1</v>
      </c>
      <c r="D275" s="600"/>
      <c r="E275" s="13">
        <f t="shared" si="60"/>
        <v>0</v>
      </c>
      <c r="F275" s="600"/>
      <c r="G275" s="13">
        <f t="shared" si="61"/>
        <v>0</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900">
        <f t="shared" si="73"/>
        <v>0</v>
      </c>
      <c r="U275" s="2984">
        <f t="shared" si="67"/>
        <v>0</v>
      </c>
      <c r="V275" s="2984">
        <f t="shared" si="68"/>
        <v>0</v>
      </c>
      <c r="W275" s="997"/>
      <c r="X275" s="2984">
        <f t="shared" si="69"/>
        <v>0</v>
      </c>
      <c r="Y275" s="2984">
        <f t="shared" si="70"/>
        <v>0</v>
      </c>
      <c r="Z275" s="997"/>
    </row>
    <row r="276" spans="1:26">
      <c r="A276" s="35"/>
      <c r="B276" s="20"/>
      <c r="C276" s="13">
        <f t="shared" si="59"/>
        <v>1</v>
      </c>
      <c r="D276" s="600"/>
      <c r="E276" s="13">
        <f t="shared" si="60"/>
        <v>0</v>
      </c>
      <c r="F276" s="600"/>
      <c r="G276" s="13">
        <f t="shared" si="61"/>
        <v>0</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900">
        <f t="shared" si="73"/>
        <v>0</v>
      </c>
      <c r="U276" s="2984">
        <f t="shared" si="67"/>
        <v>0</v>
      </c>
      <c r="V276" s="2984">
        <f t="shared" si="68"/>
        <v>0</v>
      </c>
      <c r="W276" s="997"/>
      <c r="X276" s="2984">
        <f t="shared" si="69"/>
        <v>0</v>
      </c>
      <c r="Y276" s="2984">
        <f t="shared" si="70"/>
        <v>0</v>
      </c>
      <c r="Z276" s="997"/>
    </row>
    <row r="277" spans="1:26">
      <c r="A277" s="35"/>
      <c r="B277" s="20"/>
      <c r="C277" s="13">
        <f t="shared" si="59"/>
        <v>1</v>
      </c>
      <c r="D277" s="600"/>
      <c r="E277" s="13">
        <f t="shared" si="60"/>
        <v>0</v>
      </c>
      <c r="F277" s="600"/>
      <c r="G277" s="13">
        <f t="shared" si="61"/>
        <v>0</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900">
        <f t="shared" si="73"/>
        <v>0</v>
      </c>
      <c r="U277" s="2984">
        <f t="shared" si="67"/>
        <v>0</v>
      </c>
      <c r="V277" s="2984">
        <f t="shared" si="68"/>
        <v>0</v>
      </c>
      <c r="W277" s="997"/>
      <c r="X277" s="2984">
        <f t="shared" si="69"/>
        <v>0</v>
      </c>
      <c r="Y277" s="2984">
        <f t="shared" si="70"/>
        <v>0</v>
      </c>
      <c r="Z277" s="997"/>
    </row>
    <row r="278" spans="1:26">
      <c r="A278" s="35"/>
      <c r="B278" s="20"/>
      <c r="C278" s="13">
        <f t="shared" si="59"/>
        <v>1</v>
      </c>
      <c r="D278" s="600"/>
      <c r="E278" s="13">
        <f t="shared" si="60"/>
        <v>0</v>
      </c>
      <c r="F278" s="600"/>
      <c r="G278" s="13">
        <f t="shared" si="61"/>
        <v>0</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900">
        <f t="shared" si="73"/>
        <v>0</v>
      </c>
      <c r="U278" s="2984">
        <f t="shared" si="67"/>
        <v>0</v>
      </c>
      <c r="V278" s="2984">
        <f t="shared" si="68"/>
        <v>0</v>
      </c>
      <c r="W278" s="997"/>
      <c r="X278" s="2984">
        <f t="shared" si="69"/>
        <v>0</v>
      </c>
      <c r="Y278" s="2984">
        <f t="shared" si="70"/>
        <v>0</v>
      </c>
      <c r="Z278" s="997"/>
    </row>
    <row r="279" spans="1:26">
      <c r="A279" s="35"/>
      <c r="B279" s="20"/>
      <c r="C279" s="13">
        <f t="shared" si="59"/>
        <v>1</v>
      </c>
      <c r="D279" s="600"/>
      <c r="E279" s="13">
        <f t="shared" si="60"/>
        <v>0</v>
      </c>
      <c r="F279" s="600"/>
      <c r="G279" s="13">
        <f t="shared" si="61"/>
        <v>0</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900">
        <f t="shared" si="73"/>
        <v>0</v>
      </c>
      <c r="U279" s="2984">
        <f t="shared" si="67"/>
        <v>0</v>
      </c>
      <c r="V279" s="2984">
        <f t="shared" si="68"/>
        <v>0</v>
      </c>
      <c r="W279" s="997"/>
      <c r="X279" s="2984">
        <f t="shared" si="69"/>
        <v>0</v>
      </c>
      <c r="Y279" s="2984">
        <f t="shared" si="70"/>
        <v>0</v>
      </c>
      <c r="Z279" s="997"/>
    </row>
    <row r="280" spans="1:26">
      <c r="A280" s="35"/>
      <c r="B280" s="20"/>
      <c r="C280" s="13">
        <f t="shared" si="59"/>
        <v>1</v>
      </c>
      <c r="D280" s="600"/>
      <c r="E280" s="13">
        <f t="shared" si="60"/>
        <v>0</v>
      </c>
      <c r="F280" s="600"/>
      <c r="G280" s="13">
        <f t="shared" si="61"/>
        <v>0</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900">
        <f t="shared" si="73"/>
        <v>0</v>
      </c>
      <c r="U280" s="2984">
        <f t="shared" si="67"/>
        <v>0</v>
      </c>
      <c r="V280" s="2984">
        <f t="shared" si="68"/>
        <v>0</v>
      </c>
      <c r="W280" s="997"/>
      <c r="X280" s="2984">
        <f t="shared" si="69"/>
        <v>0</v>
      </c>
      <c r="Y280" s="2984">
        <f t="shared" si="70"/>
        <v>0</v>
      </c>
      <c r="Z280" s="997"/>
    </row>
    <row r="281" spans="1:26">
      <c r="A281" s="35"/>
      <c r="B281" s="20"/>
      <c r="C281" s="13">
        <f t="shared" si="59"/>
        <v>1</v>
      </c>
      <c r="D281" s="600"/>
      <c r="E281" s="13">
        <f t="shared" si="60"/>
        <v>0</v>
      </c>
      <c r="F281" s="600"/>
      <c r="G281" s="13">
        <f t="shared" si="61"/>
        <v>0</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900">
        <f t="shared" si="73"/>
        <v>0</v>
      </c>
      <c r="U281" s="2984">
        <f t="shared" si="67"/>
        <v>0</v>
      </c>
      <c r="V281" s="2984">
        <f t="shared" si="68"/>
        <v>0</v>
      </c>
      <c r="W281" s="997"/>
      <c r="X281" s="2984">
        <f t="shared" si="69"/>
        <v>0</v>
      </c>
      <c r="Y281" s="2984">
        <f t="shared" si="70"/>
        <v>0</v>
      </c>
      <c r="Z281" s="997"/>
    </row>
    <row r="282" spans="1:26">
      <c r="A282" s="35"/>
      <c r="B282" s="20"/>
      <c r="C282" s="13">
        <f t="shared" si="59"/>
        <v>1</v>
      </c>
      <c r="D282" s="600"/>
      <c r="E282" s="13">
        <f t="shared" si="60"/>
        <v>0</v>
      </c>
      <c r="F282" s="600"/>
      <c r="G282" s="13">
        <f t="shared" si="61"/>
        <v>0</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900">
        <f t="shared" si="73"/>
        <v>0</v>
      </c>
      <c r="U282" s="2984">
        <f t="shared" si="67"/>
        <v>0</v>
      </c>
      <c r="V282" s="2984">
        <f t="shared" si="68"/>
        <v>0</v>
      </c>
      <c r="W282" s="997"/>
      <c r="X282" s="2984">
        <f t="shared" si="69"/>
        <v>0</v>
      </c>
      <c r="Y282" s="2984">
        <f t="shared" si="70"/>
        <v>0</v>
      </c>
      <c r="Z282" s="997"/>
    </row>
    <row r="283" spans="1:26">
      <c r="A283" s="35"/>
      <c r="B283" s="20"/>
      <c r="C283" s="13">
        <f t="shared" si="59"/>
        <v>1</v>
      </c>
      <c r="D283" s="600"/>
      <c r="E283" s="13">
        <f t="shared" si="60"/>
        <v>0</v>
      </c>
      <c r="F283" s="600"/>
      <c r="G283" s="13">
        <f t="shared" si="61"/>
        <v>0</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900">
        <f t="shared" si="73"/>
        <v>0</v>
      </c>
      <c r="U283" s="2984">
        <f t="shared" si="67"/>
        <v>0</v>
      </c>
      <c r="V283" s="2984">
        <f t="shared" si="68"/>
        <v>0</v>
      </c>
      <c r="W283" s="997"/>
      <c r="X283" s="2984">
        <f t="shared" si="69"/>
        <v>0</v>
      </c>
      <c r="Y283" s="2984">
        <f t="shared" si="70"/>
        <v>0</v>
      </c>
      <c r="Z283" s="997"/>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0</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900">
        <f t="shared" si="73"/>
        <v>0</v>
      </c>
      <c r="U284" s="2984">
        <f t="shared" ref="U284:U347" si="82">ROUND(W284*B284,0)</f>
        <v>0</v>
      </c>
      <c r="V284" s="2984">
        <f t="shared" ref="V284:V347" si="83">ROUND(W284*B284/10000,0)</f>
        <v>0</v>
      </c>
      <c r="W284" s="997"/>
      <c r="X284" s="2984">
        <f t="shared" ref="X284:X347" si="84">ROUND(Z284*B284,0)</f>
        <v>0</v>
      </c>
      <c r="Y284" s="2984">
        <f t="shared" ref="Y284:Y347" si="85">ROUND(Z284*B284/10000,0)</f>
        <v>0</v>
      </c>
      <c r="Z284" s="997"/>
    </row>
    <row r="285" spans="1:26">
      <c r="A285" s="35"/>
      <c r="B285" s="20"/>
      <c r="C285" s="13">
        <f t="shared" si="74"/>
        <v>1</v>
      </c>
      <c r="D285" s="600"/>
      <c r="E285" s="13">
        <f t="shared" si="75"/>
        <v>0</v>
      </c>
      <c r="F285" s="600"/>
      <c r="G285" s="13">
        <f t="shared" si="76"/>
        <v>0</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900">
        <f t="shared" ref="T285:T348" si="88">ROUND(R285*B285/10000,0)</f>
        <v>0</v>
      </c>
      <c r="U285" s="2984">
        <f t="shared" si="82"/>
        <v>0</v>
      </c>
      <c r="V285" s="2984">
        <f t="shared" si="83"/>
        <v>0</v>
      </c>
      <c r="W285" s="997"/>
      <c r="X285" s="2984">
        <f t="shared" si="84"/>
        <v>0</v>
      </c>
      <c r="Y285" s="2984">
        <f t="shared" si="85"/>
        <v>0</v>
      </c>
      <c r="Z285" s="997"/>
    </row>
    <row r="286" spans="1:26">
      <c r="A286" s="35"/>
      <c r="B286" s="20"/>
      <c r="C286" s="13">
        <f t="shared" si="74"/>
        <v>1</v>
      </c>
      <c r="D286" s="600"/>
      <c r="E286" s="13">
        <f t="shared" si="75"/>
        <v>0</v>
      </c>
      <c r="F286" s="600"/>
      <c r="G286" s="13">
        <f t="shared" si="76"/>
        <v>0</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900">
        <f t="shared" si="88"/>
        <v>0</v>
      </c>
      <c r="U286" s="2984">
        <f t="shared" si="82"/>
        <v>0</v>
      </c>
      <c r="V286" s="2984">
        <f t="shared" si="83"/>
        <v>0</v>
      </c>
      <c r="W286" s="997"/>
      <c r="X286" s="2984">
        <f t="shared" si="84"/>
        <v>0</v>
      </c>
      <c r="Y286" s="2984">
        <f t="shared" si="85"/>
        <v>0</v>
      </c>
      <c r="Z286" s="997"/>
    </row>
    <row r="287" spans="1:26">
      <c r="A287" s="35"/>
      <c r="B287" s="20"/>
      <c r="C287" s="13">
        <f t="shared" si="74"/>
        <v>1</v>
      </c>
      <c r="D287" s="600"/>
      <c r="E287" s="13">
        <f t="shared" si="75"/>
        <v>0</v>
      </c>
      <c r="F287" s="600"/>
      <c r="G287" s="13">
        <f t="shared" si="76"/>
        <v>0</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900">
        <f t="shared" si="88"/>
        <v>0</v>
      </c>
      <c r="U287" s="2984">
        <f t="shared" si="82"/>
        <v>0</v>
      </c>
      <c r="V287" s="2984">
        <f t="shared" si="83"/>
        <v>0</v>
      </c>
      <c r="W287" s="997"/>
      <c r="X287" s="2984">
        <f t="shared" si="84"/>
        <v>0</v>
      </c>
      <c r="Y287" s="2984">
        <f t="shared" si="85"/>
        <v>0</v>
      </c>
      <c r="Z287" s="997"/>
    </row>
    <row r="288" spans="1:26">
      <c r="A288" s="35"/>
      <c r="B288" s="20"/>
      <c r="C288" s="13">
        <f t="shared" si="74"/>
        <v>1</v>
      </c>
      <c r="D288" s="600"/>
      <c r="E288" s="13">
        <f t="shared" si="75"/>
        <v>0</v>
      </c>
      <c r="F288" s="600"/>
      <c r="G288" s="13">
        <f t="shared" si="76"/>
        <v>0</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900">
        <f t="shared" si="88"/>
        <v>0</v>
      </c>
      <c r="U288" s="2984">
        <f t="shared" si="82"/>
        <v>0</v>
      </c>
      <c r="V288" s="2984">
        <f t="shared" si="83"/>
        <v>0</v>
      </c>
      <c r="W288" s="997"/>
      <c r="X288" s="2984">
        <f t="shared" si="84"/>
        <v>0</v>
      </c>
      <c r="Y288" s="2984">
        <f t="shared" si="85"/>
        <v>0</v>
      </c>
      <c r="Z288" s="997"/>
    </row>
    <row r="289" spans="1:26">
      <c r="A289" s="35"/>
      <c r="B289" s="20"/>
      <c r="C289" s="13">
        <f t="shared" si="74"/>
        <v>1</v>
      </c>
      <c r="D289" s="600"/>
      <c r="E289" s="13">
        <f t="shared" si="75"/>
        <v>0</v>
      </c>
      <c r="F289" s="600"/>
      <c r="G289" s="13">
        <f t="shared" si="76"/>
        <v>0</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900">
        <f t="shared" si="88"/>
        <v>0</v>
      </c>
      <c r="U289" s="2984">
        <f t="shared" si="82"/>
        <v>0</v>
      </c>
      <c r="V289" s="2984">
        <f t="shared" si="83"/>
        <v>0</v>
      </c>
      <c r="W289" s="997"/>
      <c r="X289" s="2984">
        <f t="shared" si="84"/>
        <v>0</v>
      </c>
      <c r="Y289" s="2984">
        <f t="shared" si="85"/>
        <v>0</v>
      </c>
      <c r="Z289" s="997"/>
    </row>
    <row r="290" spans="1:26">
      <c r="A290" s="35"/>
      <c r="B290" s="20"/>
      <c r="C290" s="13">
        <f t="shared" si="74"/>
        <v>1</v>
      </c>
      <c r="D290" s="600"/>
      <c r="E290" s="13">
        <f t="shared" si="75"/>
        <v>0</v>
      </c>
      <c r="F290" s="600"/>
      <c r="G290" s="13">
        <f t="shared" si="76"/>
        <v>0</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900">
        <f t="shared" si="88"/>
        <v>0</v>
      </c>
      <c r="U290" s="2984">
        <f t="shared" si="82"/>
        <v>0</v>
      </c>
      <c r="V290" s="2984">
        <f t="shared" si="83"/>
        <v>0</v>
      </c>
      <c r="W290" s="997"/>
      <c r="X290" s="2984">
        <f t="shared" si="84"/>
        <v>0</v>
      </c>
      <c r="Y290" s="2984">
        <f t="shared" si="85"/>
        <v>0</v>
      </c>
      <c r="Z290" s="997"/>
    </row>
    <row r="291" spans="1:26">
      <c r="A291" s="35"/>
      <c r="B291" s="20"/>
      <c r="C291" s="13">
        <f t="shared" si="74"/>
        <v>1</v>
      </c>
      <c r="D291" s="600"/>
      <c r="E291" s="13">
        <f t="shared" si="75"/>
        <v>0</v>
      </c>
      <c r="F291" s="600"/>
      <c r="G291" s="13">
        <f t="shared" si="76"/>
        <v>0</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900">
        <f t="shared" si="88"/>
        <v>0</v>
      </c>
      <c r="U291" s="2984">
        <f t="shared" si="82"/>
        <v>0</v>
      </c>
      <c r="V291" s="2984">
        <f t="shared" si="83"/>
        <v>0</v>
      </c>
      <c r="W291" s="997"/>
      <c r="X291" s="2984">
        <f t="shared" si="84"/>
        <v>0</v>
      </c>
      <c r="Y291" s="2984">
        <f t="shared" si="85"/>
        <v>0</v>
      </c>
      <c r="Z291" s="997"/>
    </row>
    <row r="292" spans="1:26">
      <c r="A292" s="35"/>
      <c r="B292" s="20"/>
      <c r="C292" s="13">
        <f t="shared" si="74"/>
        <v>1</v>
      </c>
      <c r="D292" s="600"/>
      <c r="E292" s="13">
        <f t="shared" si="75"/>
        <v>0</v>
      </c>
      <c r="F292" s="600"/>
      <c r="G292" s="13">
        <f t="shared" si="76"/>
        <v>0</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900">
        <f t="shared" si="88"/>
        <v>0</v>
      </c>
      <c r="U292" s="2984">
        <f t="shared" si="82"/>
        <v>0</v>
      </c>
      <c r="V292" s="2984">
        <f t="shared" si="83"/>
        <v>0</v>
      </c>
      <c r="W292" s="997"/>
      <c r="X292" s="2984">
        <f t="shared" si="84"/>
        <v>0</v>
      </c>
      <c r="Y292" s="2984">
        <f t="shared" si="85"/>
        <v>0</v>
      </c>
      <c r="Z292" s="997"/>
    </row>
    <row r="293" spans="1:26">
      <c r="A293" s="35"/>
      <c r="B293" s="20"/>
      <c r="C293" s="13">
        <f t="shared" si="74"/>
        <v>1</v>
      </c>
      <c r="D293" s="600"/>
      <c r="E293" s="13">
        <f t="shared" si="75"/>
        <v>0</v>
      </c>
      <c r="F293" s="600"/>
      <c r="G293" s="13">
        <f t="shared" si="76"/>
        <v>0</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900">
        <f t="shared" si="88"/>
        <v>0</v>
      </c>
      <c r="U293" s="2984">
        <f t="shared" si="82"/>
        <v>0</v>
      </c>
      <c r="V293" s="2984">
        <f t="shared" si="83"/>
        <v>0</v>
      </c>
      <c r="W293" s="997"/>
      <c r="X293" s="2984">
        <f t="shared" si="84"/>
        <v>0</v>
      </c>
      <c r="Y293" s="2984">
        <f t="shared" si="85"/>
        <v>0</v>
      </c>
      <c r="Z293" s="997"/>
    </row>
    <row r="294" spans="1:26">
      <c r="A294" s="35"/>
      <c r="B294" s="20"/>
      <c r="C294" s="13">
        <f t="shared" si="74"/>
        <v>1</v>
      </c>
      <c r="D294" s="600"/>
      <c r="E294" s="13">
        <f t="shared" si="75"/>
        <v>0</v>
      </c>
      <c r="F294" s="600"/>
      <c r="G294" s="13">
        <f t="shared" si="76"/>
        <v>0</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900">
        <f t="shared" si="88"/>
        <v>0</v>
      </c>
      <c r="U294" s="2984">
        <f t="shared" si="82"/>
        <v>0</v>
      </c>
      <c r="V294" s="2984">
        <f t="shared" si="83"/>
        <v>0</v>
      </c>
      <c r="W294" s="997"/>
      <c r="X294" s="2984">
        <f t="shared" si="84"/>
        <v>0</v>
      </c>
      <c r="Y294" s="2984">
        <f t="shared" si="85"/>
        <v>0</v>
      </c>
      <c r="Z294" s="997"/>
    </row>
    <row r="295" spans="1:26">
      <c r="A295" s="35"/>
      <c r="B295" s="20"/>
      <c r="C295" s="13">
        <f t="shared" si="74"/>
        <v>1</v>
      </c>
      <c r="D295" s="600"/>
      <c r="E295" s="13">
        <f t="shared" si="75"/>
        <v>0</v>
      </c>
      <c r="F295" s="600"/>
      <c r="G295" s="13">
        <f t="shared" si="76"/>
        <v>0</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900">
        <f t="shared" si="88"/>
        <v>0</v>
      </c>
      <c r="U295" s="2984">
        <f t="shared" si="82"/>
        <v>0</v>
      </c>
      <c r="V295" s="2984">
        <f t="shared" si="83"/>
        <v>0</v>
      </c>
      <c r="W295" s="997"/>
      <c r="X295" s="2984">
        <f t="shared" si="84"/>
        <v>0</v>
      </c>
      <c r="Y295" s="2984">
        <f t="shared" si="85"/>
        <v>0</v>
      </c>
      <c r="Z295" s="997"/>
    </row>
    <row r="296" spans="1:26">
      <c r="A296" s="35"/>
      <c r="B296" s="20"/>
      <c r="C296" s="13">
        <f t="shared" si="74"/>
        <v>1</v>
      </c>
      <c r="D296" s="600"/>
      <c r="E296" s="13">
        <f t="shared" si="75"/>
        <v>0</v>
      </c>
      <c r="F296" s="600"/>
      <c r="G296" s="13">
        <f t="shared" si="76"/>
        <v>0</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900">
        <f t="shared" si="88"/>
        <v>0</v>
      </c>
      <c r="U296" s="2984">
        <f t="shared" si="82"/>
        <v>0</v>
      </c>
      <c r="V296" s="2984">
        <f t="shared" si="83"/>
        <v>0</v>
      </c>
      <c r="W296" s="997"/>
      <c r="X296" s="2984">
        <f t="shared" si="84"/>
        <v>0</v>
      </c>
      <c r="Y296" s="2984">
        <f t="shared" si="85"/>
        <v>0</v>
      </c>
      <c r="Z296" s="997"/>
    </row>
    <row r="297" spans="1:26">
      <c r="A297" s="35"/>
      <c r="B297" s="20"/>
      <c r="C297" s="13">
        <f t="shared" si="74"/>
        <v>1</v>
      </c>
      <c r="D297" s="600"/>
      <c r="E297" s="13">
        <f t="shared" si="75"/>
        <v>0</v>
      </c>
      <c r="F297" s="600"/>
      <c r="G297" s="13">
        <f t="shared" si="76"/>
        <v>0</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900">
        <f t="shared" si="88"/>
        <v>0</v>
      </c>
      <c r="U297" s="2984">
        <f t="shared" si="82"/>
        <v>0</v>
      </c>
      <c r="V297" s="2984">
        <f t="shared" si="83"/>
        <v>0</v>
      </c>
      <c r="W297" s="997"/>
      <c r="X297" s="2984">
        <f t="shared" si="84"/>
        <v>0</v>
      </c>
      <c r="Y297" s="2984">
        <f t="shared" si="85"/>
        <v>0</v>
      </c>
      <c r="Z297" s="997"/>
    </row>
    <row r="298" spans="1:26">
      <c r="A298" s="35"/>
      <c r="B298" s="20"/>
      <c r="C298" s="13">
        <f t="shared" si="74"/>
        <v>1</v>
      </c>
      <c r="D298" s="600"/>
      <c r="E298" s="13">
        <f t="shared" si="75"/>
        <v>0</v>
      </c>
      <c r="F298" s="600"/>
      <c r="G298" s="13">
        <f t="shared" si="76"/>
        <v>0</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900">
        <f t="shared" si="88"/>
        <v>0</v>
      </c>
      <c r="U298" s="2984">
        <f t="shared" si="82"/>
        <v>0</v>
      </c>
      <c r="V298" s="2984">
        <f t="shared" si="83"/>
        <v>0</v>
      </c>
      <c r="W298" s="997"/>
      <c r="X298" s="2984">
        <f t="shared" si="84"/>
        <v>0</v>
      </c>
      <c r="Y298" s="2984">
        <f t="shared" si="85"/>
        <v>0</v>
      </c>
      <c r="Z298" s="997"/>
    </row>
    <row r="299" spans="1:26">
      <c r="A299" s="35"/>
      <c r="B299" s="20"/>
      <c r="C299" s="13">
        <f t="shared" si="74"/>
        <v>1</v>
      </c>
      <c r="D299" s="600"/>
      <c r="E299" s="13">
        <f t="shared" si="75"/>
        <v>0</v>
      </c>
      <c r="F299" s="600"/>
      <c r="G299" s="13">
        <f t="shared" si="76"/>
        <v>0</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900">
        <f t="shared" si="88"/>
        <v>0</v>
      </c>
      <c r="U299" s="2984">
        <f t="shared" si="82"/>
        <v>0</v>
      </c>
      <c r="V299" s="2984">
        <f t="shared" si="83"/>
        <v>0</v>
      </c>
      <c r="W299" s="997"/>
      <c r="X299" s="2984">
        <f t="shared" si="84"/>
        <v>0</v>
      </c>
      <c r="Y299" s="2984">
        <f t="shared" si="85"/>
        <v>0</v>
      </c>
      <c r="Z299" s="997"/>
    </row>
    <row r="300" spans="1:26">
      <c r="A300" s="35"/>
      <c r="B300" s="20"/>
      <c r="C300" s="13">
        <f t="shared" si="74"/>
        <v>1</v>
      </c>
      <c r="D300" s="600"/>
      <c r="E300" s="13">
        <f t="shared" si="75"/>
        <v>0</v>
      </c>
      <c r="F300" s="600"/>
      <c r="G300" s="13">
        <f t="shared" si="76"/>
        <v>0</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900">
        <f t="shared" si="88"/>
        <v>0</v>
      </c>
      <c r="U300" s="2984">
        <f t="shared" si="82"/>
        <v>0</v>
      </c>
      <c r="V300" s="2984">
        <f t="shared" si="83"/>
        <v>0</v>
      </c>
      <c r="W300" s="997"/>
      <c r="X300" s="2984">
        <f t="shared" si="84"/>
        <v>0</v>
      </c>
      <c r="Y300" s="2984">
        <f t="shared" si="85"/>
        <v>0</v>
      </c>
      <c r="Z300" s="997"/>
    </row>
    <row r="301" spans="1:26">
      <c r="A301" s="35"/>
      <c r="B301" s="20"/>
      <c r="C301" s="13">
        <f t="shared" si="74"/>
        <v>1</v>
      </c>
      <c r="D301" s="600"/>
      <c r="E301" s="13">
        <f t="shared" si="75"/>
        <v>0</v>
      </c>
      <c r="F301" s="600"/>
      <c r="G301" s="13">
        <f t="shared" si="76"/>
        <v>0</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900">
        <f t="shared" si="88"/>
        <v>0</v>
      </c>
      <c r="U301" s="2984">
        <f t="shared" si="82"/>
        <v>0</v>
      </c>
      <c r="V301" s="2984">
        <f t="shared" si="83"/>
        <v>0</v>
      </c>
      <c r="W301" s="997"/>
      <c r="X301" s="2984">
        <f t="shared" si="84"/>
        <v>0</v>
      </c>
      <c r="Y301" s="2984">
        <f t="shared" si="85"/>
        <v>0</v>
      </c>
      <c r="Z301" s="997"/>
    </row>
    <row r="302" spans="1:26">
      <c r="A302" s="35"/>
      <c r="B302" s="20"/>
      <c r="C302" s="13">
        <f t="shared" si="74"/>
        <v>1</v>
      </c>
      <c r="D302" s="600"/>
      <c r="E302" s="13">
        <f t="shared" si="75"/>
        <v>0</v>
      </c>
      <c r="F302" s="600"/>
      <c r="G302" s="13">
        <f t="shared" si="76"/>
        <v>0</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900">
        <f t="shared" si="88"/>
        <v>0</v>
      </c>
      <c r="U302" s="2984">
        <f t="shared" si="82"/>
        <v>0</v>
      </c>
      <c r="V302" s="2984">
        <f t="shared" si="83"/>
        <v>0</v>
      </c>
      <c r="W302" s="997"/>
      <c r="X302" s="2984">
        <f t="shared" si="84"/>
        <v>0</v>
      </c>
      <c r="Y302" s="2984">
        <f t="shared" si="85"/>
        <v>0</v>
      </c>
      <c r="Z302" s="997"/>
    </row>
    <row r="303" spans="1:26">
      <c r="A303" s="35"/>
      <c r="B303" s="20"/>
      <c r="C303" s="13">
        <f t="shared" si="74"/>
        <v>1</v>
      </c>
      <c r="D303" s="600"/>
      <c r="E303" s="13">
        <f t="shared" si="75"/>
        <v>0</v>
      </c>
      <c r="F303" s="600"/>
      <c r="G303" s="13">
        <f t="shared" si="76"/>
        <v>0</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900">
        <f t="shared" si="88"/>
        <v>0</v>
      </c>
      <c r="U303" s="2984">
        <f t="shared" si="82"/>
        <v>0</v>
      </c>
      <c r="V303" s="2984">
        <f t="shared" si="83"/>
        <v>0</v>
      </c>
      <c r="W303" s="997"/>
      <c r="X303" s="2984">
        <f t="shared" si="84"/>
        <v>0</v>
      </c>
      <c r="Y303" s="2984">
        <f t="shared" si="85"/>
        <v>0</v>
      </c>
      <c r="Z303" s="997"/>
    </row>
    <row r="304" spans="1:26">
      <c r="A304" s="35"/>
      <c r="B304" s="20"/>
      <c r="C304" s="13">
        <f t="shared" si="74"/>
        <v>1</v>
      </c>
      <c r="D304" s="600"/>
      <c r="E304" s="13">
        <f t="shared" si="75"/>
        <v>0</v>
      </c>
      <c r="F304" s="600"/>
      <c r="G304" s="13">
        <f t="shared" si="76"/>
        <v>0</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900">
        <f t="shared" si="88"/>
        <v>0</v>
      </c>
      <c r="U304" s="2984">
        <f t="shared" si="82"/>
        <v>0</v>
      </c>
      <c r="V304" s="2984">
        <f t="shared" si="83"/>
        <v>0</v>
      </c>
      <c r="W304" s="997"/>
      <c r="X304" s="2984">
        <f t="shared" si="84"/>
        <v>0</v>
      </c>
      <c r="Y304" s="2984">
        <f t="shared" si="85"/>
        <v>0</v>
      </c>
      <c r="Z304" s="997"/>
    </row>
    <row r="305" spans="1:26">
      <c r="A305" s="35"/>
      <c r="B305" s="20"/>
      <c r="C305" s="13">
        <f t="shared" si="74"/>
        <v>1</v>
      </c>
      <c r="D305" s="600"/>
      <c r="E305" s="13">
        <f t="shared" si="75"/>
        <v>0</v>
      </c>
      <c r="F305" s="600"/>
      <c r="G305" s="13">
        <f t="shared" si="76"/>
        <v>0</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900">
        <f t="shared" si="88"/>
        <v>0</v>
      </c>
      <c r="U305" s="2984">
        <f t="shared" si="82"/>
        <v>0</v>
      </c>
      <c r="V305" s="2984">
        <f t="shared" si="83"/>
        <v>0</v>
      </c>
      <c r="W305" s="997"/>
      <c r="X305" s="2984">
        <f t="shared" si="84"/>
        <v>0</v>
      </c>
      <c r="Y305" s="2984">
        <f t="shared" si="85"/>
        <v>0</v>
      </c>
      <c r="Z305" s="997"/>
    </row>
    <row r="306" spans="1:26">
      <c r="A306" s="35"/>
      <c r="B306" s="20"/>
      <c r="C306" s="13">
        <f t="shared" si="74"/>
        <v>1</v>
      </c>
      <c r="D306" s="600"/>
      <c r="E306" s="13">
        <f t="shared" si="75"/>
        <v>0</v>
      </c>
      <c r="F306" s="600"/>
      <c r="G306" s="13">
        <f t="shared" si="76"/>
        <v>0</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900">
        <f t="shared" si="88"/>
        <v>0</v>
      </c>
      <c r="U306" s="2984">
        <f t="shared" si="82"/>
        <v>0</v>
      </c>
      <c r="V306" s="2984">
        <f t="shared" si="83"/>
        <v>0</v>
      </c>
      <c r="W306" s="997"/>
      <c r="X306" s="2984">
        <f t="shared" si="84"/>
        <v>0</v>
      </c>
      <c r="Y306" s="2984">
        <f t="shared" si="85"/>
        <v>0</v>
      </c>
      <c r="Z306" s="997"/>
    </row>
    <row r="307" spans="1:26">
      <c r="A307" s="35"/>
      <c r="B307" s="20"/>
      <c r="C307" s="13">
        <f t="shared" si="74"/>
        <v>1</v>
      </c>
      <c r="D307" s="600"/>
      <c r="E307" s="13">
        <f t="shared" si="75"/>
        <v>0</v>
      </c>
      <c r="F307" s="600"/>
      <c r="G307" s="13">
        <f t="shared" si="76"/>
        <v>0</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900">
        <f t="shared" si="88"/>
        <v>0</v>
      </c>
      <c r="U307" s="2984">
        <f t="shared" si="82"/>
        <v>0</v>
      </c>
      <c r="V307" s="2984">
        <f t="shared" si="83"/>
        <v>0</v>
      </c>
      <c r="W307" s="997"/>
      <c r="X307" s="2984">
        <f t="shared" si="84"/>
        <v>0</v>
      </c>
      <c r="Y307" s="2984">
        <f t="shared" si="85"/>
        <v>0</v>
      </c>
      <c r="Z307" s="997"/>
    </row>
    <row r="308" spans="1:26">
      <c r="A308" s="35"/>
      <c r="B308" s="20"/>
      <c r="C308" s="13">
        <f t="shared" si="74"/>
        <v>1</v>
      </c>
      <c r="D308" s="600"/>
      <c r="E308" s="13">
        <f t="shared" si="75"/>
        <v>0</v>
      </c>
      <c r="F308" s="600"/>
      <c r="G308" s="13">
        <f t="shared" si="76"/>
        <v>0</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900">
        <f t="shared" si="88"/>
        <v>0</v>
      </c>
      <c r="U308" s="2984">
        <f t="shared" si="82"/>
        <v>0</v>
      </c>
      <c r="V308" s="2984">
        <f t="shared" si="83"/>
        <v>0</v>
      </c>
      <c r="W308" s="997"/>
      <c r="X308" s="2984">
        <f t="shared" si="84"/>
        <v>0</v>
      </c>
      <c r="Y308" s="2984">
        <f t="shared" si="85"/>
        <v>0</v>
      </c>
      <c r="Z308" s="997"/>
    </row>
    <row r="309" spans="1:26">
      <c r="A309" s="35"/>
      <c r="B309" s="20"/>
      <c r="C309" s="13">
        <f t="shared" si="74"/>
        <v>1</v>
      </c>
      <c r="D309" s="600"/>
      <c r="E309" s="13">
        <f t="shared" si="75"/>
        <v>0</v>
      </c>
      <c r="F309" s="600"/>
      <c r="G309" s="13">
        <f t="shared" si="76"/>
        <v>0</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900">
        <f t="shared" si="88"/>
        <v>0</v>
      </c>
      <c r="U309" s="2984">
        <f t="shared" si="82"/>
        <v>0</v>
      </c>
      <c r="V309" s="2984">
        <f t="shared" si="83"/>
        <v>0</v>
      </c>
      <c r="W309" s="997"/>
      <c r="X309" s="2984">
        <f t="shared" si="84"/>
        <v>0</v>
      </c>
      <c r="Y309" s="2984">
        <f t="shared" si="85"/>
        <v>0</v>
      </c>
      <c r="Z309" s="997"/>
    </row>
    <row r="310" spans="1:26">
      <c r="A310" s="35"/>
      <c r="B310" s="20"/>
      <c r="C310" s="13">
        <f t="shared" si="74"/>
        <v>1</v>
      </c>
      <c r="D310" s="600"/>
      <c r="E310" s="13">
        <f t="shared" si="75"/>
        <v>0</v>
      </c>
      <c r="F310" s="600"/>
      <c r="G310" s="13">
        <f t="shared" si="76"/>
        <v>0</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900">
        <f t="shared" si="88"/>
        <v>0</v>
      </c>
      <c r="U310" s="2984">
        <f t="shared" si="82"/>
        <v>0</v>
      </c>
      <c r="V310" s="2984">
        <f t="shared" si="83"/>
        <v>0</v>
      </c>
      <c r="W310" s="997"/>
      <c r="X310" s="2984">
        <f t="shared" si="84"/>
        <v>0</v>
      </c>
      <c r="Y310" s="2984">
        <f t="shared" si="85"/>
        <v>0</v>
      </c>
      <c r="Z310" s="997"/>
    </row>
    <row r="311" spans="1:26">
      <c r="A311" s="35"/>
      <c r="B311" s="20"/>
      <c r="C311" s="13">
        <f t="shared" si="74"/>
        <v>1</v>
      </c>
      <c r="D311" s="600"/>
      <c r="E311" s="13">
        <f t="shared" si="75"/>
        <v>0</v>
      </c>
      <c r="F311" s="600"/>
      <c r="G311" s="13">
        <f t="shared" si="76"/>
        <v>0</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900">
        <f t="shared" si="88"/>
        <v>0</v>
      </c>
      <c r="U311" s="2984">
        <f t="shared" si="82"/>
        <v>0</v>
      </c>
      <c r="V311" s="2984">
        <f t="shared" si="83"/>
        <v>0</v>
      </c>
      <c r="W311" s="997"/>
      <c r="X311" s="2984">
        <f t="shared" si="84"/>
        <v>0</v>
      </c>
      <c r="Y311" s="2984">
        <f t="shared" si="85"/>
        <v>0</v>
      </c>
      <c r="Z311" s="997"/>
    </row>
    <row r="312" spans="1:26">
      <c r="A312" s="35"/>
      <c r="B312" s="20"/>
      <c r="C312" s="13">
        <f t="shared" si="74"/>
        <v>1</v>
      </c>
      <c r="D312" s="600"/>
      <c r="E312" s="13">
        <f t="shared" si="75"/>
        <v>0</v>
      </c>
      <c r="F312" s="600"/>
      <c r="G312" s="13">
        <f t="shared" si="76"/>
        <v>0</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900">
        <f t="shared" si="88"/>
        <v>0</v>
      </c>
      <c r="U312" s="2984">
        <f t="shared" si="82"/>
        <v>0</v>
      </c>
      <c r="V312" s="2984">
        <f t="shared" si="83"/>
        <v>0</v>
      </c>
      <c r="W312" s="997"/>
      <c r="X312" s="2984">
        <f t="shared" si="84"/>
        <v>0</v>
      </c>
      <c r="Y312" s="2984">
        <f t="shared" si="85"/>
        <v>0</v>
      </c>
      <c r="Z312" s="997"/>
    </row>
    <row r="313" spans="1:26">
      <c r="A313" s="35"/>
      <c r="B313" s="20"/>
      <c r="C313" s="13">
        <f t="shared" si="74"/>
        <v>1</v>
      </c>
      <c r="D313" s="600"/>
      <c r="E313" s="13">
        <f t="shared" si="75"/>
        <v>0</v>
      </c>
      <c r="F313" s="600"/>
      <c r="G313" s="13">
        <f t="shared" si="76"/>
        <v>0</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900">
        <f t="shared" si="88"/>
        <v>0</v>
      </c>
      <c r="U313" s="2984">
        <f t="shared" si="82"/>
        <v>0</v>
      </c>
      <c r="V313" s="2984">
        <f t="shared" si="83"/>
        <v>0</v>
      </c>
      <c r="W313" s="997"/>
      <c r="X313" s="2984">
        <f t="shared" si="84"/>
        <v>0</v>
      </c>
      <c r="Y313" s="2984">
        <f t="shared" si="85"/>
        <v>0</v>
      </c>
      <c r="Z313" s="997"/>
    </row>
    <row r="314" spans="1:26">
      <c r="A314" s="35"/>
      <c r="B314" s="20"/>
      <c r="C314" s="13">
        <f t="shared" si="74"/>
        <v>1</v>
      </c>
      <c r="D314" s="600"/>
      <c r="E314" s="13">
        <f t="shared" si="75"/>
        <v>0</v>
      </c>
      <c r="F314" s="600"/>
      <c r="G314" s="13">
        <f t="shared" si="76"/>
        <v>0</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900">
        <f t="shared" si="88"/>
        <v>0</v>
      </c>
      <c r="U314" s="2984">
        <f t="shared" si="82"/>
        <v>0</v>
      </c>
      <c r="V314" s="2984">
        <f t="shared" si="83"/>
        <v>0</v>
      </c>
      <c r="W314" s="997"/>
      <c r="X314" s="2984">
        <f t="shared" si="84"/>
        <v>0</v>
      </c>
      <c r="Y314" s="2984">
        <f t="shared" si="85"/>
        <v>0</v>
      </c>
      <c r="Z314" s="997"/>
    </row>
    <row r="315" spans="1:26">
      <c r="A315" s="35"/>
      <c r="B315" s="20"/>
      <c r="C315" s="13">
        <f t="shared" si="74"/>
        <v>1</v>
      </c>
      <c r="D315" s="600"/>
      <c r="E315" s="13">
        <f t="shared" si="75"/>
        <v>0</v>
      </c>
      <c r="F315" s="600"/>
      <c r="G315" s="13">
        <f t="shared" si="76"/>
        <v>0</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900">
        <f t="shared" si="88"/>
        <v>0</v>
      </c>
      <c r="U315" s="2984">
        <f t="shared" si="82"/>
        <v>0</v>
      </c>
      <c r="V315" s="2984">
        <f t="shared" si="83"/>
        <v>0</v>
      </c>
      <c r="W315" s="997"/>
      <c r="X315" s="2984">
        <f t="shared" si="84"/>
        <v>0</v>
      </c>
      <c r="Y315" s="2984">
        <f t="shared" si="85"/>
        <v>0</v>
      </c>
      <c r="Z315" s="997"/>
    </row>
    <row r="316" spans="1:26">
      <c r="A316" s="35"/>
      <c r="B316" s="20"/>
      <c r="C316" s="13">
        <f t="shared" si="74"/>
        <v>1</v>
      </c>
      <c r="D316" s="600"/>
      <c r="E316" s="13">
        <f t="shared" si="75"/>
        <v>0</v>
      </c>
      <c r="F316" s="600"/>
      <c r="G316" s="13">
        <f t="shared" si="76"/>
        <v>0</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900">
        <f t="shared" si="88"/>
        <v>0</v>
      </c>
      <c r="U316" s="2984">
        <f t="shared" si="82"/>
        <v>0</v>
      </c>
      <c r="V316" s="2984">
        <f t="shared" si="83"/>
        <v>0</v>
      </c>
      <c r="W316" s="997"/>
      <c r="X316" s="2984">
        <f t="shared" si="84"/>
        <v>0</v>
      </c>
      <c r="Y316" s="2984">
        <f t="shared" si="85"/>
        <v>0</v>
      </c>
      <c r="Z316" s="997"/>
    </row>
    <row r="317" spans="1:26">
      <c r="A317" s="35"/>
      <c r="B317" s="20"/>
      <c r="C317" s="13">
        <f t="shared" si="74"/>
        <v>1</v>
      </c>
      <c r="D317" s="600"/>
      <c r="E317" s="13">
        <f t="shared" si="75"/>
        <v>0</v>
      </c>
      <c r="F317" s="600"/>
      <c r="G317" s="13">
        <f t="shared" si="76"/>
        <v>0</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900">
        <f t="shared" si="88"/>
        <v>0</v>
      </c>
      <c r="U317" s="2984">
        <f t="shared" si="82"/>
        <v>0</v>
      </c>
      <c r="V317" s="2984">
        <f t="shared" si="83"/>
        <v>0</v>
      </c>
      <c r="W317" s="997"/>
      <c r="X317" s="2984">
        <f t="shared" si="84"/>
        <v>0</v>
      </c>
      <c r="Y317" s="2984">
        <f t="shared" si="85"/>
        <v>0</v>
      </c>
      <c r="Z317" s="997"/>
    </row>
    <row r="318" spans="1:26">
      <c r="A318" s="35"/>
      <c r="B318" s="20"/>
      <c r="C318" s="13">
        <f t="shared" si="74"/>
        <v>1</v>
      </c>
      <c r="D318" s="600"/>
      <c r="E318" s="13">
        <f t="shared" si="75"/>
        <v>0</v>
      </c>
      <c r="F318" s="600"/>
      <c r="G318" s="13">
        <f t="shared" si="76"/>
        <v>0</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900">
        <f t="shared" si="88"/>
        <v>0</v>
      </c>
      <c r="U318" s="2984">
        <f t="shared" si="82"/>
        <v>0</v>
      </c>
      <c r="V318" s="2984">
        <f t="shared" si="83"/>
        <v>0</v>
      </c>
      <c r="W318" s="997"/>
      <c r="X318" s="2984">
        <f t="shared" si="84"/>
        <v>0</v>
      </c>
      <c r="Y318" s="2984">
        <f t="shared" si="85"/>
        <v>0</v>
      </c>
      <c r="Z318" s="997"/>
    </row>
    <row r="319" spans="1:26">
      <c r="A319" s="35"/>
      <c r="B319" s="20"/>
      <c r="C319" s="13">
        <f t="shared" si="74"/>
        <v>1</v>
      </c>
      <c r="D319" s="600"/>
      <c r="E319" s="13">
        <f t="shared" si="75"/>
        <v>0</v>
      </c>
      <c r="F319" s="600"/>
      <c r="G319" s="13">
        <f t="shared" si="76"/>
        <v>0</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900">
        <f t="shared" si="88"/>
        <v>0</v>
      </c>
      <c r="U319" s="2984">
        <f t="shared" si="82"/>
        <v>0</v>
      </c>
      <c r="V319" s="2984">
        <f t="shared" si="83"/>
        <v>0</v>
      </c>
      <c r="W319" s="997"/>
      <c r="X319" s="2984">
        <f t="shared" si="84"/>
        <v>0</v>
      </c>
      <c r="Y319" s="2984">
        <f t="shared" si="85"/>
        <v>0</v>
      </c>
      <c r="Z319" s="997"/>
    </row>
    <row r="320" spans="1:26">
      <c r="A320" s="35"/>
      <c r="B320" s="20"/>
      <c r="C320" s="13">
        <f t="shared" si="74"/>
        <v>1</v>
      </c>
      <c r="D320" s="600"/>
      <c r="E320" s="13">
        <f t="shared" si="75"/>
        <v>0</v>
      </c>
      <c r="F320" s="600"/>
      <c r="G320" s="13">
        <f t="shared" si="76"/>
        <v>0</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900">
        <f t="shared" si="88"/>
        <v>0</v>
      </c>
      <c r="U320" s="2984">
        <f t="shared" si="82"/>
        <v>0</v>
      </c>
      <c r="V320" s="2984">
        <f t="shared" si="83"/>
        <v>0</v>
      </c>
      <c r="W320" s="997"/>
      <c r="X320" s="2984">
        <f t="shared" si="84"/>
        <v>0</v>
      </c>
      <c r="Y320" s="2984">
        <f t="shared" si="85"/>
        <v>0</v>
      </c>
      <c r="Z320" s="997"/>
    </row>
    <row r="321" spans="1:26">
      <c r="A321" s="35"/>
      <c r="B321" s="20"/>
      <c r="C321" s="13">
        <f t="shared" si="74"/>
        <v>1</v>
      </c>
      <c r="D321" s="600"/>
      <c r="E321" s="13">
        <f t="shared" si="75"/>
        <v>0</v>
      </c>
      <c r="F321" s="600"/>
      <c r="G321" s="13">
        <f t="shared" si="76"/>
        <v>0</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900">
        <f t="shared" si="88"/>
        <v>0</v>
      </c>
      <c r="U321" s="2984">
        <f t="shared" si="82"/>
        <v>0</v>
      </c>
      <c r="V321" s="2984">
        <f t="shared" si="83"/>
        <v>0</v>
      </c>
      <c r="W321" s="997"/>
      <c r="X321" s="2984">
        <f t="shared" si="84"/>
        <v>0</v>
      </c>
      <c r="Y321" s="2984">
        <f t="shared" si="85"/>
        <v>0</v>
      </c>
      <c r="Z321" s="997"/>
    </row>
    <row r="322" spans="1:26">
      <c r="A322" s="35"/>
      <c r="B322" s="20"/>
      <c r="C322" s="13">
        <f t="shared" si="74"/>
        <v>1</v>
      </c>
      <c r="D322" s="600"/>
      <c r="E322" s="13">
        <f t="shared" si="75"/>
        <v>0</v>
      </c>
      <c r="F322" s="600"/>
      <c r="G322" s="13">
        <f t="shared" si="76"/>
        <v>0</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900">
        <f t="shared" si="88"/>
        <v>0</v>
      </c>
      <c r="U322" s="2984">
        <f t="shared" si="82"/>
        <v>0</v>
      </c>
      <c r="V322" s="2984">
        <f t="shared" si="83"/>
        <v>0</v>
      </c>
      <c r="W322" s="997"/>
      <c r="X322" s="2984">
        <f t="shared" si="84"/>
        <v>0</v>
      </c>
      <c r="Y322" s="2984">
        <f t="shared" si="85"/>
        <v>0</v>
      </c>
      <c r="Z322" s="997"/>
    </row>
    <row r="323" spans="1:26">
      <c r="A323" s="35"/>
      <c r="B323" s="20"/>
      <c r="C323" s="13">
        <f t="shared" si="74"/>
        <v>1</v>
      </c>
      <c r="D323" s="600"/>
      <c r="E323" s="13">
        <f t="shared" si="75"/>
        <v>0</v>
      </c>
      <c r="F323" s="600"/>
      <c r="G323" s="13">
        <f t="shared" si="76"/>
        <v>0</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900">
        <f t="shared" si="88"/>
        <v>0</v>
      </c>
      <c r="U323" s="2984">
        <f t="shared" si="82"/>
        <v>0</v>
      </c>
      <c r="V323" s="2984">
        <f t="shared" si="83"/>
        <v>0</v>
      </c>
      <c r="W323" s="997"/>
      <c r="X323" s="2984">
        <f t="shared" si="84"/>
        <v>0</v>
      </c>
      <c r="Y323" s="2984">
        <f t="shared" si="85"/>
        <v>0</v>
      </c>
      <c r="Z323" s="997"/>
    </row>
    <row r="324" spans="1:26">
      <c r="A324" s="35"/>
      <c r="B324" s="20"/>
      <c r="C324" s="13">
        <f t="shared" si="74"/>
        <v>1</v>
      </c>
      <c r="D324" s="600"/>
      <c r="E324" s="13">
        <f t="shared" si="75"/>
        <v>0</v>
      </c>
      <c r="F324" s="600"/>
      <c r="G324" s="13">
        <f t="shared" si="76"/>
        <v>0</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900">
        <f t="shared" si="88"/>
        <v>0</v>
      </c>
      <c r="U324" s="2984">
        <f t="shared" si="82"/>
        <v>0</v>
      </c>
      <c r="V324" s="2984">
        <f t="shared" si="83"/>
        <v>0</v>
      </c>
      <c r="W324" s="997"/>
      <c r="X324" s="2984">
        <f t="shared" si="84"/>
        <v>0</v>
      </c>
      <c r="Y324" s="2984">
        <f t="shared" si="85"/>
        <v>0</v>
      </c>
      <c r="Z324" s="997"/>
    </row>
    <row r="325" spans="1:26">
      <c r="A325" s="35"/>
      <c r="B325" s="20"/>
      <c r="C325" s="13">
        <f t="shared" si="74"/>
        <v>1</v>
      </c>
      <c r="D325" s="600"/>
      <c r="E325" s="13">
        <f t="shared" si="75"/>
        <v>0</v>
      </c>
      <c r="F325" s="600"/>
      <c r="G325" s="13">
        <f t="shared" si="76"/>
        <v>0</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900">
        <f t="shared" si="88"/>
        <v>0</v>
      </c>
      <c r="U325" s="2984">
        <f t="shared" si="82"/>
        <v>0</v>
      </c>
      <c r="V325" s="2984">
        <f t="shared" si="83"/>
        <v>0</v>
      </c>
      <c r="W325" s="997"/>
      <c r="X325" s="2984">
        <f t="shared" si="84"/>
        <v>0</v>
      </c>
      <c r="Y325" s="2984">
        <f t="shared" si="85"/>
        <v>0</v>
      </c>
      <c r="Z325" s="997"/>
    </row>
    <row r="326" spans="1:26">
      <c r="A326" s="35"/>
      <c r="B326" s="20"/>
      <c r="C326" s="13">
        <f t="shared" si="74"/>
        <v>1</v>
      </c>
      <c r="D326" s="600"/>
      <c r="E326" s="13">
        <f t="shared" si="75"/>
        <v>0</v>
      </c>
      <c r="F326" s="600"/>
      <c r="G326" s="13">
        <f t="shared" si="76"/>
        <v>0</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900">
        <f t="shared" si="88"/>
        <v>0</v>
      </c>
      <c r="U326" s="2984">
        <f t="shared" si="82"/>
        <v>0</v>
      </c>
      <c r="V326" s="2984">
        <f t="shared" si="83"/>
        <v>0</v>
      </c>
      <c r="W326" s="997"/>
      <c r="X326" s="2984">
        <f t="shared" si="84"/>
        <v>0</v>
      </c>
      <c r="Y326" s="2984">
        <f t="shared" si="85"/>
        <v>0</v>
      </c>
      <c r="Z326" s="997"/>
    </row>
    <row r="327" spans="1:26">
      <c r="A327" s="35"/>
      <c r="B327" s="20"/>
      <c r="C327" s="13">
        <f t="shared" si="74"/>
        <v>1</v>
      </c>
      <c r="D327" s="600"/>
      <c r="E327" s="13">
        <f t="shared" si="75"/>
        <v>0</v>
      </c>
      <c r="F327" s="600"/>
      <c r="G327" s="13">
        <f t="shared" si="76"/>
        <v>0</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900">
        <f t="shared" si="88"/>
        <v>0</v>
      </c>
      <c r="U327" s="2984">
        <f t="shared" si="82"/>
        <v>0</v>
      </c>
      <c r="V327" s="2984">
        <f t="shared" si="83"/>
        <v>0</v>
      </c>
      <c r="W327" s="997"/>
      <c r="X327" s="2984">
        <f t="shared" si="84"/>
        <v>0</v>
      </c>
      <c r="Y327" s="2984">
        <f t="shared" si="85"/>
        <v>0</v>
      </c>
      <c r="Z327" s="997"/>
    </row>
    <row r="328" spans="1:26">
      <c r="A328" s="35"/>
      <c r="B328" s="20"/>
      <c r="C328" s="13">
        <f t="shared" si="74"/>
        <v>1</v>
      </c>
      <c r="D328" s="600"/>
      <c r="E328" s="13">
        <f t="shared" si="75"/>
        <v>0</v>
      </c>
      <c r="F328" s="600"/>
      <c r="G328" s="13">
        <f t="shared" si="76"/>
        <v>0</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900">
        <f t="shared" si="88"/>
        <v>0</v>
      </c>
      <c r="U328" s="2984">
        <f t="shared" si="82"/>
        <v>0</v>
      </c>
      <c r="V328" s="2984">
        <f t="shared" si="83"/>
        <v>0</v>
      </c>
      <c r="W328" s="997"/>
      <c r="X328" s="2984">
        <f t="shared" si="84"/>
        <v>0</v>
      </c>
      <c r="Y328" s="2984">
        <f t="shared" si="85"/>
        <v>0</v>
      </c>
      <c r="Z328" s="997"/>
    </row>
    <row r="329" spans="1:26">
      <c r="A329" s="35"/>
      <c r="B329" s="20"/>
      <c r="C329" s="13">
        <f t="shared" si="74"/>
        <v>1</v>
      </c>
      <c r="D329" s="600"/>
      <c r="E329" s="13">
        <f t="shared" si="75"/>
        <v>0</v>
      </c>
      <c r="F329" s="600"/>
      <c r="G329" s="13">
        <f t="shared" si="76"/>
        <v>0</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900">
        <f t="shared" si="88"/>
        <v>0</v>
      </c>
      <c r="U329" s="2984">
        <f t="shared" si="82"/>
        <v>0</v>
      </c>
      <c r="V329" s="2984">
        <f t="shared" si="83"/>
        <v>0</v>
      </c>
      <c r="W329" s="997"/>
      <c r="X329" s="2984">
        <f t="shared" si="84"/>
        <v>0</v>
      </c>
      <c r="Y329" s="2984">
        <f t="shared" si="85"/>
        <v>0</v>
      </c>
      <c r="Z329" s="997"/>
    </row>
    <row r="330" spans="1:26">
      <c r="A330" s="35"/>
      <c r="B330" s="20"/>
      <c r="C330" s="13">
        <f t="shared" si="74"/>
        <v>1</v>
      </c>
      <c r="D330" s="600"/>
      <c r="E330" s="13">
        <f t="shared" si="75"/>
        <v>0</v>
      </c>
      <c r="F330" s="600"/>
      <c r="G330" s="13">
        <f t="shared" si="76"/>
        <v>0</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900">
        <f t="shared" si="88"/>
        <v>0</v>
      </c>
      <c r="U330" s="2984">
        <f t="shared" si="82"/>
        <v>0</v>
      </c>
      <c r="V330" s="2984">
        <f t="shared" si="83"/>
        <v>0</v>
      </c>
      <c r="W330" s="997"/>
      <c r="X330" s="2984">
        <f t="shared" si="84"/>
        <v>0</v>
      </c>
      <c r="Y330" s="2984">
        <f t="shared" si="85"/>
        <v>0</v>
      </c>
      <c r="Z330" s="997"/>
    </row>
    <row r="331" spans="1:26">
      <c r="A331" s="35"/>
      <c r="B331" s="20"/>
      <c r="C331" s="13">
        <f t="shared" si="74"/>
        <v>1</v>
      </c>
      <c r="D331" s="600"/>
      <c r="E331" s="13">
        <f t="shared" si="75"/>
        <v>0</v>
      </c>
      <c r="F331" s="600"/>
      <c r="G331" s="13">
        <f t="shared" si="76"/>
        <v>0</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900">
        <f t="shared" si="88"/>
        <v>0</v>
      </c>
      <c r="U331" s="2984">
        <f t="shared" si="82"/>
        <v>0</v>
      </c>
      <c r="V331" s="2984">
        <f t="shared" si="83"/>
        <v>0</v>
      </c>
      <c r="W331" s="997"/>
      <c r="X331" s="2984">
        <f t="shared" si="84"/>
        <v>0</v>
      </c>
      <c r="Y331" s="2984">
        <f t="shared" si="85"/>
        <v>0</v>
      </c>
      <c r="Z331" s="997"/>
    </row>
    <row r="332" spans="1:26">
      <c r="A332" s="35"/>
      <c r="B332" s="20"/>
      <c r="C332" s="13">
        <f t="shared" si="74"/>
        <v>1</v>
      </c>
      <c r="D332" s="600"/>
      <c r="E332" s="13">
        <f t="shared" si="75"/>
        <v>0</v>
      </c>
      <c r="F332" s="600"/>
      <c r="G332" s="13">
        <f t="shared" si="76"/>
        <v>0</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900">
        <f t="shared" si="88"/>
        <v>0</v>
      </c>
      <c r="U332" s="2984">
        <f t="shared" si="82"/>
        <v>0</v>
      </c>
      <c r="V332" s="2984">
        <f t="shared" si="83"/>
        <v>0</v>
      </c>
      <c r="W332" s="997"/>
      <c r="X332" s="2984">
        <f t="shared" si="84"/>
        <v>0</v>
      </c>
      <c r="Y332" s="2984">
        <f t="shared" si="85"/>
        <v>0</v>
      </c>
      <c r="Z332" s="997"/>
    </row>
    <row r="333" spans="1:26">
      <c r="A333" s="35"/>
      <c r="B333" s="20"/>
      <c r="C333" s="13">
        <f t="shared" si="74"/>
        <v>1</v>
      </c>
      <c r="D333" s="600"/>
      <c r="E333" s="13">
        <f t="shared" si="75"/>
        <v>0</v>
      </c>
      <c r="F333" s="600"/>
      <c r="G333" s="13">
        <f t="shared" si="76"/>
        <v>0</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900">
        <f t="shared" si="88"/>
        <v>0</v>
      </c>
      <c r="U333" s="2984">
        <f t="shared" si="82"/>
        <v>0</v>
      </c>
      <c r="V333" s="2984">
        <f t="shared" si="83"/>
        <v>0</v>
      </c>
      <c r="W333" s="997"/>
      <c r="X333" s="2984">
        <f t="shared" si="84"/>
        <v>0</v>
      </c>
      <c r="Y333" s="2984">
        <f t="shared" si="85"/>
        <v>0</v>
      </c>
      <c r="Z333" s="997"/>
    </row>
    <row r="334" spans="1:26">
      <c r="A334" s="35"/>
      <c r="B334" s="20"/>
      <c r="C334" s="13">
        <f t="shared" si="74"/>
        <v>1</v>
      </c>
      <c r="D334" s="600"/>
      <c r="E334" s="13">
        <f t="shared" si="75"/>
        <v>0</v>
      </c>
      <c r="F334" s="600"/>
      <c r="G334" s="13">
        <f t="shared" si="76"/>
        <v>0</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900">
        <f t="shared" si="88"/>
        <v>0</v>
      </c>
      <c r="U334" s="2984">
        <f t="shared" si="82"/>
        <v>0</v>
      </c>
      <c r="V334" s="2984">
        <f t="shared" si="83"/>
        <v>0</v>
      </c>
      <c r="W334" s="997"/>
      <c r="X334" s="2984">
        <f t="shared" si="84"/>
        <v>0</v>
      </c>
      <c r="Y334" s="2984">
        <f t="shared" si="85"/>
        <v>0</v>
      </c>
      <c r="Z334" s="997"/>
    </row>
    <row r="335" spans="1:26">
      <c r="A335" s="35"/>
      <c r="B335" s="20"/>
      <c r="C335" s="13">
        <f t="shared" si="74"/>
        <v>1</v>
      </c>
      <c r="D335" s="600"/>
      <c r="E335" s="13">
        <f t="shared" si="75"/>
        <v>0</v>
      </c>
      <c r="F335" s="600"/>
      <c r="G335" s="13">
        <f t="shared" si="76"/>
        <v>0</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900">
        <f t="shared" si="88"/>
        <v>0</v>
      </c>
      <c r="U335" s="2984">
        <f t="shared" si="82"/>
        <v>0</v>
      </c>
      <c r="V335" s="2984">
        <f t="shared" si="83"/>
        <v>0</v>
      </c>
      <c r="W335" s="997"/>
      <c r="X335" s="2984">
        <f t="shared" si="84"/>
        <v>0</v>
      </c>
      <c r="Y335" s="2984">
        <f t="shared" si="85"/>
        <v>0</v>
      </c>
      <c r="Z335" s="997"/>
    </row>
    <row r="336" spans="1:26">
      <c r="A336" s="35"/>
      <c r="B336" s="20"/>
      <c r="C336" s="13">
        <f t="shared" si="74"/>
        <v>1</v>
      </c>
      <c r="D336" s="600"/>
      <c r="E336" s="13">
        <f t="shared" si="75"/>
        <v>0</v>
      </c>
      <c r="F336" s="600"/>
      <c r="G336" s="13">
        <f t="shared" si="76"/>
        <v>0</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900">
        <f t="shared" si="88"/>
        <v>0</v>
      </c>
      <c r="U336" s="2984">
        <f t="shared" si="82"/>
        <v>0</v>
      </c>
      <c r="V336" s="2984">
        <f t="shared" si="83"/>
        <v>0</v>
      </c>
      <c r="W336" s="997"/>
      <c r="X336" s="2984">
        <f t="shared" si="84"/>
        <v>0</v>
      </c>
      <c r="Y336" s="2984">
        <f t="shared" si="85"/>
        <v>0</v>
      </c>
      <c r="Z336" s="997"/>
    </row>
    <row r="337" spans="1:26">
      <c r="A337" s="35"/>
      <c r="B337" s="20"/>
      <c r="C337" s="13">
        <f t="shared" si="74"/>
        <v>1</v>
      </c>
      <c r="D337" s="600"/>
      <c r="E337" s="13">
        <f t="shared" si="75"/>
        <v>0</v>
      </c>
      <c r="F337" s="600"/>
      <c r="G337" s="13">
        <f t="shared" si="76"/>
        <v>0</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900">
        <f t="shared" si="88"/>
        <v>0</v>
      </c>
      <c r="U337" s="2984">
        <f t="shared" si="82"/>
        <v>0</v>
      </c>
      <c r="V337" s="2984">
        <f t="shared" si="83"/>
        <v>0</v>
      </c>
      <c r="W337" s="997"/>
      <c r="X337" s="2984">
        <f t="shared" si="84"/>
        <v>0</v>
      </c>
      <c r="Y337" s="2984">
        <f t="shared" si="85"/>
        <v>0</v>
      </c>
      <c r="Z337" s="997"/>
    </row>
    <row r="338" spans="1:26">
      <c r="A338" s="35"/>
      <c r="B338" s="20"/>
      <c r="C338" s="13">
        <f t="shared" si="74"/>
        <v>1</v>
      </c>
      <c r="D338" s="600"/>
      <c r="E338" s="13">
        <f t="shared" si="75"/>
        <v>0</v>
      </c>
      <c r="F338" s="600"/>
      <c r="G338" s="13">
        <f t="shared" si="76"/>
        <v>0</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900">
        <f t="shared" si="88"/>
        <v>0</v>
      </c>
      <c r="U338" s="2984">
        <f t="shared" si="82"/>
        <v>0</v>
      </c>
      <c r="V338" s="2984">
        <f t="shared" si="83"/>
        <v>0</v>
      </c>
      <c r="W338" s="997"/>
      <c r="X338" s="2984">
        <f t="shared" si="84"/>
        <v>0</v>
      </c>
      <c r="Y338" s="2984">
        <f t="shared" si="85"/>
        <v>0</v>
      </c>
      <c r="Z338" s="997"/>
    </row>
    <row r="339" spans="1:26">
      <c r="A339" s="35"/>
      <c r="B339" s="20"/>
      <c r="C339" s="13">
        <f t="shared" si="74"/>
        <v>1</v>
      </c>
      <c r="D339" s="600"/>
      <c r="E339" s="13">
        <f t="shared" si="75"/>
        <v>0</v>
      </c>
      <c r="F339" s="600"/>
      <c r="G339" s="13">
        <f t="shared" si="76"/>
        <v>0</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900">
        <f t="shared" si="88"/>
        <v>0</v>
      </c>
      <c r="U339" s="2984">
        <f t="shared" si="82"/>
        <v>0</v>
      </c>
      <c r="V339" s="2984">
        <f t="shared" si="83"/>
        <v>0</v>
      </c>
      <c r="W339" s="997"/>
      <c r="X339" s="2984">
        <f t="shared" si="84"/>
        <v>0</v>
      </c>
      <c r="Y339" s="2984">
        <f t="shared" si="85"/>
        <v>0</v>
      </c>
      <c r="Z339" s="997"/>
    </row>
    <row r="340" spans="1:26">
      <c r="A340" s="35"/>
      <c r="B340" s="20"/>
      <c r="C340" s="13">
        <f t="shared" si="74"/>
        <v>1</v>
      </c>
      <c r="D340" s="600"/>
      <c r="E340" s="13">
        <f t="shared" si="75"/>
        <v>0</v>
      </c>
      <c r="F340" s="600"/>
      <c r="G340" s="13">
        <f t="shared" si="76"/>
        <v>0</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900">
        <f t="shared" si="88"/>
        <v>0</v>
      </c>
      <c r="U340" s="2984">
        <f t="shared" si="82"/>
        <v>0</v>
      </c>
      <c r="V340" s="2984">
        <f t="shared" si="83"/>
        <v>0</v>
      </c>
      <c r="W340" s="997"/>
      <c r="X340" s="2984">
        <f t="shared" si="84"/>
        <v>0</v>
      </c>
      <c r="Y340" s="2984">
        <f t="shared" si="85"/>
        <v>0</v>
      </c>
      <c r="Z340" s="997"/>
    </row>
    <row r="341" spans="1:26">
      <c r="A341" s="35"/>
      <c r="B341" s="20"/>
      <c r="C341" s="13">
        <f t="shared" si="74"/>
        <v>1</v>
      </c>
      <c r="D341" s="600"/>
      <c r="E341" s="13">
        <f t="shared" si="75"/>
        <v>0</v>
      </c>
      <c r="F341" s="600"/>
      <c r="G341" s="13">
        <f t="shared" si="76"/>
        <v>0</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900">
        <f t="shared" si="88"/>
        <v>0</v>
      </c>
      <c r="U341" s="2984">
        <f t="shared" si="82"/>
        <v>0</v>
      </c>
      <c r="V341" s="2984">
        <f t="shared" si="83"/>
        <v>0</v>
      </c>
      <c r="W341" s="997"/>
      <c r="X341" s="2984">
        <f t="shared" si="84"/>
        <v>0</v>
      </c>
      <c r="Y341" s="2984">
        <f t="shared" si="85"/>
        <v>0</v>
      </c>
      <c r="Z341" s="997"/>
    </row>
    <row r="342" spans="1:26">
      <c r="A342" s="35"/>
      <c r="B342" s="20"/>
      <c r="C342" s="13">
        <f t="shared" si="74"/>
        <v>1</v>
      </c>
      <c r="D342" s="600"/>
      <c r="E342" s="13">
        <f t="shared" si="75"/>
        <v>0</v>
      </c>
      <c r="F342" s="600"/>
      <c r="G342" s="13">
        <f t="shared" si="76"/>
        <v>0</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900">
        <f t="shared" si="88"/>
        <v>0</v>
      </c>
      <c r="U342" s="2984">
        <f t="shared" si="82"/>
        <v>0</v>
      </c>
      <c r="V342" s="2984">
        <f t="shared" si="83"/>
        <v>0</v>
      </c>
      <c r="W342" s="997"/>
      <c r="X342" s="2984">
        <f t="shared" si="84"/>
        <v>0</v>
      </c>
      <c r="Y342" s="2984">
        <f t="shared" si="85"/>
        <v>0</v>
      </c>
      <c r="Z342" s="997"/>
    </row>
    <row r="343" spans="1:26">
      <c r="A343" s="35"/>
      <c r="B343" s="20"/>
      <c r="C343" s="13">
        <f t="shared" si="74"/>
        <v>1</v>
      </c>
      <c r="D343" s="600"/>
      <c r="E343" s="13">
        <f t="shared" si="75"/>
        <v>0</v>
      </c>
      <c r="F343" s="600"/>
      <c r="G343" s="13">
        <f t="shared" si="76"/>
        <v>0</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900">
        <f t="shared" si="88"/>
        <v>0</v>
      </c>
      <c r="U343" s="2984">
        <f t="shared" si="82"/>
        <v>0</v>
      </c>
      <c r="V343" s="2984">
        <f t="shared" si="83"/>
        <v>0</v>
      </c>
      <c r="W343" s="997"/>
      <c r="X343" s="2984">
        <f t="shared" si="84"/>
        <v>0</v>
      </c>
      <c r="Y343" s="2984">
        <f t="shared" si="85"/>
        <v>0</v>
      </c>
      <c r="Z343" s="997"/>
    </row>
    <row r="344" spans="1:26">
      <c r="A344" s="35"/>
      <c r="B344" s="20"/>
      <c r="C344" s="13">
        <f t="shared" si="74"/>
        <v>1</v>
      </c>
      <c r="D344" s="600"/>
      <c r="E344" s="13">
        <f t="shared" si="75"/>
        <v>0</v>
      </c>
      <c r="F344" s="600"/>
      <c r="G344" s="13">
        <f t="shared" si="76"/>
        <v>0</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900">
        <f t="shared" si="88"/>
        <v>0</v>
      </c>
      <c r="U344" s="2984">
        <f t="shared" si="82"/>
        <v>0</v>
      </c>
      <c r="V344" s="2984">
        <f t="shared" si="83"/>
        <v>0</v>
      </c>
      <c r="W344" s="997"/>
      <c r="X344" s="2984">
        <f t="shared" si="84"/>
        <v>0</v>
      </c>
      <c r="Y344" s="2984">
        <f t="shared" si="85"/>
        <v>0</v>
      </c>
      <c r="Z344" s="997"/>
    </row>
    <row r="345" spans="1:26">
      <c r="A345" s="35"/>
      <c r="B345" s="20"/>
      <c r="C345" s="13">
        <f t="shared" si="74"/>
        <v>1</v>
      </c>
      <c r="D345" s="600"/>
      <c r="E345" s="13">
        <f t="shared" si="75"/>
        <v>0</v>
      </c>
      <c r="F345" s="600"/>
      <c r="G345" s="13">
        <f t="shared" si="76"/>
        <v>0</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900">
        <f t="shared" si="88"/>
        <v>0</v>
      </c>
      <c r="U345" s="2984">
        <f t="shared" si="82"/>
        <v>0</v>
      </c>
      <c r="V345" s="2984">
        <f t="shared" si="83"/>
        <v>0</v>
      </c>
      <c r="W345" s="997"/>
      <c r="X345" s="2984">
        <f t="shared" si="84"/>
        <v>0</v>
      </c>
      <c r="Y345" s="2984">
        <f t="shared" si="85"/>
        <v>0</v>
      </c>
      <c r="Z345" s="997"/>
    </row>
    <row r="346" spans="1:26">
      <c r="A346" s="35"/>
      <c r="B346" s="20"/>
      <c r="C346" s="13">
        <f t="shared" si="74"/>
        <v>1</v>
      </c>
      <c r="D346" s="600"/>
      <c r="E346" s="13">
        <f t="shared" si="75"/>
        <v>0</v>
      </c>
      <c r="F346" s="600"/>
      <c r="G346" s="13">
        <f t="shared" si="76"/>
        <v>0</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900">
        <f t="shared" si="88"/>
        <v>0</v>
      </c>
      <c r="U346" s="2984">
        <f t="shared" si="82"/>
        <v>0</v>
      </c>
      <c r="V346" s="2984">
        <f t="shared" si="83"/>
        <v>0</v>
      </c>
      <c r="W346" s="997"/>
      <c r="X346" s="2984">
        <f t="shared" si="84"/>
        <v>0</v>
      </c>
      <c r="Y346" s="2984">
        <f t="shared" si="85"/>
        <v>0</v>
      </c>
      <c r="Z346" s="997"/>
    </row>
    <row r="347" spans="1:26">
      <c r="A347" s="35"/>
      <c r="B347" s="20"/>
      <c r="C347" s="13">
        <f t="shared" si="74"/>
        <v>1</v>
      </c>
      <c r="D347" s="600"/>
      <c r="E347" s="13">
        <f t="shared" si="75"/>
        <v>0</v>
      </c>
      <c r="F347" s="600"/>
      <c r="G347" s="13">
        <f t="shared" si="76"/>
        <v>0</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900">
        <f t="shared" si="88"/>
        <v>0</v>
      </c>
      <c r="U347" s="2984">
        <f t="shared" si="82"/>
        <v>0</v>
      </c>
      <c r="V347" s="2984">
        <f t="shared" si="83"/>
        <v>0</v>
      </c>
      <c r="W347" s="997"/>
      <c r="X347" s="2984">
        <f t="shared" si="84"/>
        <v>0</v>
      </c>
      <c r="Y347" s="2984">
        <f t="shared" si="85"/>
        <v>0</v>
      </c>
      <c r="Z347" s="997"/>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0</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900">
        <f t="shared" si="88"/>
        <v>0</v>
      </c>
      <c r="U348" s="2984">
        <f t="shared" ref="U348:U411" si="97">ROUND(W348*B348,0)</f>
        <v>0</v>
      </c>
      <c r="V348" s="2984">
        <f t="shared" ref="V348:V411" si="98">ROUND(W348*B348/10000,0)</f>
        <v>0</v>
      </c>
      <c r="W348" s="997"/>
      <c r="X348" s="2984">
        <f t="shared" ref="X348:X411" si="99">ROUND(Z348*B348,0)</f>
        <v>0</v>
      </c>
      <c r="Y348" s="2984">
        <f t="shared" ref="Y348:Y411" si="100">ROUND(Z348*B348/10000,0)</f>
        <v>0</v>
      </c>
      <c r="Z348" s="997"/>
    </row>
    <row r="349" spans="1:26">
      <c r="A349" s="35"/>
      <c r="B349" s="20"/>
      <c r="C349" s="13">
        <f t="shared" si="89"/>
        <v>1</v>
      </c>
      <c r="D349" s="600"/>
      <c r="E349" s="13">
        <f t="shared" si="90"/>
        <v>0</v>
      </c>
      <c r="F349" s="600"/>
      <c r="G349" s="13">
        <f t="shared" si="91"/>
        <v>0</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900">
        <f t="shared" ref="T349:T412" si="103">ROUND(R349*B349/10000,0)</f>
        <v>0</v>
      </c>
      <c r="U349" s="2984">
        <f t="shared" si="97"/>
        <v>0</v>
      </c>
      <c r="V349" s="2984">
        <f t="shared" si="98"/>
        <v>0</v>
      </c>
      <c r="W349" s="997"/>
      <c r="X349" s="2984">
        <f t="shared" si="99"/>
        <v>0</v>
      </c>
      <c r="Y349" s="2984">
        <f t="shared" si="100"/>
        <v>0</v>
      </c>
      <c r="Z349" s="997"/>
    </row>
    <row r="350" spans="1:26">
      <c r="A350" s="35"/>
      <c r="B350" s="20"/>
      <c r="C350" s="13">
        <f t="shared" si="89"/>
        <v>1</v>
      </c>
      <c r="D350" s="600"/>
      <c r="E350" s="13">
        <f t="shared" si="90"/>
        <v>0</v>
      </c>
      <c r="F350" s="600"/>
      <c r="G350" s="13">
        <f t="shared" si="91"/>
        <v>0</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900">
        <f t="shared" si="103"/>
        <v>0</v>
      </c>
      <c r="U350" s="2984">
        <f t="shared" si="97"/>
        <v>0</v>
      </c>
      <c r="V350" s="2984">
        <f t="shared" si="98"/>
        <v>0</v>
      </c>
      <c r="W350" s="997"/>
      <c r="X350" s="2984">
        <f t="shared" si="99"/>
        <v>0</v>
      </c>
      <c r="Y350" s="2984">
        <f t="shared" si="100"/>
        <v>0</v>
      </c>
      <c r="Z350" s="997"/>
    </row>
    <row r="351" spans="1:26">
      <c r="A351" s="35"/>
      <c r="B351" s="20"/>
      <c r="C351" s="13">
        <f t="shared" si="89"/>
        <v>1</v>
      </c>
      <c r="D351" s="600"/>
      <c r="E351" s="13">
        <f t="shared" si="90"/>
        <v>0</v>
      </c>
      <c r="F351" s="600"/>
      <c r="G351" s="13">
        <f t="shared" si="91"/>
        <v>0</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900">
        <f t="shared" si="103"/>
        <v>0</v>
      </c>
      <c r="U351" s="2984">
        <f t="shared" si="97"/>
        <v>0</v>
      </c>
      <c r="V351" s="2984">
        <f t="shared" si="98"/>
        <v>0</v>
      </c>
      <c r="W351" s="997"/>
      <c r="X351" s="2984">
        <f t="shared" si="99"/>
        <v>0</v>
      </c>
      <c r="Y351" s="2984">
        <f t="shared" si="100"/>
        <v>0</v>
      </c>
      <c r="Z351" s="997"/>
    </row>
    <row r="352" spans="1:26">
      <c r="A352" s="35"/>
      <c r="B352" s="20"/>
      <c r="C352" s="13">
        <f t="shared" si="89"/>
        <v>1</v>
      </c>
      <c r="D352" s="600"/>
      <c r="E352" s="13">
        <f t="shared" si="90"/>
        <v>0</v>
      </c>
      <c r="F352" s="600"/>
      <c r="G352" s="13">
        <f t="shared" si="91"/>
        <v>0</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900">
        <f t="shared" si="103"/>
        <v>0</v>
      </c>
      <c r="U352" s="2984">
        <f t="shared" si="97"/>
        <v>0</v>
      </c>
      <c r="V352" s="2984">
        <f t="shared" si="98"/>
        <v>0</v>
      </c>
      <c r="W352" s="997"/>
      <c r="X352" s="2984">
        <f t="shared" si="99"/>
        <v>0</v>
      </c>
      <c r="Y352" s="2984">
        <f t="shared" si="100"/>
        <v>0</v>
      </c>
      <c r="Z352" s="997"/>
    </row>
    <row r="353" spans="1:26">
      <c r="A353" s="35"/>
      <c r="B353" s="20"/>
      <c r="C353" s="13">
        <f t="shared" si="89"/>
        <v>1</v>
      </c>
      <c r="D353" s="600"/>
      <c r="E353" s="13">
        <f t="shared" si="90"/>
        <v>0</v>
      </c>
      <c r="F353" s="600"/>
      <c r="G353" s="13">
        <f t="shared" si="91"/>
        <v>0</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900">
        <f t="shared" si="103"/>
        <v>0</v>
      </c>
      <c r="U353" s="2984">
        <f t="shared" si="97"/>
        <v>0</v>
      </c>
      <c r="V353" s="2984">
        <f t="shared" si="98"/>
        <v>0</v>
      </c>
      <c r="W353" s="997"/>
      <c r="X353" s="2984">
        <f t="shared" si="99"/>
        <v>0</v>
      </c>
      <c r="Y353" s="2984">
        <f t="shared" si="100"/>
        <v>0</v>
      </c>
      <c r="Z353" s="997"/>
    </row>
    <row r="354" spans="1:26">
      <c r="A354" s="35"/>
      <c r="B354" s="20"/>
      <c r="C354" s="13">
        <f t="shared" si="89"/>
        <v>1</v>
      </c>
      <c r="D354" s="600"/>
      <c r="E354" s="13">
        <f t="shared" si="90"/>
        <v>0</v>
      </c>
      <c r="F354" s="600"/>
      <c r="G354" s="13">
        <f t="shared" si="91"/>
        <v>0</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900">
        <f t="shared" si="103"/>
        <v>0</v>
      </c>
      <c r="U354" s="2984">
        <f t="shared" si="97"/>
        <v>0</v>
      </c>
      <c r="V354" s="2984">
        <f t="shared" si="98"/>
        <v>0</v>
      </c>
      <c r="W354" s="997"/>
      <c r="X354" s="2984">
        <f t="shared" si="99"/>
        <v>0</v>
      </c>
      <c r="Y354" s="2984">
        <f t="shared" si="100"/>
        <v>0</v>
      </c>
      <c r="Z354" s="997"/>
    </row>
    <row r="355" spans="1:26">
      <c r="A355" s="35"/>
      <c r="B355" s="20"/>
      <c r="C355" s="13">
        <f t="shared" si="89"/>
        <v>1</v>
      </c>
      <c r="D355" s="600"/>
      <c r="E355" s="13">
        <f t="shared" si="90"/>
        <v>0</v>
      </c>
      <c r="F355" s="600"/>
      <c r="G355" s="13">
        <f t="shared" si="91"/>
        <v>0</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900">
        <f t="shared" si="103"/>
        <v>0</v>
      </c>
      <c r="U355" s="2984">
        <f t="shared" si="97"/>
        <v>0</v>
      </c>
      <c r="V355" s="2984">
        <f t="shared" si="98"/>
        <v>0</v>
      </c>
      <c r="W355" s="997"/>
      <c r="X355" s="2984">
        <f t="shared" si="99"/>
        <v>0</v>
      </c>
      <c r="Y355" s="2984">
        <f t="shared" si="100"/>
        <v>0</v>
      </c>
      <c r="Z355" s="997"/>
    </row>
    <row r="356" spans="1:26">
      <c r="A356" s="35"/>
      <c r="B356" s="20"/>
      <c r="C356" s="13">
        <f t="shared" si="89"/>
        <v>1</v>
      </c>
      <c r="D356" s="600"/>
      <c r="E356" s="13">
        <f t="shared" si="90"/>
        <v>0</v>
      </c>
      <c r="F356" s="600"/>
      <c r="G356" s="13">
        <f t="shared" si="91"/>
        <v>0</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900">
        <f t="shared" si="103"/>
        <v>0</v>
      </c>
      <c r="U356" s="2984">
        <f t="shared" si="97"/>
        <v>0</v>
      </c>
      <c r="V356" s="2984">
        <f t="shared" si="98"/>
        <v>0</v>
      </c>
      <c r="W356" s="997"/>
      <c r="X356" s="2984">
        <f t="shared" si="99"/>
        <v>0</v>
      </c>
      <c r="Y356" s="2984">
        <f t="shared" si="100"/>
        <v>0</v>
      </c>
      <c r="Z356" s="997"/>
    </row>
    <row r="357" spans="1:26">
      <c r="A357" s="35"/>
      <c r="B357" s="20"/>
      <c r="C357" s="13">
        <f t="shared" si="89"/>
        <v>1</v>
      </c>
      <c r="D357" s="600"/>
      <c r="E357" s="13">
        <f t="shared" si="90"/>
        <v>0</v>
      </c>
      <c r="F357" s="600"/>
      <c r="G357" s="13">
        <f t="shared" si="91"/>
        <v>0</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900">
        <f t="shared" si="103"/>
        <v>0</v>
      </c>
      <c r="U357" s="2984">
        <f t="shared" si="97"/>
        <v>0</v>
      </c>
      <c r="V357" s="2984">
        <f t="shared" si="98"/>
        <v>0</v>
      </c>
      <c r="W357" s="997"/>
      <c r="X357" s="2984">
        <f t="shared" si="99"/>
        <v>0</v>
      </c>
      <c r="Y357" s="2984">
        <f t="shared" si="100"/>
        <v>0</v>
      </c>
      <c r="Z357" s="997"/>
    </row>
    <row r="358" spans="1:26">
      <c r="A358" s="35"/>
      <c r="B358" s="20"/>
      <c r="C358" s="13">
        <f t="shared" si="89"/>
        <v>1</v>
      </c>
      <c r="D358" s="600"/>
      <c r="E358" s="13">
        <f t="shared" si="90"/>
        <v>0</v>
      </c>
      <c r="F358" s="600"/>
      <c r="G358" s="13">
        <f t="shared" si="91"/>
        <v>0</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900">
        <f t="shared" si="103"/>
        <v>0</v>
      </c>
      <c r="U358" s="2984">
        <f t="shared" si="97"/>
        <v>0</v>
      </c>
      <c r="V358" s="2984">
        <f t="shared" si="98"/>
        <v>0</v>
      </c>
      <c r="W358" s="997"/>
      <c r="X358" s="2984">
        <f t="shared" si="99"/>
        <v>0</v>
      </c>
      <c r="Y358" s="2984">
        <f t="shared" si="100"/>
        <v>0</v>
      </c>
      <c r="Z358" s="997"/>
    </row>
    <row r="359" spans="1:26">
      <c r="A359" s="35"/>
      <c r="B359" s="20"/>
      <c r="C359" s="13">
        <f t="shared" si="89"/>
        <v>1</v>
      </c>
      <c r="D359" s="600"/>
      <c r="E359" s="13">
        <f t="shared" si="90"/>
        <v>0</v>
      </c>
      <c r="F359" s="600"/>
      <c r="G359" s="13">
        <f t="shared" si="91"/>
        <v>0</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900">
        <f t="shared" si="103"/>
        <v>0</v>
      </c>
      <c r="U359" s="2984">
        <f t="shared" si="97"/>
        <v>0</v>
      </c>
      <c r="V359" s="2984">
        <f t="shared" si="98"/>
        <v>0</v>
      </c>
      <c r="W359" s="997"/>
      <c r="X359" s="2984">
        <f t="shared" si="99"/>
        <v>0</v>
      </c>
      <c r="Y359" s="2984">
        <f t="shared" si="100"/>
        <v>0</v>
      </c>
      <c r="Z359" s="997"/>
    </row>
    <row r="360" spans="1:26">
      <c r="A360" s="35"/>
      <c r="B360" s="20"/>
      <c r="C360" s="13">
        <f t="shared" si="89"/>
        <v>1</v>
      </c>
      <c r="D360" s="600"/>
      <c r="E360" s="13">
        <f t="shared" si="90"/>
        <v>0</v>
      </c>
      <c r="F360" s="600"/>
      <c r="G360" s="13">
        <f t="shared" si="91"/>
        <v>0</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900">
        <f t="shared" si="103"/>
        <v>0</v>
      </c>
      <c r="U360" s="2984">
        <f t="shared" si="97"/>
        <v>0</v>
      </c>
      <c r="V360" s="2984">
        <f t="shared" si="98"/>
        <v>0</v>
      </c>
      <c r="W360" s="997"/>
      <c r="X360" s="2984">
        <f t="shared" si="99"/>
        <v>0</v>
      </c>
      <c r="Y360" s="2984">
        <f t="shared" si="100"/>
        <v>0</v>
      </c>
      <c r="Z360" s="997"/>
    </row>
    <row r="361" spans="1:26">
      <c r="A361" s="35"/>
      <c r="B361" s="20"/>
      <c r="C361" s="13">
        <f t="shared" si="89"/>
        <v>1</v>
      </c>
      <c r="D361" s="600"/>
      <c r="E361" s="13">
        <f t="shared" si="90"/>
        <v>0</v>
      </c>
      <c r="F361" s="600"/>
      <c r="G361" s="13">
        <f t="shared" si="91"/>
        <v>0</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900">
        <f t="shared" si="103"/>
        <v>0</v>
      </c>
      <c r="U361" s="2984">
        <f t="shared" si="97"/>
        <v>0</v>
      </c>
      <c r="V361" s="2984">
        <f t="shared" si="98"/>
        <v>0</v>
      </c>
      <c r="W361" s="997"/>
      <c r="X361" s="2984">
        <f t="shared" si="99"/>
        <v>0</v>
      </c>
      <c r="Y361" s="2984">
        <f t="shared" si="100"/>
        <v>0</v>
      </c>
      <c r="Z361" s="997"/>
    </row>
    <row r="362" spans="1:26">
      <c r="A362" s="35"/>
      <c r="B362" s="20"/>
      <c r="C362" s="13">
        <f t="shared" si="89"/>
        <v>1</v>
      </c>
      <c r="D362" s="600"/>
      <c r="E362" s="13">
        <f t="shared" si="90"/>
        <v>0</v>
      </c>
      <c r="F362" s="600"/>
      <c r="G362" s="13">
        <f t="shared" si="91"/>
        <v>0</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900">
        <f t="shared" si="103"/>
        <v>0</v>
      </c>
      <c r="U362" s="2984">
        <f t="shared" si="97"/>
        <v>0</v>
      </c>
      <c r="V362" s="2984">
        <f t="shared" si="98"/>
        <v>0</v>
      </c>
      <c r="W362" s="997"/>
      <c r="X362" s="2984">
        <f t="shared" si="99"/>
        <v>0</v>
      </c>
      <c r="Y362" s="2984">
        <f t="shared" si="100"/>
        <v>0</v>
      </c>
      <c r="Z362" s="997"/>
    </row>
    <row r="363" spans="1:26">
      <c r="A363" s="35"/>
      <c r="B363" s="20"/>
      <c r="C363" s="13">
        <f t="shared" si="89"/>
        <v>1</v>
      </c>
      <c r="D363" s="600"/>
      <c r="E363" s="13">
        <f t="shared" si="90"/>
        <v>0</v>
      </c>
      <c r="F363" s="600"/>
      <c r="G363" s="13">
        <f t="shared" si="91"/>
        <v>0</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900">
        <f t="shared" si="103"/>
        <v>0</v>
      </c>
      <c r="U363" s="2984">
        <f t="shared" si="97"/>
        <v>0</v>
      </c>
      <c r="V363" s="2984">
        <f t="shared" si="98"/>
        <v>0</v>
      </c>
      <c r="W363" s="997"/>
      <c r="X363" s="2984">
        <f t="shared" si="99"/>
        <v>0</v>
      </c>
      <c r="Y363" s="2984">
        <f t="shared" si="100"/>
        <v>0</v>
      </c>
      <c r="Z363" s="997"/>
    </row>
    <row r="364" spans="1:26">
      <c r="A364" s="35"/>
      <c r="B364" s="20"/>
      <c r="C364" s="13">
        <f t="shared" si="89"/>
        <v>1</v>
      </c>
      <c r="D364" s="600"/>
      <c r="E364" s="13">
        <f t="shared" si="90"/>
        <v>0</v>
      </c>
      <c r="F364" s="600"/>
      <c r="G364" s="13">
        <f t="shared" si="91"/>
        <v>0</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900">
        <f t="shared" si="103"/>
        <v>0</v>
      </c>
      <c r="U364" s="2984">
        <f t="shared" si="97"/>
        <v>0</v>
      </c>
      <c r="V364" s="2984">
        <f t="shared" si="98"/>
        <v>0</v>
      </c>
      <c r="W364" s="997"/>
      <c r="X364" s="2984">
        <f t="shared" si="99"/>
        <v>0</v>
      </c>
      <c r="Y364" s="2984">
        <f t="shared" si="100"/>
        <v>0</v>
      </c>
      <c r="Z364" s="997"/>
    </row>
    <row r="365" spans="1:26">
      <c r="A365" s="35"/>
      <c r="B365" s="20"/>
      <c r="C365" s="13">
        <f t="shared" si="89"/>
        <v>1</v>
      </c>
      <c r="D365" s="600"/>
      <c r="E365" s="13">
        <f t="shared" si="90"/>
        <v>0</v>
      </c>
      <c r="F365" s="600"/>
      <c r="G365" s="13">
        <f t="shared" si="91"/>
        <v>0</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900">
        <f t="shared" si="103"/>
        <v>0</v>
      </c>
      <c r="U365" s="2984">
        <f t="shared" si="97"/>
        <v>0</v>
      </c>
      <c r="V365" s="2984">
        <f t="shared" si="98"/>
        <v>0</v>
      </c>
      <c r="W365" s="997"/>
      <c r="X365" s="2984">
        <f t="shared" si="99"/>
        <v>0</v>
      </c>
      <c r="Y365" s="2984">
        <f t="shared" si="100"/>
        <v>0</v>
      </c>
      <c r="Z365" s="997"/>
    </row>
    <row r="366" spans="1:26">
      <c r="A366" s="35"/>
      <c r="B366" s="20"/>
      <c r="C366" s="13">
        <f t="shared" si="89"/>
        <v>1</v>
      </c>
      <c r="D366" s="600"/>
      <c r="E366" s="13">
        <f t="shared" si="90"/>
        <v>0</v>
      </c>
      <c r="F366" s="600"/>
      <c r="G366" s="13">
        <f t="shared" si="91"/>
        <v>0</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900">
        <f t="shared" si="103"/>
        <v>0</v>
      </c>
      <c r="U366" s="2984">
        <f t="shared" si="97"/>
        <v>0</v>
      </c>
      <c r="V366" s="2984">
        <f t="shared" si="98"/>
        <v>0</v>
      </c>
      <c r="W366" s="997"/>
      <c r="X366" s="2984">
        <f t="shared" si="99"/>
        <v>0</v>
      </c>
      <c r="Y366" s="2984">
        <f t="shared" si="100"/>
        <v>0</v>
      </c>
      <c r="Z366" s="997"/>
    </row>
    <row r="367" spans="1:26">
      <c r="A367" s="35"/>
      <c r="B367" s="20"/>
      <c r="C367" s="13">
        <f t="shared" si="89"/>
        <v>1</v>
      </c>
      <c r="D367" s="600"/>
      <c r="E367" s="13">
        <f t="shared" si="90"/>
        <v>0</v>
      </c>
      <c r="F367" s="600"/>
      <c r="G367" s="13">
        <f t="shared" si="91"/>
        <v>0</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900">
        <f t="shared" si="103"/>
        <v>0</v>
      </c>
      <c r="U367" s="2984">
        <f t="shared" si="97"/>
        <v>0</v>
      </c>
      <c r="V367" s="2984">
        <f t="shared" si="98"/>
        <v>0</v>
      </c>
      <c r="W367" s="997"/>
      <c r="X367" s="2984">
        <f t="shared" si="99"/>
        <v>0</v>
      </c>
      <c r="Y367" s="2984">
        <f t="shared" si="100"/>
        <v>0</v>
      </c>
      <c r="Z367" s="997"/>
    </row>
    <row r="368" spans="1:26">
      <c r="A368" s="35"/>
      <c r="B368" s="20"/>
      <c r="C368" s="13">
        <f t="shared" si="89"/>
        <v>1</v>
      </c>
      <c r="D368" s="600"/>
      <c r="E368" s="13">
        <f t="shared" si="90"/>
        <v>0</v>
      </c>
      <c r="F368" s="600"/>
      <c r="G368" s="13">
        <f t="shared" si="91"/>
        <v>0</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900">
        <f t="shared" si="103"/>
        <v>0</v>
      </c>
      <c r="U368" s="2984">
        <f t="shared" si="97"/>
        <v>0</v>
      </c>
      <c r="V368" s="2984">
        <f t="shared" si="98"/>
        <v>0</v>
      </c>
      <c r="W368" s="997"/>
      <c r="X368" s="2984">
        <f t="shared" si="99"/>
        <v>0</v>
      </c>
      <c r="Y368" s="2984">
        <f t="shared" si="100"/>
        <v>0</v>
      </c>
      <c r="Z368" s="997"/>
    </row>
    <row r="369" spans="1:26">
      <c r="A369" s="35"/>
      <c r="B369" s="20"/>
      <c r="C369" s="13">
        <f t="shared" si="89"/>
        <v>1</v>
      </c>
      <c r="D369" s="600"/>
      <c r="E369" s="13">
        <f t="shared" si="90"/>
        <v>0</v>
      </c>
      <c r="F369" s="600"/>
      <c r="G369" s="13">
        <f t="shared" si="91"/>
        <v>0</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900">
        <f t="shared" si="103"/>
        <v>0</v>
      </c>
      <c r="U369" s="2984">
        <f t="shared" si="97"/>
        <v>0</v>
      </c>
      <c r="V369" s="2984">
        <f t="shared" si="98"/>
        <v>0</v>
      </c>
      <c r="W369" s="997"/>
      <c r="X369" s="2984">
        <f t="shared" si="99"/>
        <v>0</v>
      </c>
      <c r="Y369" s="2984">
        <f t="shared" si="100"/>
        <v>0</v>
      </c>
      <c r="Z369" s="997"/>
    </row>
    <row r="370" spans="1:26">
      <c r="A370" s="35"/>
      <c r="B370" s="20"/>
      <c r="C370" s="13">
        <f t="shared" si="89"/>
        <v>1</v>
      </c>
      <c r="D370" s="600"/>
      <c r="E370" s="13">
        <f t="shared" si="90"/>
        <v>0</v>
      </c>
      <c r="F370" s="600"/>
      <c r="G370" s="13">
        <f t="shared" si="91"/>
        <v>0</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900">
        <f t="shared" si="103"/>
        <v>0</v>
      </c>
      <c r="U370" s="2984">
        <f t="shared" si="97"/>
        <v>0</v>
      </c>
      <c r="V370" s="2984">
        <f t="shared" si="98"/>
        <v>0</v>
      </c>
      <c r="W370" s="997"/>
      <c r="X370" s="2984">
        <f t="shared" si="99"/>
        <v>0</v>
      </c>
      <c r="Y370" s="2984">
        <f t="shared" si="100"/>
        <v>0</v>
      </c>
      <c r="Z370" s="997"/>
    </row>
    <row r="371" spans="1:26">
      <c r="A371" s="35"/>
      <c r="B371" s="20"/>
      <c r="C371" s="13">
        <f t="shared" si="89"/>
        <v>1</v>
      </c>
      <c r="D371" s="600"/>
      <c r="E371" s="13">
        <f t="shared" si="90"/>
        <v>0</v>
      </c>
      <c r="F371" s="600"/>
      <c r="G371" s="13">
        <f t="shared" si="91"/>
        <v>0</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900">
        <f t="shared" si="103"/>
        <v>0</v>
      </c>
      <c r="U371" s="2984">
        <f t="shared" si="97"/>
        <v>0</v>
      </c>
      <c r="V371" s="2984">
        <f t="shared" si="98"/>
        <v>0</v>
      </c>
      <c r="W371" s="997"/>
      <c r="X371" s="2984">
        <f t="shared" si="99"/>
        <v>0</v>
      </c>
      <c r="Y371" s="2984">
        <f t="shared" si="100"/>
        <v>0</v>
      </c>
      <c r="Z371" s="997"/>
    </row>
    <row r="372" spans="1:26">
      <c r="A372" s="35"/>
      <c r="B372" s="20"/>
      <c r="C372" s="13">
        <f t="shared" si="89"/>
        <v>1</v>
      </c>
      <c r="D372" s="600"/>
      <c r="E372" s="13">
        <f t="shared" si="90"/>
        <v>0</v>
      </c>
      <c r="F372" s="600"/>
      <c r="G372" s="13">
        <f t="shared" si="91"/>
        <v>0</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900">
        <f t="shared" si="103"/>
        <v>0</v>
      </c>
      <c r="U372" s="2984">
        <f t="shared" si="97"/>
        <v>0</v>
      </c>
      <c r="V372" s="2984">
        <f t="shared" si="98"/>
        <v>0</v>
      </c>
      <c r="W372" s="997"/>
      <c r="X372" s="2984">
        <f t="shared" si="99"/>
        <v>0</v>
      </c>
      <c r="Y372" s="2984">
        <f t="shared" si="100"/>
        <v>0</v>
      </c>
      <c r="Z372" s="997"/>
    </row>
    <row r="373" spans="1:26">
      <c r="A373" s="35"/>
      <c r="B373" s="20"/>
      <c r="C373" s="13">
        <f t="shared" si="89"/>
        <v>1</v>
      </c>
      <c r="D373" s="600"/>
      <c r="E373" s="13">
        <f t="shared" si="90"/>
        <v>0</v>
      </c>
      <c r="F373" s="600"/>
      <c r="G373" s="13">
        <f t="shared" si="91"/>
        <v>0</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900">
        <f t="shared" si="103"/>
        <v>0</v>
      </c>
      <c r="U373" s="2984">
        <f t="shared" si="97"/>
        <v>0</v>
      </c>
      <c r="V373" s="2984">
        <f t="shared" si="98"/>
        <v>0</v>
      </c>
      <c r="W373" s="997"/>
      <c r="X373" s="2984">
        <f t="shared" si="99"/>
        <v>0</v>
      </c>
      <c r="Y373" s="2984">
        <f t="shared" si="100"/>
        <v>0</v>
      </c>
      <c r="Z373" s="997"/>
    </row>
    <row r="374" spans="1:26">
      <c r="A374" s="35"/>
      <c r="B374" s="20"/>
      <c r="C374" s="13">
        <f t="shared" si="89"/>
        <v>1</v>
      </c>
      <c r="D374" s="600"/>
      <c r="E374" s="13">
        <f t="shared" si="90"/>
        <v>0</v>
      </c>
      <c r="F374" s="600"/>
      <c r="G374" s="13">
        <f t="shared" si="91"/>
        <v>0</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900">
        <f t="shared" si="103"/>
        <v>0</v>
      </c>
      <c r="U374" s="2984">
        <f t="shared" si="97"/>
        <v>0</v>
      </c>
      <c r="V374" s="2984">
        <f t="shared" si="98"/>
        <v>0</v>
      </c>
      <c r="W374" s="997"/>
      <c r="X374" s="2984">
        <f t="shared" si="99"/>
        <v>0</v>
      </c>
      <c r="Y374" s="2984">
        <f t="shared" si="100"/>
        <v>0</v>
      </c>
      <c r="Z374" s="997"/>
    </row>
    <row r="375" spans="1:26">
      <c r="A375" s="35"/>
      <c r="B375" s="20"/>
      <c r="C375" s="13">
        <f t="shared" si="89"/>
        <v>1</v>
      </c>
      <c r="D375" s="600"/>
      <c r="E375" s="13">
        <f t="shared" si="90"/>
        <v>0</v>
      </c>
      <c r="F375" s="600"/>
      <c r="G375" s="13">
        <f t="shared" si="91"/>
        <v>0</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900">
        <f t="shared" si="103"/>
        <v>0</v>
      </c>
      <c r="U375" s="2984">
        <f t="shared" si="97"/>
        <v>0</v>
      </c>
      <c r="V375" s="2984">
        <f t="shared" si="98"/>
        <v>0</v>
      </c>
      <c r="W375" s="997"/>
      <c r="X375" s="2984">
        <f t="shared" si="99"/>
        <v>0</v>
      </c>
      <c r="Y375" s="2984">
        <f t="shared" si="100"/>
        <v>0</v>
      </c>
      <c r="Z375" s="997"/>
    </row>
    <row r="376" spans="1:26">
      <c r="A376" s="35"/>
      <c r="B376" s="20"/>
      <c r="C376" s="13">
        <f t="shared" si="89"/>
        <v>1</v>
      </c>
      <c r="D376" s="600"/>
      <c r="E376" s="13">
        <f t="shared" si="90"/>
        <v>0</v>
      </c>
      <c r="F376" s="600"/>
      <c r="G376" s="13">
        <f t="shared" si="91"/>
        <v>0</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900">
        <f t="shared" si="103"/>
        <v>0</v>
      </c>
      <c r="U376" s="2984">
        <f t="shared" si="97"/>
        <v>0</v>
      </c>
      <c r="V376" s="2984">
        <f t="shared" si="98"/>
        <v>0</v>
      </c>
      <c r="W376" s="997"/>
      <c r="X376" s="2984">
        <f t="shared" si="99"/>
        <v>0</v>
      </c>
      <c r="Y376" s="2984">
        <f t="shared" si="100"/>
        <v>0</v>
      </c>
      <c r="Z376" s="997"/>
    </row>
    <row r="377" spans="1:26">
      <c r="A377" s="35"/>
      <c r="B377" s="20"/>
      <c r="C377" s="13">
        <f t="shared" si="89"/>
        <v>1</v>
      </c>
      <c r="D377" s="600"/>
      <c r="E377" s="13">
        <f t="shared" si="90"/>
        <v>0</v>
      </c>
      <c r="F377" s="600"/>
      <c r="G377" s="13">
        <f t="shared" si="91"/>
        <v>0</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900">
        <f t="shared" si="103"/>
        <v>0</v>
      </c>
      <c r="U377" s="2984">
        <f t="shared" si="97"/>
        <v>0</v>
      </c>
      <c r="V377" s="2984">
        <f t="shared" si="98"/>
        <v>0</v>
      </c>
      <c r="W377" s="997"/>
      <c r="X377" s="2984">
        <f t="shared" si="99"/>
        <v>0</v>
      </c>
      <c r="Y377" s="2984">
        <f t="shared" si="100"/>
        <v>0</v>
      </c>
      <c r="Z377" s="997"/>
    </row>
    <row r="378" spans="1:26">
      <c r="A378" s="35"/>
      <c r="B378" s="20"/>
      <c r="C378" s="13">
        <f t="shared" si="89"/>
        <v>1</v>
      </c>
      <c r="D378" s="600"/>
      <c r="E378" s="13">
        <f t="shared" si="90"/>
        <v>0</v>
      </c>
      <c r="F378" s="600"/>
      <c r="G378" s="13">
        <f t="shared" si="91"/>
        <v>0</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900">
        <f t="shared" si="103"/>
        <v>0</v>
      </c>
      <c r="U378" s="2984">
        <f t="shared" si="97"/>
        <v>0</v>
      </c>
      <c r="V378" s="2984">
        <f t="shared" si="98"/>
        <v>0</v>
      </c>
      <c r="W378" s="997"/>
      <c r="X378" s="2984">
        <f t="shared" si="99"/>
        <v>0</v>
      </c>
      <c r="Y378" s="2984">
        <f t="shared" si="100"/>
        <v>0</v>
      </c>
      <c r="Z378" s="997"/>
    </row>
    <row r="379" spans="1:26">
      <c r="A379" s="35"/>
      <c r="B379" s="20"/>
      <c r="C379" s="13">
        <f t="shared" si="89"/>
        <v>1</v>
      </c>
      <c r="D379" s="600"/>
      <c r="E379" s="13">
        <f t="shared" si="90"/>
        <v>0</v>
      </c>
      <c r="F379" s="600"/>
      <c r="G379" s="13">
        <f t="shared" si="91"/>
        <v>0</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900">
        <f t="shared" si="103"/>
        <v>0</v>
      </c>
      <c r="U379" s="2984">
        <f t="shared" si="97"/>
        <v>0</v>
      </c>
      <c r="V379" s="2984">
        <f t="shared" si="98"/>
        <v>0</v>
      </c>
      <c r="W379" s="997"/>
      <c r="X379" s="2984">
        <f t="shared" si="99"/>
        <v>0</v>
      </c>
      <c r="Y379" s="2984">
        <f t="shared" si="100"/>
        <v>0</v>
      </c>
      <c r="Z379" s="997"/>
    </row>
    <row r="380" spans="1:26">
      <c r="A380" s="35"/>
      <c r="B380" s="20"/>
      <c r="C380" s="13">
        <f t="shared" si="89"/>
        <v>1</v>
      </c>
      <c r="D380" s="600"/>
      <c r="E380" s="13">
        <f t="shared" si="90"/>
        <v>0</v>
      </c>
      <c r="F380" s="600"/>
      <c r="G380" s="13">
        <f t="shared" si="91"/>
        <v>0</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900">
        <f t="shared" si="103"/>
        <v>0</v>
      </c>
      <c r="U380" s="2984">
        <f t="shared" si="97"/>
        <v>0</v>
      </c>
      <c r="V380" s="2984">
        <f t="shared" si="98"/>
        <v>0</v>
      </c>
      <c r="W380" s="997"/>
      <c r="X380" s="2984">
        <f t="shared" si="99"/>
        <v>0</v>
      </c>
      <c r="Y380" s="2984">
        <f t="shared" si="100"/>
        <v>0</v>
      </c>
      <c r="Z380" s="997"/>
    </row>
    <row r="381" spans="1:26">
      <c r="A381" s="35"/>
      <c r="B381" s="20"/>
      <c r="C381" s="13">
        <f t="shared" si="89"/>
        <v>1</v>
      </c>
      <c r="D381" s="600"/>
      <c r="E381" s="13">
        <f t="shared" si="90"/>
        <v>0</v>
      </c>
      <c r="F381" s="600"/>
      <c r="G381" s="13">
        <f t="shared" si="91"/>
        <v>0</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900">
        <f t="shared" si="103"/>
        <v>0</v>
      </c>
      <c r="U381" s="2984">
        <f t="shared" si="97"/>
        <v>0</v>
      </c>
      <c r="V381" s="2984">
        <f t="shared" si="98"/>
        <v>0</v>
      </c>
      <c r="W381" s="997"/>
      <c r="X381" s="2984">
        <f t="shared" si="99"/>
        <v>0</v>
      </c>
      <c r="Y381" s="2984">
        <f t="shared" si="100"/>
        <v>0</v>
      </c>
      <c r="Z381" s="997"/>
    </row>
    <row r="382" spans="1:26">
      <c r="A382" s="35"/>
      <c r="B382" s="20"/>
      <c r="C382" s="13">
        <f t="shared" si="89"/>
        <v>1</v>
      </c>
      <c r="D382" s="600"/>
      <c r="E382" s="13">
        <f t="shared" si="90"/>
        <v>0</v>
      </c>
      <c r="F382" s="600"/>
      <c r="G382" s="13">
        <f t="shared" si="91"/>
        <v>0</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900">
        <f t="shared" si="103"/>
        <v>0</v>
      </c>
      <c r="U382" s="2984">
        <f t="shared" si="97"/>
        <v>0</v>
      </c>
      <c r="V382" s="2984">
        <f t="shared" si="98"/>
        <v>0</v>
      </c>
      <c r="W382" s="997"/>
      <c r="X382" s="2984">
        <f t="shared" si="99"/>
        <v>0</v>
      </c>
      <c r="Y382" s="2984">
        <f t="shared" si="100"/>
        <v>0</v>
      </c>
      <c r="Z382" s="997"/>
    </row>
    <row r="383" spans="1:26">
      <c r="A383" s="35"/>
      <c r="B383" s="20"/>
      <c r="C383" s="13">
        <f t="shared" si="89"/>
        <v>1</v>
      </c>
      <c r="D383" s="600"/>
      <c r="E383" s="13">
        <f t="shared" si="90"/>
        <v>0</v>
      </c>
      <c r="F383" s="600"/>
      <c r="G383" s="13">
        <f t="shared" si="91"/>
        <v>0</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900">
        <f t="shared" si="103"/>
        <v>0</v>
      </c>
      <c r="U383" s="2984">
        <f t="shared" si="97"/>
        <v>0</v>
      </c>
      <c r="V383" s="2984">
        <f t="shared" si="98"/>
        <v>0</v>
      </c>
      <c r="W383" s="997"/>
      <c r="X383" s="2984">
        <f t="shared" si="99"/>
        <v>0</v>
      </c>
      <c r="Y383" s="2984">
        <f t="shared" si="100"/>
        <v>0</v>
      </c>
      <c r="Z383" s="997"/>
    </row>
    <row r="384" spans="1:26">
      <c r="A384" s="35"/>
      <c r="B384" s="20"/>
      <c r="C384" s="13">
        <f t="shared" si="89"/>
        <v>1</v>
      </c>
      <c r="D384" s="600"/>
      <c r="E384" s="13">
        <f t="shared" si="90"/>
        <v>0</v>
      </c>
      <c r="F384" s="600"/>
      <c r="G384" s="13">
        <f t="shared" si="91"/>
        <v>0</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900">
        <f t="shared" si="103"/>
        <v>0</v>
      </c>
      <c r="U384" s="2984">
        <f t="shared" si="97"/>
        <v>0</v>
      </c>
      <c r="V384" s="2984">
        <f t="shared" si="98"/>
        <v>0</v>
      </c>
      <c r="W384" s="997"/>
      <c r="X384" s="2984">
        <f t="shared" si="99"/>
        <v>0</v>
      </c>
      <c r="Y384" s="2984">
        <f t="shared" si="100"/>
        <v>0</v>
      </c>
      <c r="Z384" s="997"/>
    </row>
    <row r="385" spans="1:26">
      <c r="A385" s="35"/>
      <c r="B385" s="20"/>
      <c r="C385" s="13">
        <f t="shared" si="89"/>
        <v>1</v>
      </c>
      <c r="D385" s="600"/>
      <c r="E385" s="13">
        <f t="shared" si="90"/>
        <v>0</v>
      </c>
      <c r="F385" s="600"/>
      <c r="G385" s="13">
        <f t="shared" si="91"/>
        <v>0</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900">
        <f t="shared" si="103"/>
        <v>0</v>
      </c>
      <c r="U385" s="2984">
        <f t="shared" si="97"/>
        <v>0</v>
      </c>
      <c r="V385" s="2984">
        <f t="shared" si="98"/>
        <v>0</v>
      </c>
      <c r="W385" s="997"/>
      <c r="X385" s="2984">
        <f t="shared" si="99"/>
        <v>0</v>
      </c>
      <c r="Y385" s="2984">
        <f t="shared" si="100"/>
        <v>0</v>
      </c>
      <c r="Z385" s="997"/>
    </row>
    <row r="386" spans="1:26">
      <c r="A386" s="35"/>
      <c r="B386" s="20"/>
      <c r="C386" s="13">
        <f t="shared" si="89"/>
        <v>1</v>
      </c>
      <c r="D386" s="600"/>
      <c r="E386" s="13">
        <f t="shared" si="90"/>
        <v>0</v>
      </c>
      <c r="F386" s="600"/>
      <c r="G386" s="13">
        <f t="shared" si="91"/>
        <v>0</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900">
        <f t="shared" si="103"/>
        <v>0</v>
      </c>
      <c r="U386" s="2984">
        <f t="shared" si="97"/>
        <v>0</v>
      </c>
      <c r="V386" s="2984">
        <f t="shared" si="98"/>
        <v>0</v>
      </c>
      <c r="W386" s="997"/>
      <c r="X386" s="2984">
        <f t="shared" si="99"/>
        <v>0</v>
      </c>
      <c r="Y386" s="2984">
        <f t="shared" si="100"/>
        <v>0</v>
      </c>
      <c r="Z386" s="997"/>
    </row>
    <row r="387" spans="1:26">
      <c r="A387" s="35"/>
      <c r="B387" s="20"/>
      <c r="C387" s="13">
        <f t="shared" si="89"/>
        <v>1</v>
      </c>
      <c r="D387" s="600"/>
      <c r="E387" s="13">
        <f t="shared" si="90"/>
        <v>0</v>
      </c>
      <c r="F387" s="600"/>
      <c r="G387" s="13">
        <f t="shared" si="91"/>
        <v>0</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900">
        <f t="shared" si="103"/>
        <v>0</v>
      </c>
      <c r="U387" s="2984">
        <f t="shared" si="97"/>
        <v>0</v>
      </c>
      <c r="V387" s="2984">
        <f t="shared" si="98"/>
        <v>0</v>
      </c>
      <c r="W387" s="997"/>
      <c r="X387" s="2984">
        <f t="shared" si="99"/>
        <v>0</v>
      </c>
      <c r="Y387" s="2984">
        <f t="shared" si="100"/>
        <v>0</v>
      </c>
      <c r="Z387" s="997"/>
    </row>
    <row r="388" spans="1:26">
      <c r="A388" s="35"/>
      <c r="B388" s="20"/>
      <c r="C388" s="13">
        <f t="shared" si="89"/>
        <v>1</v>
      </c>
      <c r="D388" s="600"/>
      <c r="E388" s="13">
        <f t="shared" si="90"/>
        <v>0</v>
      </c>
      <c r="F388" s="600"/>
      <c r="G388" s="13">
        <f t="shared" si="91"/>
        <v>0</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900">
        <f t="shared" si="103"/>
        <v>0</v>
      </c>
      <c r="U388" s="2984">
        <f t="shared" si="97"/>
        <v>0</v>
      </c>
      <c r="V388" s="2984">
        <f t="shared" si="98"/>
        <v>0</v>
      </c>
      <c r="W388" s="997"/>
      <c r="X388" s="2984">
        <f t="shared" si="99"/>
        <v>0</v>
      </c>
      <c r="Y388" s="2984">
        <f t="shared" si="100"/>
        <v>0</v>
      </c>
      <c r="Z388" s="997"/>
    </row>
    <row r="389" spans="1:26">
      <c r="A389" s="35"/>
      <c r="B389" s="20"/>
      <c r="C389" s="13">
        <f t="shared" si="89"/>
        <v>1</v>
      </c>
      <c r="D389" s="600"/>
      <c r="E389" s="13">
        <f t="shared" si="90"/>
        <v>0</v>
      </c>
      <c r="F389" s="600"/>
      <c r="G389" s="13">
        <f t="shared" si="91"/>
        <v>0</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900">
        <f t="shared" si="103"/>
        <v>0</v>
      </c>
      <c r="U389" s="2984">
        <f t="shared" si="97"/>
        <v>0</v>
      </c>
      <c r="V389" s="2984">
        <f t="shared" si="98"/>
        <v>0</v>
      </c>
      <c r="W389" s="997"/>
      <c r="X389" s="2984">
        <f t="shared" si="99"/>
        <v>0</v>
      </c>
      <c r="Y389" s="2984">
        <f t="shared" si="100"/>
        <v>0</v>
      </c>
      <c r="Z389" s="997"/>
    </row>
    <row r="390" spans="1:26">
      <c r="A390" s="35"/>
      <c r="B390" s="20"/>
      <c r="C390" s="13">
        <f t="shared" si="89"/>
        <v>1</v>
      </c>
      <c r="D390" s="600"/>
      <c r="E390" s="13">
        <f t="shared" si="90"/>
        <v>0</v>
      </c>
      <c r="F390" s="600"/>
      <c r="G390" s="13">
        <f t="shared" si="91"/>
        <v>0</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900">
        <f t="shared" si="103"/>
        <v>0</v>
      </c>
      <c r="U390" s="2984">
        <f t="shared" si="97"/>
        <v>0</v>
      </c>
      <c r="V390" s="2984">
        <f t="shared" si="98"/>
        <v>0</v>
      </c>
      <c r="W390" s="997"/>
      <c r="X390" s="2984">
        <f t="shared" si="99"/>
        <v>0</v>
      </c>
      <c r="Y390" s="2984">
        <f t="shared" si="100"/>
        <v>0</v>
      </c>
      <c r="Z390" s="997"/>
    </row>
    <row r="391" spans="1:26">
      <c r="A391" s="35"/>
      <c r="B391" s="20"/>
      <c r="C391" s="13">
        <f t="shared" si="89"/>
        <v>1</v>
      </c>
      <c r="D391" s="600"/>
      <c r="E391" s="13">
        <f t="shared" si="90"/>
        <v>0</v>
      </c>
      <c r="F391" s="600"/>
      <c r="G391" s="13">
        <f t="shared" si="91"/>
        <v>0</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900">
        <f t="shared" si="103"/>
        <v>0</v>
      </c>
      <c r="U391" s="2984">
        <f t="shared" si="97"/>
        <v>0</v>
      </c>
      <c r="V391" s="2984">
        <f t="shared" si="98"/>
        <v>0</v>
      </c>
      <c r="W391" s="997"/>
      <c r="X391" s="2984">
        <f t="shared" si="99"/>
        <v>0</v>
      </c>
      <c r="Y391" s="2984">
        <f t="shared" si="100"/>
        <v>0</v>
      </c>
      <c r="Z391" s="997"/>
    </row>
    <row r="392" spans="1:26">
      <c r="A392" s="35"/>
      <c r="B392" s="20"/>
      <c r="C392" s="13">
        <f t="shared" si="89"/>
        <v>1</v>
      </c>
      <c r="D392" s="600"/>
      <c r="E392" s="13">
        <f t="shared" si="90"/>
        <v>0</v>
      </c>
      <c r="F392" s="600"/>
      <c r="G392" s="13">
        <f t="shared" si="91"/>
        <v>0</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900">
        <f t="shared" si="103"/>
        <v>0</v>
      </c>
      <c r="U392" s="2984">
        <f t="shared" si="97"/>
        <v>0</v>
      </c>
      <c r="V392" s="2984">
        <f t="shared" si="98"/>
        <v>0</v>
      </c>
      <c r="W392" s="997"/>
      <c r="X392" s="2984">
        <f t="shared" si="99"/>
        <v>0</v>
      </c>
      <c r="Y392" s="2984">
        <f t="shared" si="100"/>
        <v>0</v>
      </c>
      <c r="Z392" s="997"/>
    </row>
    <row r="393" spans="1:26">
      <c r="A393" s="35"/>
      <c r="B393" s="20"/>
      <c r="C393" s="13">
        <f t="shared" si="89"/>
        <v>1</v>
      </c>
      <c r="D393" s="600"/>
      <c r="E393" s="13">
        <f t="shared" si="90"/>
        <v>0</v>
      </c>
      <c r="F393" s="600"/>
      <c r="G393" s="13">
        <f t="shared" si="91"/>
        <v>0</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900">
        <f t="shared" si="103"/>
        <v>0</v>
      </c>
      <c r="U393" s="2984">
        <f t="shared" si="97"/>
        <v>0</v>
      </c>
      <c r="V393" s="2984">
        <f t="shared" si="98"/>
        <v>0</v>
      </c>
      <c r="W393" s="997"/>
      <c r="X393" s="2984">
        <f t="shared" si="99"/>
        <v>0</v>
      </c>
      <c r="Y393" s="2984">
        <f t="shared" si="100"/>
        <v>0</v>
      </c>
      <c r="Z393" s="997"/>
    </row>
    <row r="394" spans="1:26">
      <c r="A394" s="35"/>
      <c r="B394" s="20"/>
      <c r="C394" s="13">
        <f t="shared" si="89"/>
        <v>1</v>
      </c>
      <c r="D394" s="600"/>
      <c r="E394" s="13">
        <f t="shared" si="90"/>
        <v>0</v>
      </c>
      <c r="F394" s="600"/>
      <c r="G394" s="13">
        <f t="shared" si="91"/>
        <v>0</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900">
        <f t="shared" si="103"/>
        <v>0</v>
      </c>
      <c r="U394" s="2984">
        <f t="shared" si="97"/>
        <v>0</v>
      </c>
      <c r="V394" s="2984">
        <f t="shared" si="98"/>
        <v>0</v>
      </c>
      <c r="W394" s="997"/>
      <c r="X394" s="2984">
        <f t="shared" si="99"/>
        <v>0</v>
      </c>
      <c r="Y394" s="2984">
        <f t="shared" si="100"/>
        <v>0</v>
      </c>
      <c r="Z394" s="997"/>
    </row>
    <row r="395" spans="1:26">
      <c r="A395" s="35"/>
      <c r="B395" s="20"/>
      <c r="C395" s="13">
        <f t="shared" si="89"/>
        <v>1</v>
      </c>
      <c r="D395" s="600"/>
      <c r="E395" s="13">
        <f t="shared" si="90"/>
        <v>0</v>
      </c>
      <c r="F395" s="600"/>
      <c r="G395" s="13">
        <f t="shared" si="91"/>
        <v>0</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900">
        <f t="shared" si="103"/>
        <v>0</v>
      </c>
      <c r="U395" s="2984">
        <f t="shared" si="97"/>
        <v>0</v>
      </c>
      <c r="V395" s="2984">
        <f t="shared" si="98"/>
        <v>0</v>
      </c>
      <c r="W395" s="997"/>
      <c r="X395" s="2984">
        <f t="shared" si="99"/>
        <v>0</v>
      </c>
      <c r="Y395" s="2984">
        <f t="shared" si="100"/>
        <v>0</v>
      </c>
      <c r="Z395" s="997"/>
    </row>
    <row r="396" spans="1:26">
      <c r="A396" s="35"/>
      <c r="B396" s="20"/>
      <c r="C396" s="13">
        <f t="shared" si="89"/>
        <v>1</v>
      </c>
      <c r="D396" s="600"/>
      <c r="E396" s="13">
        <f t="shared" si="90"/>
        <v>0</v>
      </c>
      <c r="F396" s="600"/>
      <c r="G396" s="13">
        <f t="shared" si="91"/>
        <v>0</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900">
        <f t="shared" si="103"/>
        <v>0</v>
      </c>
      <c r="U396" s="2984">
        <f t="shared" si="97"/>
        <v>0</v>
      </c>
      <c r="V396" s="2984">
        <f t="shared" si="98"/>
        <v>0</v>
      </c>
      <c r="W396" s="997"/>
      <c r="X396" s="2984">
        <f t="shared" si="99"/>
        <v>0</v>
      </c>
      <c r="Y396" s="2984">
        <f t="shared" si="100"/>
        <v>0</v>
      </c>
      <c r="Z396" s="997"/>
    </row>
    <row r="397" spans="1:26">
      <c r="A397" s="35"/>
      <c r="B397" s="20"/>
      <c r="C397" s="13">
        <f t="shared" si="89"/>
        <v>1</v>
      </c>
      <c r="D397" s="600"/>
      <c r="E397" s="13">
        <f t="shared" si="90"/>
        <v>0</v>
      </c>
      <c r="F397" s="600"/>
      <c r="G397" s="13">
        <f t="shared" si="91"/>
        <v>0</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900">
        <f t="shared" si="103"/>
        <v>0</v>
      </c>
      <c r="U397" s="2984">
        <f t="shared" si="97"/>
        <v>0</v>
      </c>
      <c r="V397" s="2984">
        <f t="shared" si="98"/>
        <v>0</v>
      </c>
      <c r="W397" s="997"/>
      <c r="X397" s="2984">
        <f t="shared" si="99"/>
        <v>0</v>
      </c>
      <c r="Y397" s="2984">
        <f t="shared" si="100"/>
        <v>0</v>
      </c>
      <c r="Z397" s="997"/>
    </row>
    <row r="398" spans="1:26">
      <c r="A398" s="35"/>
      <c r="B398" s="20"/>
      <c r="C398" s="13">
        <f t="shared" si="89"/>
        <v>1</v>
      </c>
      <c r="D398" s="600"/>
      <c r="E398" s="13">
        <f t="shared" si="90"/>
        <v>0</v>
      </c>
      <c r="F398" s="600"/>
      <c r="G398" s="13">
        <f t="shared" si="91"/>
        <v>0</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900">
        <f t="shared" si="103"/>
        <v>0</v>
      </c>
      <c r="U398" s="2984">
        <f t="shared" si="97"/>
        <v>0</v>
      </c>
      <c r="V398" s="2984">
        <f t="shared" si="98"/>
        <v>0</v>
      </c>
      <c r="W398" s="997"/>
      <c r="X398" s="2984">
        <f t="shared" si="99"/>
        <v>0</v>
      </c>
      <c r="Y398" s="2984">
        <f t="shared" si="100"/>
        <v>0</v>
      </c>
      <c r="Z398" s="997"/>
    </row>
    <row r="399" spans="1:26">
      <c r="A399" s="35"/>
      <c r="B399" s="20"/>
      <c r="C399" s="13">
        <f t="shared" si="89"/>
        <v>1</v>
      </c>
      <c r="D399" s="600"/>
      <c r="E399" s="13">
        <f t="shared" si="90"/>
        <v>0</v>
      </c>
      <c r="F399" s="600"/>
      <c r="G399" s="13">
        <f t="shared" si="91"/>
        <v>0</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900">
        <f t="shared" si="103"/>
        <v>0</v>
      </c>
      <c r="U399" s="2984">
        <f t="shared" si="97"/>
        <v>0</v>
      </c>
      <c r="V399" s="2984">
        <f t="shared" si="98"/>
        <v>0</v>
      </c>
      <c r="W399" s="997"/>
      <c r="X399" s="2984">
        <f t="shared" si="99"/>
        <v>0</v>
      </c>
      <c r="Y399" s="2984">
        <f t="shared" si="100"/>
        <v>0</v>
      </c>
      <c r="Z399" s="997"/>
    </row>
    <row r="400" spans="1:26">
      <c r="A400" s="35"/>
      <c r="B400" s="20"/>
      <c r="C400" s="13">
        <f t="shared" si="89"/>
        <v>1</v>
      </c>
      <c r="D400" s="600"/>
      <c r="E400" s="13">
        <f t="shared" si="90"/>
        <v>0</v>
      </c>
      <c r="F400" s="600"/>
      <c r="G400" s="13">
        <f t="shared" si="91"/>
        <v>0</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900">
        <f t="shared" si="103"/>
        <v>0</v>
      </c>
      <c r="U400" s="2984">
        <f t="shared" si="97"/>
        <v>0</v>
      </c>
      <c r="V400" s="2984">
        <f t="shared" si="98"/>
        <v>0</v>
      </c>
      <c r="W400" s="997"/>
      <c r="X400" s="2984">
        <f t="shared" si="99"/>
        <v>0</v>
      </c>
      <c r="Y400" s="2984">
        <f t="shared" si="100"/>
        <v>0</v>
      </c>
      <c r="Z400" s="997"/>
    </row>
    <row r="401" spans="1:26">
      <c r="A401" s="35"/>
      <c r="B401" s="20"/>
      <c r="C401" s="13">
        <f t="shared" si="89"/>
        <v>1</v>
      </c>
      <c r="D401" s="600"/>
      <c r="E401" s="13">
        <f t="shared" si="90"/>
        <v>0</v>
      </c>
      <c r="F401" s="600"/>
      <c r="G401" s="13">
        <f t="shared" si="91"/>
        <v>0</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900">
        <f t="shared" si="103"/>
        <v>0</v>
      </c>
      <c r="U401" s="2984">
        <f t="shared" si="97"/>
        <v>0</v>
      </c>
      <c r="V401" s="2984">
        <f t="shared" si="98"/>
        <v>0</v>
      </c>
      <c r="W401" s="997"/>
      <c r="X401" s="2984">
        <f t="shared" si="99"/>
        <v>0</v>
      </c>
      <c r="Y401" s="2984">
        <f t="shared" si="100"/>
        <v>0</v>
      </c>
      <c r="Z401" s="997"/>
    </row>
    <row r="402" spans="1:26">
      <c r="A402" s="35"/>
      <c r="B402" s="20"/>
      <c r="C402" s="13">
        <f t="shared" si="89"/>
        <v>1</v>
      </c>
      <c r="D402" s="600"/>
      <c r="E402" s="13">
        <f t="shared" si="90"/>
        <v>0</v>
      </c>
      <c r="F402" s="600"/>
      <c r="G402" s="13">
        <f t="shared" si="91"/>
        <v>0</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900">
        <f t="shared" si="103"/>
        <v>0</v>
      </c>
      <c r="U402" s="2984">
        <f t="shared" si="97"/>
        <v>0</v>
      </c>
      <c r="V402" s="2984">
        <f t="shared" si="98"/>
        <v>0</v>
      </c>
      <c r="W402" s="997"/>
      <c r="X402" s="2984">
        <f t="shared" si="99"/>
        <v>0</v>
      </c>
      <c r="Y402" s="2984">
        <f t="shared" si="100"/>
        <v>0</v>
      </c>
      <c r="Z402" s="997"/>
    </row>
    <row r="403" spans="1:26">
      <c r="A403" s="35"/>
      <c r="B403" s="20"/>
      <c r="C403" s="13">
        <f t="shared" si="89"/>
        <v>1</v>
      </c>
      <c r="D403" s="600"/>
      <c r="E403" s="13">
        <f t="shared" si="90"/>
        <v>0</v>
      </c>
      <c r="F403" s="600"/>
      <c r="G403" s="13">
        <f t="shared" si="91"/>
        <v>0</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900">
        <f t="shared" si="103"/>
        <v>0</v>
      </c>
      <c r="U403" s="2984">
        <f t="shared" si="97"/>
        <v>0</v>
      </c>
      <c r="V403" s="2984">
        <f t="shared" si="98"/>
        <v>0</v>
      </c>
      <c r="W403" s="997"/>
      <c r="X403" s="2984">
        <f t="shared" si="99"/>
        <v>0</v>
      </c>
      <c r="Y403" s="2984">
        <f t="shared" si="100"/>
        <v>0</v>
      </c>
      <c r="Z403" s="997"/>
    </row>
    <row r="404" spans="1:26">
      <c r="A404" s="35"/>
      <c r="B404" s="20"/>
      <c r="C404" s="13">
        <f t="shared" si="89"/>
        <v>1</v>
      </c>
      <c r="D404" s="600"/>
      <c r="E404" s="13">
        <f t="shared" si="90"/>
        <v>0</v>
      </c>
      <c r="F404" s="600"/>
      <c r="G404" s="13">
        <f t="shared" si="91"/>
        <v>0</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900">
        <f t="shared" si="103"/>
        <v>0</v>
      </c>
      <c r="U404" s="2984">
        <f t="shared" si="97"/>
        <v>0</v>
      </c>
      <c r="V404" s="2984">
        <f t="shared" si="98"/>
        <v>0</v>
      </c>
      <c r="W404" s="997"/>
      <c r="X404" s="2984">
        <f t="shared" si="99"/>
        <v>0</v>
      </c>
      <c r="Y404" s="2984">
        <f t="shared" si="100"/>
        <v>0</v>
      </c>
      <c r="Z404" s="997"/>
    </row>
    <row r="405" spans="1:26">
      <c r="A405" s="35"/>
      <c r="B405" s="20"/>
      <c r="C405" s="13">
        <f t="shared" si="89"/>
        <v>1</v>
      </c>
      <c r="D405" s="600"/>
      <c r="E405" s="13">
        <f t="shared" si="90"/>
        <v>0</v>
      </c>
      <c r="F405" s="600"/>
      <c r="G405" s="13">
        <f t="shared" si="91"/>
        <v>0</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900">
        <f t="shared" si="103"/>
        <v>0</v>
      </c>
      <c r="U405" s="2984">
        <f t="shared" si="97"/>
        <v>0</v>
      </c>
      <c r="V405" s="2984">
        <f t="shared" si="98"/>
        <v>0</v>
      </c>
      <c r="W405" s="997"/>
      <c r="X405" s="2984">
        <f t="shared" si="99"/>
        <v>0</v>
      </c>
      <c r="Y405" s="2984">
        <f t="shared" si="100"/>
        <v>0</v>
      </c>
      <c r="Z405" s="997"/>
    </row>
    <row r="406" spans="1:26">
      <c r="A406" s="35"/>
      <c r="B406" s="20"/>
      <c r="C406" s="13">
        <f t="shared" si="89"/>
        <v>1</v>
      </c>
      <c r="D406" s="600"/>
      <c r="E406" s="13">
        <f t="shared" si="90"/>
        <v>0</v>
      </c>
      <c r="F406" s="600"/>
      <c r="G406" s="13">
        <f t="shared" si="91"/>
        <v>0</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900">
        <f t="shared" si="103"/>
        <v>0</v>
      </c>
      <c r="U406" s="2984">
        <f t="shared" si="97"/>
        <v>0</v>
      </c>
      <c r="V406" s="2984">
        <f t="shared" si="98"/>
        <v>0</v>
      </c>
      <c r="W406" s="997"/>
      <c r="X406" s="2984">
        <f t="shared" si="99"/>
        <v>0</v>
      </c>
      <c r="Y406" s="2984">
        <f t="shared" si="100"/>
        <v>0</v>
      </c>
      <c r="Z406" s="997"/>
    </row>
    <row r="407" spans="1:26">
      <c r="A407" s="35"/>
      <c r="B407" s="20"/>
      <c r="C407" s="13">
        <f t="shared" si="89"/>
        <v>1</v>
      </c>
      <c r="D407" s="600"/>
      <c r="E407" s="13">
        <f t="shared" si="90"/>
        <v>0</v>
      </c>
      <c r="F407" s="600"/>
      <c r="G407" s="13">
        <f t="shared" si="91"/>
        <v>0</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900">
        <f t="shared" si="103"/>
        <v>0</v>
      </c>
      <c r="U407" s="2984">
        <f t="shared" si="97"/>
        <v>0</v>
      </c>
      <c r="V407" s="2984">
        <f t="shared" si="98"/>
        <v>0</v>
      </c>
      <c r="W407" s="997"/>
      <c r="X407" s="2984">
        <f t="shared" si="99"/>
        <v>0</v>
      </c>
      <c r="Y407" s="2984">
        <f t="shared" si="100"/>
        <v>0</v>
      </c>
      <c r="Z407" s="997"/>
    </row>
    <row r="408" spans="1:26">
      <c r="A408" s="35"/>
      <c r="B408" s="20"/>
      <c r="C408" s="13">
        <f t="shared" si="89"/>
        <v>1</v>
      </c>
      <c r="D408" s="600"/>
      <c r="E408" s="13">
        <f t="shared" si="90"/>
        <v>0</v>
      </c>
      <c r="F408" s="600"/>
      <c r="G408" s="13">
        <f t="shared" si="91"/>
        <v>0</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900">
        <f t="shared" si="103"/>
        <v>0</v>
      </c>
      <c r="U408" s="2984">
        <f t="shared" si="97"/>
        <v>0</v>
      </c>
      <c r="V408" s="2984">
        <f t="shared" si="98"/>
        <v>0</v>
      </c>
      <c r="W408" s="997"/>
      <c r="X408" s="2984">
        <f t="shared" si="99"/>
        <v>0</v>
      </c>
      <c r="Y408" s="2984">
        <f t="shared" si="100"/>
        <v>0</v>
      </c>
      <c r="Z408" s="997"/>
    </row>
    <row r="409" spans="1:26">
      <c r="A409" s="35"/>
      <c r="B409" s="20"/>
      <c r="C409" s="13">
        <f t="shared" si="89"/>
        <v>1</v>
      </c>
      <c r="D409" s="600"/>
      <c r="E409" s="13">
        <f t="shared" si="90"/>
        <v>0</v>
      </c>
      <c r="F409" s="600"/>
      <c r="G409" s="13">
        <f t="shared" si="91"/>
        <v>0</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900">
        <f t="shared" si="103"/>
        <v>0</v>
      </c>
      <c r="U409" s="2984">
        <f t="shared" si="97"/>
        <v>0</v>
      </c>
      <c r="V409" s="2984">
        <f t="shared" si="98"/>
        <v>0</v>
      </c>
      <c r="W409" s="997"/>
      <c r="X409" s="2984">
        <f t="shared" si="99"/>
        <v>0</v>
      </c>
      <c r="Y409" s="2984">
        <f t="shared" si="100"/>
        <v>0</v>
      </c>
      <c r="Z409" s="997"/>
    </row>
    <row r="410" spans="1:26">
      <c r="A410" s="35"/>
      <c r="B410" s="20"/>
      <c r="C410" s="13">
        <f t="shared" si="89"/>
        <v>1</v>
      </c>
      <c r="D410" s="600"/>
      <c r="E410" s="13">
        <f t="shared" si="90"/>
        <v>0</v>
      </c>
      <c r="F410" s="600"/>
      <c r="G410" s="13">
        <f t="shared" si="91"/>
        <v>0</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900">
        <f t="shared" si="103"/>
        <v>0</v>
      </c>
      <c r="U410" s="2984">
        <f t="shared" si="97"/>
        <v>0</v>
      </c>
      <c r="V410" s="2984">
        <f t="shared" si="98"/>
        <v>0</v>
      </c>
      <c r="W410" s="997"/>
      <c r="X410" s="2984">
        <f t="shared" si="99"/>
        <v>0</v>
      </c>
      <c r="Y410" s="2984">
        <f t="shared" si="100"/>
        <v>0</v>
      </c>
      <c r="Z410" s="997"/>
    </row>
    <row r="411" spans="1:26">
      <c r="A411" s="35"/>
      <c r="B411" s="20"/>
      <c r="C411" s="13">
        <f t="shared" si="89"/>
        <v>1</v>
      </c>
      <c r="D411" s="600"/>
      <c r="E411" s="13">
        <f t="shared" si="90"/>
        <v>0</v>
      </c>
      <c r="F411" s="600"/>
      <c r="G411" s="13">
        <f t="shared" si="91"/>
        <v>0</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900">
        <f t="shared" si="103"/>
        <v>0</v>
      </c>
      <c r="U411" s="2984">
        <f t="shared" si="97"/>
        <v>0</v>
      </c>
      <c r="V411" s="2984">
        <f t="shared" si="98"/>
        <v>0</v>
      </c>
      <c r="W411" s="997"/>
      <c r="X411" s="2984">
        <f t="shared" si="99"/>
        <v>0</v>
      </c>
      <c r="Y411" s="2984">
        <f t="shared" si="100"/>
        <v>0</v>
      </c>
      <c r="Z411" s="997"/>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0</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900">
        <f t="shared" si="103"/>
        <v>0</v>
      </c>
      <c r="U412" s="2984">
        <f t="shared" ref="U412:U475" si="112">ROUND(W412*B412,0)</f>
        <v>0</v>
      </c>
      <c r="V412" s="2984">
        <f t="shared" ref="V412:V475" si="113">ROUND(W412*B412/10000,0)</f>
        <v>0</v>
      </c>
      <c r="W412" s="997"/>
      <c r="X412" s="2984">
        <f t="shared" ref="X412:X475" si="114">ROUND(Z412*B412,0)</f>
        <v>0</v>
      </c>
      <c r="Y412" s="2984">
        <f t="shared" ref="Y412:Y475" si="115">ROUND(Z412*B412/10000,0)</f>
        <v>0</v>
      </c>
      <c r="Z412" s="997"/>
    </row>
    <row r="413" spans="1:26">
      <c r="A413" s="35"/>
      <c r="B413" s="20"/>
      <c r="C413" s="13">
        <f t="shared" si="104"/>
        <v>1</v>
      </c>
      <c r="D413" s="600"/>
      <c r="E413" s="13">
        <f t="shared" si="105"/>
        <v>0</v>
      </c>
      <c r="F413" s="600"/>
      <c r="G413" s="13">
        <f t="shared" si="106"/>
        <v>0</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900">
        <f t="shared" ref="T413:T476" si="118">ROUND(R413*B413/10000,0)</f>
        <v>0</v>
      </c>
      <c r="U413" s="2984">
        <f t="shared" si="112"/>
        <v>0</v>
      </c>
      <c r="V413" s="2984">
        <f t="shared" si="113"/>
        <v>0</v>
      </c>
      <c r="W413" s="997"/>
      <c r="X413" s="2984">
        <f t="shared" si="114"/>
        <v>0</v>
      </c>
      <c r="Y413" s="2984">
        <f t="shared" si="115"/>
        <v>0</v>
      </c>
      <c r="Z413" s="997"/>
    </row>
    <row r="414" spans="1:26">
      <c r="A414" s="35"/>
      <c r="B414" s="20"/>
      <c r="C414" s="13">
        <f t="shared" si="104"/>
        <v>1</v>
      </c>
      <c r="D414" s="600"/>
      <c r="E414" s="13">
        <f t="shared" si="105"/>
        <v>0</v>
      </c>
      <c r="F414" s="600"/>
      <c r="G414" s="13">
        <f t="shared" si="106"/>
        <v>0</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900">
        <f t="shared" si="118"/>
        <v>0</v>
      </c>
      <c r="U414" s="2984">
        <f t="shared" si="112"/>
        <v>0</v>
      </c>
      <c r="V414" s="2984">
        <f t="shared" si="113"/>
        <v>0</v>
      </c>
      <c r="W414" s="997"/>
      <c r="X414" s="2984">
        <f t="shared" si="114"/>
        <v>0</v>
      </c>
      <c r="Y414" s="2984">
        <f t="shared" si="115"/>
        <v>0</v>
      </c>
      <c r="Z414" s="997"/>
    </row>
    <row r="415" spans="1:26">
      <c r="A415" s="35"/>
      <c r="B415" s="20"/>
      <c r="C415" s="13">
        <f t="shared" si="104"/>
        <v>1</v>
      </c>
      <c r="D415" s="600"/>
      <c r="E415" s="13">
        <f t="shared" si="105"/>
        <v>0</v>
      </c>
      <c r="F415" s="600"/>
      <c r="G415" s="13">
        <f t="shared" si="106"/>
        <v>0</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900">
        <f t="shared" si="118"/>
        <v>0</v>
      </c>
      <c r="U415" s="2984">
        <f t="shared" si="112"/>
        <v>0</v>
      </c>
      <c r="V415" s="2984">
        <f t="shared" si="113"/>
        <v>0</v>
      </c>
      <c r="W415" s="997"/>
      <c r="X415" s="2984">
        <f t="shared" si="114"/>
        <v>0</v>
      </c>
      <c r="Y415" s="2984">
        <f t="shared" si="115"/>
        <v>0</v>
      </c>
      <c r="Z415" s="997"/>
    </row>
    <row r="416" spans="1:26">
      <c r="A416" s="35"/>
      <c r="B416" s="20"/>
      <c r="C416" s="13">
        <f t="shared" si="104"/>
        <v>1</v>
      </c>
      <c r="D416" s="600"/>
      <c r="E416" s="13">
        <f t="shared" si="105"/>
        <v>0</v>
      </c>
      <c r="F416" s="600"/>
      <c r="G416" s="13">
        <f t="shared" si="106"/>
        <v>0</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900">
        <f t="shared" si="118"/>
        <v>0</v>
      </c>
      <c r="U416" s="2984">
        <f t="shared" si="112"/>
        <v>0</v>
      </c>
      <c r="V416" s="2984">
        <f t="shared" si="113"/>
        <v>0</v>
      </c>
      <c r="W416" s="997"/>
      <c r="X416" s="2984">
        <f t="shared" si="114"/>
        <v>0</v>
      </c>
      <c r="Y416" s="2984">
        <f t="shared" si="115"/>
        <v>0</v>
      </c>
      <c r="Z416" s="997"/>
    </row>
    <row r="417" spans="1:26">
      <c r="A417" s="35"/>
      <c r="B417" s="20"/>
      <c r="C417" s="13">
        <f t="shared" si="104"/>
        <v>1</v>
      </c>
      <c r="D417" s="600"/>
      <c r="E417" s="13">
        <f t="shared" si="105"/>
        <v>0</v>
      </c>
      <c r="F417" s="600"/>
      <c r="G417" s="13">
        <f t="shared" si="106"/>
        <v>0</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900">
        <f t="shared" si="118"/>
        <v>0</v>
      </c>
      <c r="U417" s="2984">
        <f t="shared" si="112"/>
        <v>0</v>
      </c>
      <c r="V417" s="2984">
        <f t="shared" si="113"/>
        <v>0</v>
      </c>
      <c r="W417" s="997"/>
      <c r="X417" s="2984">
        <f t="shared" si="114"/>
        <v>0</v>
      </c>
      <c r="Y417" s="2984">
        <f t="shared" si="115"/>
        <v>0</v>
      </c>
      <c r="Z417" s="997"/>
    </row>
    <row r="418" spans="1:26">
      <c r="A418" s="35"/>
      <c r="B418" s="20"/>
      <c r="C418" s="13">
        <f t="shared" si="104"/>
        <v>1</v>
      </c>
      <c r="D418" s="600"/>
      <c r="E418" s="13">
        <f t="shared" si="105"/>
        <v>0</v>
      </c>
      <c r="F418" s="600"/>
      <c r="G418" s="13">
        <f t="shared" si="106"/>
        <v>0</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900">
        <f t="shared" si="118"/>
        <v>0</v>
      </c>
      <c r="U418" s="2984">
        <f t="shared" si="112"/>
        <v>0</v>
      </c>
      <c r="V418" s="2984">
        <f t="shared" si="113"/>
        <v>0</v>
      </c>
      <c r="W418" s="997"/>
      <c r="X418" s="2984">
        <f t="shared" si="114"/>
        <v>0</v>
      </c>
      <c r="Y418" s="2984">
        <f t="shared" si="115"/>
        <v>0</v>
      </c>
      <c r="Z418" s="997"/>
    </row>
    <row r="419" spans="1:26">
      <c r="A419" s="35"/>
      <c r="B419" s="20"/>
      <c r="C419" s="13">
        <f t="shared" si="104"/>
        <v>1</v>
      </c>
      <c r="D419" s="600"/>
      <c r="E419" s="13">
        <f t="shared" si="105"/>
        <v>0</v>
      </c>
      <c r="F419" s="600"/>
      <c r="G419" s="13">
        <f t="shared" si="106"/>
        <v>0</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900">
        <f t="shared" si="118"/>
        <v>0</v>
      </c>
      <c r="U419" s="2984">
        <f t="shared" si="112"/>
        <v>0</v>
      </c>
      <c r="V419" s="2984">
        <f t="shared" si="113"/>
        <v>0</v>
      </c>
      <c r="W419" s="997"/>
      <c r="X419" s="2984">
        <f t="shared" si="114"/>
        <v>0</v>
      </c>
      <c r="Y419" s="2984">
        <f t="shared" si="115"/>
        <v>0</v>
      </c>
      <c r="Z419" s="997"/>
    </row>
    <row r="420" spans="1:26">
      <c r="A420" s="35"/>
      <c r="B420" s="20"/>
      <c r="C420" s="13">
        <f t="shared" si="104"/>
        <v>1</v>
      </c>
      <c r="D420" s="600"/>
      <c r="E420" s="13">
        <f t="shared" si="105"/>
        <v>0</v>
      </c>
      <c r="F420" s="600"/>
      <c r="G420" s="13">
        <f t="shared" si="106"/>
        <v>0</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900">
        <f t="shared" si="118"/>
        <v>0</v>
      </c>
      <c r="U420" s="2984">
        <f t="shared" si="112"/>
        <v>0</v>
      </c>
      <c r="V420" s="2984">
        <f t="shared" si="113"/>
        <v>0</v>
      </c>
      <c r="W420" s="997"/>
      <c r="X420" s="2984">
        <f t="shared" si="114"/>
        <v>0</v>
      </c>
      <c r="Y420" s="2984">
        <f t="shared" si="115"/>
        <v>0</v>
      </c>
      <c r="Z420" s="997"/>
    </row>
    <row r="421" spans="1:26">
      <c r="A421" s="35"/>
      <c r="B421" s="20"/>
      <c r="C421" s="13">
        <f t="shared" si="104"/>
        <v>1</v>
      </c>
      <c r="D421" s="600"/>
      <c r="E421" s="13">
        <f t="shared" si="105"/>
        <v>0</v>
      </c>
      <c r="F421" s="600"/>
      <c r="G421" s="13">
        <f t="shared" si="106"/>
        <v>0</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900">
        <f t="shared" si="118"/>
        <v>0</v>
      </c>
      <c r="U421" s="2984">
        <f t="shared" si="112"/>
        <v>0</v>
      </c>
      <c r="V421" s="2984">
        <f t="shared" si="113"/>
        <v>0</v>
      </c>
      <c r="W421" s="997"/>
      <c r="X421" s="2984">
        <f t="shared" si="114"/>
        <v>0</v>
      </c>
      <c r="Y421" s="2984">
        <f t="shared" si="115"/>
        <v>0</v>
      </c>
      <c r="Z421" s="997"/>
    </row>
    <row r="422" spans="1:26">
      <c r="A422" s="35"/>
      <c r="B422" s="20"/>
      <c r="C422" s="13">
        <f t="shared" si="104"/>
        <v>1</v>
      </c>
      <c r="D422" s="600"/>
      <c r="E422" s="13">
        <f t="shared" si="105"/>
        <v>0</v>
      </c>
      <c r="F422" s="600"/>
      <c r="G422" s="13">
        <f t="shared" si="106"/>
        <v>0</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900">
        <f t="shared" si="118"/>
        <v>0</v>
      </c>
      <c r="U422" s="2984">
        <f t="shared" si="112"/>
        <v>0</v>
      </c>
      <c r="V422" s="2984">
        <f t="shared" si="113"/>
        <v>0</v>
      </c>
      <c r="W422" s="997"/>
      <c r="X422" s="2984">
        <f t="shared" si="114"/>
        <v>0</v>
      </c>
      <c r="Y422" s="2984">
        <f t="shared" si="115"/>
        <v>0</v>
      </c>
      <c r="Z422" s="997"/>
    </row>
    <row r="423" spans="1:26">
      <c r="A423" s="35"/>
      <c r="B423" s="20"/>
      <c r="C423" s="13">
        <f t="shared" si="104"/>
        <v>1</v>
      </c>
      <c r="D423" s="600"/>
      <c r="E423" s="13">
        <f t="shared" si="105"/>
        <v>0</v>
      </c>
      <c r="F423" s="600"/>
      <c r="G423" s="13">
        <f t="shared" si="106"/>
        <v>0</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900">
        <f t="shared" si="118"/>
        <v>0</v>
      </c>
      <c r="U423" s="2984">
        <f t="shared" si="112"/>
        <v>0</v>
      </c>
      <c r="V423" s="2984">
        <f t="shared" si="113"/>
        <v>0</v>
      </c>
      <c r="W423" s="997"/>
      <c r="X423" s="2984">
        <f t="shared" si="114"/>
        <v>0</v>
      </c>
      <c r="Y423" s="2984">
        <f t="shared" si="115"/>
        <v>0</v>
      </c>
      <c r="Z423" s="997"/>
    </row>
    <row r="424" spans="1:26">
      <c r="A424" s="35"/>
      <c r="B424" s="20"/>
      <c r="C424" s="13">
        <f t="shared" si="104"/>
        <v>1</v>
      </c>
      <c r="D424" s="600"/>
      <c r="E424" s="13">
        <f t="shared" si="105"/>
        <v>0</v>
      </c>
      <c r="F424" s="600"/>
      <c r="G424" s="13">
        <f t="shared" si="106"/>
        <v>0</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900">
        <f t="shared" si="118"/>
        <v>0</v>
      </c>
      <c r="U424" s="2984">
        <f t="shared" si="112"/>
        <v>0</v>
      </c>
      <c r="V424" s="2984">
        <f t="shared" si="113"/>
        <v>0</v>
      </c>
      <c r="W424" s="997"/>
      <c r="X424" s="2984">
        <f t="shared" si="114"/>
        <v>0</v>
      </c>
      <c r="Y424" s="2984">
        <f t="shared" si="115"/>
        <v>0</v>
      </c>
      <c r="Z424" s="997"/>
    </row>
    <row r="425" spans="1:26">
      <c r="A425" s="35"/>
      <c r="B425" s="20"/>
      <c r="C425" s="13">
        <f t="shared" si="104"/>
        <v>1</v>
      </c>
      <c r="D425" s="600"/>
      <c r="E425" s="13">
        <f t="shared" si="105"/>
        <v>0</v>
      </c>
      <c r="F425" s="600"/>
      <c r="G425" s="13">
        <f t="shared" si="106"/>
        <v>0</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900">
        <f t="shared" si="118"/>
        <v>0</v>
      </c>
      <c r="U425" s="2984">
        <f t="shared" si="112"/>
        <v>0</v>
      </c>
      <c r="V425" s="2984">
        <f t="shared" si="113"/>
        <v>0</v>
      </c>
      <c r="W425" s="997"/>
      <c r="X425" s="2984">
        <f t="shared" si="114"/>
        <v>0</v>
      </c>
      <c r="Y425" s="2984">
        <f t="shared" si="115"/>
        <v>0</v>
      </c>
      <c r="Z425" s="997"/>
    </row>
    <row r="426" spans="1:26">
      <c r="A426" s="35"/>
      <c r="B426" s="20"/>
      <c r="C426" s="13">
        <f t="shared" si="104"/>
        <v>1</v>
      </c>
      <c r="D426" s="600"/>
      <c r="E426" s="13">
        <f t="shared" si="105"/>
        <v>0</v>
      </c>
      <c r="F426" s="600"/>
      <c r="G426" s="13">
        <f t="shared" si="106"/>
        <v>0</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900">
        <f t="shared" si="118"/>
        <v>0</v>
      </c>
      <c r="U426" s="2984">
        <f t="shared" si="112"/>
        <v>0</v>
      </c>
      <c r="V426" s="2984">
        <f t="shared" si="113"/>
        <v>0</v>
      </c>
      <c r="W426" s="997"/>
      <c r="X426" s="2984">
        <f t="shared" si="114"/>
        <v>0</v>
      </c>
      <c r="Y426" s="2984">
        <f t="shared" si="115"/>
        <v>0</v>
      </c>
      <c r="Z426" s="997"/>
    </row>
    <row r="427" spans="1:26">
      <c r="A427" s="35"/>
      <c r="B427" s="20"/>
      <c r="C427" s="13">
        <f t="shared" si="104"/>
        <v>1</v>
      </c>
      <c r="D427" s="600"/>
      <c r="E427" s="13">
        <f t="shared" si="105"/>
        <v>0</v>
      </c>
      <c r="F427" s="600"/>
      <c r="G427" s="13">
        <f t="shared" si="106"/>
        <v>0</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900">
        <f t="shared" si="118"/>
        <v>0</v>
      </c>
      <c r="U427" s="2984">
        <f t="shared" si="112"/>
        <v>0</v>
      </c>
      <c r="V427" s="2984">
        <f t="shared" si="113"/>
        <v>0</v>
      </c>
      <c r="W427" s="997"/>
      <c r="X427" s="2984">
        <f t="shared" si="114"/>
        <v>0</v>
      </c>
      <c r="Y427" s="2984">
        <f t="shared" si="115"/>
        <v>0</v>
      </c>
      <c r="Z427" s="997"/>
    </row>
    <row r="428" spans="1:26">
      <c r="A428" s="35"/>
      <c r="B428" s="20"/>
      <c r="C428" s="13">
        <f t="shared" si="104"/>
        <v>1</v>
      </c>
      <c r="D428" s="600"/>
      <c r="E428" s="13">
        <f t="shared" si="105"/>
        <v>0</v>
      </c>
      <c r="F428" s="600"/>
      <c r="G428" s="13">
        <f t="shared" si="106"/>
        <v>0</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900">
        <f t="shared" si="118"/>
        <v>0</v>
      </c>
      <c r="U428" s="2984">
        <f t="shared" si="112"/>
        <v>0</v>
      </c>
      <c r="V428" s="2984">
        <f t="shared" si="113"/>
        <v>0</v>
      </c>
      <c r="W428" s="997"/>
      <c r="X428" s="2984">
        <f t="shared" si="114"/>
        <v>0</v>
      </c>
      <c r="Y428" s="2984">
        <f t="shared" si="115"/>
        <v>0</v>
      </c>
      <c r="Z428" s="997"/>
    </row>
    <row r="429" spans="1:26">
      <c r="A429" s="35"/>
      <c r="B429" s="20"/>
      <c r="C429" s="13">
        <f t="shared" si="104"/>
        <v>1</v>
      </c>
      <c r="D429" s="600"/>
      <c r="E429" s="13">
        <f t="shared" si="105"/>
        <v>0</v>
      </c>
      <c r="F429" s="600"/>
      <c r="G429" s="13">
        <f t="shared" si="106"/>
        <v>0</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900">
        <f t="shared" si="118"/>
        <v>0</v>
      </c>
      <c r="U429" s="2984">
        <f t="shared" si="112"/>
        <v>0</v>
      </c>
      <c r="V429" s="2984">
        <f t="shared" si="113"/>
        <v>0</v>
      </c>
      <c r="W429" s="997"/>
      <c r="X429" s="2984">
        <f t="shared" si="114"/>
        <v>0</v>
      </c>
      <c r="Y429" s="2984">
        <f t="shared" si="115"/>
        <v>0</v>
      </c>
      <c r="Z429" s="997"/>
    </row>
    <row r="430" spans="1:26">
      <c r="A430" s="35"/>
      <c r="B430" s="20"/>
      <c r="C430" s="13">
        <f t="shared" si="104"/>
        <v>1</v>
      </c>
      <c r="D430" s="600"/>
      <c r="E430" s="13">
        <f t="shared" si="105"/>
        <v>0</v>
      </c>
      <c r="F430" s="600"/>
      <c r="G430" s="13">
        <f t="shared" si="106"/>
        <v>0</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900">
        <f t="shared" si="118"/>
        <v>0</v>
      </c>
      <c r="U430" s="2984">
        <f t="shared" si="112"/>
        <v>0</v>
      </c>
      <c r="V430" s="2984">
        <f t="shared" si="113"/>
        <v>0</v>
      </c>
      <c r="W430" s="997"/>
      <c r="X430" s="2984">
        <f t="shared" si="114"/>
        <v>0</v>
      </c>
      <c r="Y430" s="2984">
        <f t="shared" si="115"/>
        <v>0</v>
      </c>
      <c r="Z430" s="997"/>
    </row>
    <row r="431" spans="1:26">
      <c r="A431" s="35"/>
      <c r="B431" s="20"/>
      <c r="C431" s="13">
        <f t="shared" si="104"/>
        <v>1</v>
      </c>
      <c r="D431" s="600"/>
      <c r="E431" s="13">
        <f t="shared" si="105"/>
        <v>0</v>
      </c>
      <c r="F431" s="600"/>
      <c r="G431" s="13">
        <f t="shared" si="106"/>
        <v>0</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900">
        <f t="shared" si="118"/>
        <v>0</v>
      </c>
      <c r="U431" s="2984">
        <f t="shared" si="112"/>
        <v>0</v>
      </c>
      <c r="V431" s="2984">
        <f t="shared" si="113"/>
        <v>0</v>
      </c>
      <c r="W431" s="997"/>
      <c r="X431" s="2984">
        <f t="shared" si="114"/>
        <v>0</v>
      </c>
      <c r="Y431" s="2984">
        <f t="shared" si="115"/>
        <v>0</v>
      </c>
      <c r="Z431" s="997"/>
    </row>
    <row r="432" spans="1:26">
      <c r="A432" s="35"/>
      <c r="B432" s="20"/>
      <c r="C432" s="13">
        <f t="shared" si="104"/>
        <v>1</v>
      </c>
      <c r="D432" s="600"/>
      <c r="E432" s="13">
        <f t="shared" si="105"/>
        <v>0</v>
      </c>
      <c r="F432" s="600"/>
      <c r="G432" s="13">
        <f t="shared" si="106"/>
        <v>0</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900">
        <f t="shared" si="118"/>
        <v>0</v>
      </c>
      <c r="U432" s="2984">
        <f t="shared" si="112"/>
        <v>0</v>
      </c>
      <c r="V432" s="2984">
        <f t="shared" si="113"/>
        <v>0</v>
      </c>
      <c r="W432" s="997"/>
      <c r="X432" s="2984">
        <f t="shared" si="114"/>
        <v>0</v>
      </c>
      <c r="Y432" s="2984">
        <f t="shared" si="115"/>
        <v>0</v>
      </c>
      <c r="Z432" s="997"/>
    </row>
    <row r="433" spans="1:26">
      <c r="A433" s="35"/>
      <c r="B433" s="20"/>
      <c r="C433" s="13">
        <f t="shared" si="104"/>
        <v>1</v>
      </c>
      <c r="D433" s="600"/>
      <c r="E433" s="13">
        <f t="shared" si="105"/>
        <v>0</v>
      </c>
      <c r="F433" s="600"/>
      <c r="G433" s="13">
        <f t="shared" si="106"/>
        <v>0</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900">
        <f t="shared" si="118"/>
        <v>0</v>
      </c>
      <c r="U433" s="2984">
        <f t="shared" si="112"/>
        <v>0</v>
      </c>
      <c r="V433" s="2984">
        <f t="shared" si="113"/>
        <v>0</v>
      </c>
      <c r="W433" s="997"/>
      <c r="X433" s="2984">
        <f t="shared" si="114"/>
        <v>0</v>
      </c>
      <c r="Y433" s="2984">
        <f t="shared" si="115"/>
        <v>0</v>
      </c>
      <c r="Z433" s="997"/>
    </row>
    <row r="434" spans="1:26">
      <c r="A434" s="35"/>
      <c r="B434" s="20"/>
      <c r="C434" s="13">
        <f t="shared" si="104"/>
        <v>1</v>
      </c>
      <c r="D434" s="600"/>
      <c r="E434" s="13">
        <f t="shared" si="105"/>
        <v>0</v>
      </c>
      <c r="F434" s="600"/>
      <c r="G434" s="13">
        <f t="shared" si="106"/>
        <v>0</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900">
        <f t="shared" si="118"/>
        <v>0</v>
      </c>
      <c r="U434" s="2984">
        <f t="shared" si="112"/>
        <v>0</v>
      </c>
      <c r="V434" s="2984">
        <f t="shared" si="113"/>
        <v>0</v>
      </c>
      <c r="W434" s="997"/>
      <c r="X434" s="2984">
        <f t="shared" si="114"/>
        <v>0</v>
      </c>
      <c r="Y434" s="2984">
        <f t="shared" si="115"/>
        <v>0</v>
      </c>
      <c r="Z434" s="997"/>
    </row>
    <row r="435" spans="1:26">
      <c r="A435" s="35"/>
      <c r="B435" s="20"/>
      <c r="C435" s="13">
        <f t="shared" si="104"/>
        <v>1</v>
      </c>
      <c r="D435" s="600"/>
      <c r="E435" s="13">
        <f t="shared" si="105"/>
        <v>0</v>
      </c>
      <c r="F435" s="600"/>
      <c r="G435" s="13">
        <f t="shared" si="106"/>
        <v>0</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900">
        <f t="shared" si="118"/>
        <v>0</v>
      </c>
      <c r="U435" s="2984">
        <f t="shared" si="112"/>
        <v>0</v>
      </c>
      <c r="V435" s="2984">
        <f t="shared" si="113"/>
        <v>0</v>
      </c>
      <c r="W435" s="997"/>
      <c r="X435" s="2984">
        <f t="shared" si="114"/>
        <v>0</v>
      </c>
      <c r="Y435" s="2984">
        <f t="shared" si="115"/>
        <v>0</v>
      </c>
      <c r="Z435" s="997"/>
    </row>
    <row r="436" spans="1:26">
      <c r="A436" s="35"/>
      <c r="B436" s="20"/>
      <c r="C436" s="13">
        <f t="shared" si="104"/>
        <v>1</v>
      </c>
      <c r="D436" s="600"/>
      <c r="E436" s="13">
        <f t="shared" si="105"/>
        <v>0</v>
      </c>
      <c r="F436" s="600"/>
      <c r="G436" s="13">
        <f t="shared" si="106"/>
        <v>0</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900">
        <f t="shared" si="118"/>
        <v>0</v>
      </c>
      <c r="U436" s="2984">
        <f t="shared" si="112"/>
        <v>0</v>
      </c>
      <c r="V436" s="2984">
        <f t="shared" si="113"/>
        <v>0</v>
      </c>
      <c r="W436" s="997"/>
      <c r="X436" s="2984">
        <f t="shared" si="114"/>
        <v>0</v>
      </c>
      <c r="Y436" s="2984">
        <f t="shared" si="115"/>
        <v>0</v>
      </c>
      <c r="Z436" s="997"/>
    </row>
    <row r="437" spans="1:26">
      <c r="A437" s="35"/>
      <c r="B437" s="20"/>
      <c r="C437" s="13">
        <f t="shared" si="104"/>
        <v>1</v>
      </c>
      <c r="D437" s="600"/>
      <c r="E437" s="13">
        <f t="shared" si="105"/>
        <v>0</v>
      </c>
      <c r="F437" s="600"/>
      <c r="G437" s="13">
        <f t="shared" si="106"/>
        <v>0</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900">
        <f t="shared" si="118"/>
        <v>0</v>
      </c>
      <c r="U437" s="2984">
        <f t="shared" si="112"/>
        <v>0</v>
      </c>
      <c r="V437" s="2984">
        <f t="shared" si="113"/>
        <v>0</v>
      </c>
      <c r="W437" s="997"/>
      <c r="X437" s="2984">
        <f t="shared" si="114"/>
        <v>0</v>
      </c>
      <c r="Y437" s="2984">
        <f t="shared" si="115"/>
        <v>0</v>
      </c>
      <c r="Z437" s="997"/>
    </row>
    <row r="438" spans="1:26">
      <c r="A438" s="35"/>
      <c r="B438" s="20"/>
      <c r="C438" s="13">
        <f t="shared" si="104"/>
        <v>1</v>
      </c>
      <c r="D438" s="600"/>
      <c r="E438" s="13">
        <f t="shared" si="105"/>
        <v>0</v>
      </c>
      <c r="F438" s="600"/>
      <c r="G438" s="13">
        <f t="shared" si="106"/>
        <v>0</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900">
        <f t="shared" si="118"/>
        <v>0</v>
      </c>
      <c r="U438" s="2984">
        <f t="shared" si="112"/>
        <v>0</v>
      </c>
      <c r="V438" s="2984">
        <f t="shared" si="113"/>
        <v>0</v>
      </c>
      <c r="W438" s="997"/>
      <c r="X438" s="2984">
        <f t="shared" si="114"/>
        <v>0</v>
      </c>
      <c r="Y438" s="2984">
        <f t="shared" si="115"/>
        <v>0</v>
      </c>
      <c r="Z438" s="997"/>
    </row>
    <row r="439" spans="1:26">
      <c r="A439" s="35"/>
      <c r="B439" s="20"/>
      <c r="C439" s="13">
        <f t="shared" si="104"/>
        <v>1</v>
      </c>
      <c r="D439" s="600"/>
      <c r="E439" s="13">
        <f t="shared" si="105"/>
        <v>0</v>
      </c>
      <c r="F439" s="600"/>
      <c r="G439" s="13">
        <f t="shared" si="106"/>
        <v>0</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900">
        <f t="shared" si="118"/>
        <v>0</v>
      </c>
      <c r="U439" s="2984">
        <f t="shared" si="112"/>
        <v>0</v>
      </c>
      <c r="V439" s="2984">
        <f t="shared" si="113"/>
        <v>0</v>
      </c>
      <c r="W439" s="997"/>
      <c r="X439" s="2984">
        <f t="shared" si="114"/>
        <v>0</v>
      </c>
      <c r="Y439" s="2984">
        <f t="shared" si="115"/>
        <v>0</v>
      </c>
      <c r="Z439" s="997"/>
    </row>
    <row r="440" spans="1:26">
      <c r="A440" s="35"/>
      <c r="B440" s="20"/>
      <c r="C440" s="13">
        <f t="shared" si="104"/>
        <v>1</v>
      </c>
      <c r="D440" s="600"/>
      <c r="E440" s="13">
        <f t="shared" si="105"/>
        <v>0</v>
      </c>
      <c r="F440" s="600"/>
      <c r="G440" s="13">
        <f t="shared" si="106"/>
        <v>0</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900">
        <f t="shared" si="118"/>
        <v>0</v>
      </c>
      <c r="U440" s="2984">
        <f t="shared" si="112"/>
        <v>0</v>
      </c>
      <c r="V440" s="2984">
        <f t="shared" si="113"/>
        <v>0</v>
      </c>
      <c r="W440" s="997"/>
      <c r="X440" s="2984">
        <f t="shared" si="114"/>
        <v>0</v>
      </c>
      <c r="Y440" s="2984">
        <f t="shared" si="115"/>
        <v>0</v>
      </c>
      <c r="Z440" s="997"/>
    </row>
    <row r="441" spans="1:26">
      <c r="A441" s="35"/>
      <c r="B441" s="20"/>
      <c r="C441" s="13">
        <f t="shared" si="104"/>
        <v>1</v>
      </c>
      <c r="D441" s="600"/>
      <c r="E441" s="13">
        <f t="shared" si="105"/>
        <v>0</v>
      </c>
      <c r="F441" s="600"/>
      <c r="G441" s="13">
        <f t="shared" si="106"/>
        <v>0</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900">
        <f t="shared" si="118"/>
        <v>0</v>
      </c>
      <c r="U441" s="2984">
        <f t="shared" si="112"/>
        <v>0</v>
      </c>
      <c r="V441" s="2984">
        <f t="shared" si="113"/>
        <v>0</v>
      </c>
      <c r="W441" s="997"/>
      <c r="X441" s="2984">
        <f t="shared" si="114"/>
        <v>0</v>
      </c>
      <c r="Y441" s="2984">
        <f t="shared" si="115"/>
        <v>0</v>
      </c>
      <c r="Z441" s="997"/>
    </row>
    <row r="442" spans="1:26">
      <c r="A442" s="35"/>
      <c r="B442" s="20"/>
      <c r="C442" s="13">
        <f t="shared" si="104"/>
        <v>1</v>
      </c>
      <c r="D442" s="600"/>
      <c r="E442" s="13">
        <f t="shared" si="105"/>
        <v>0</v>
      </c>
      <c r="F442" s="600"/>
      <c r="G442" s="13">
        <f t="shared" si="106"/>
        <v>0</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900">
        <f t="shared" si="118"/>
        <v>0</v>
      </c>
      <c r="U442" s="2984">
        <f t="shared" si="112"/>
        <v>0</v>
      </c>
      <c r="V442" s="2984">
        <f t="shared" si="113"/>
        <v>0</v>
      </c>
      <c r="W442" s="997"/>
      <c r="X442" s="2984">
        <f t="shared" si="114"/>
        <v>0</v>
      </c>
      <c r="Y442" s="2984">
        <f t="shared" si="115"/>
        <v>0</v>
      </c>
      <c r="Z442" s="997"/>
    </row>
    <row r="443" spans="1:26">
      <c r="A443" s="35"/>
      <c r="B443" s="20"/>
      <c r="C443" s="13">
        <f t="shared" si="104"/>
        <v>1</v>
      </c>
      <c r="D443" s="600"/>
      <c r="E443" s="13">
        <f t="shared" si="105"/>
        <v>0</v>
      </c>
      <c r="F443" s="600"/>
      <c r="G443" s="13">
        <f t="shared" si="106"/>
        <v>0</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900">
        <f t="shared" si="118"/>
        <v>0</v>
      </c>
      <c r="U443" s="2984">
        <f t="shared" si="112"/>
        <v>0</v>
      </c>
      <c r="V443" s="2984">
        <f t="shared" si="113"/>
        <v>0</v>
      </c>
      <c r="W443" s="997"/>
      <c r="X443" s="2984">
        <f t="shared" si="114"/>
        <v>0</v>
      </c>
      <c r="Y443" s="2984">
        <f t="shared" si="115"/>
        <v>0</v>
      </c>
      <c r="Z443" s="997"/>
    </row>
    <row r="444" spans="1:26">
      <c r="A444" s="35"/>
      <c r="B444" s="20"/>
      <c r="C444" s="13">
        <f t="shared" si="104"/>
        <v>1</v>
      </c>
      <c r="D444" s="600"/>
      <c r="E444" s="13">
        <f t="shared" si="105"/>
        <v>0</v>
      </c>
      <c r="F444" s="600"/>
      <c r="G444" s="13">
        <f t="shared" si="106"/>
        <v>0</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900">
        <f t="shared" si="118"/>
        <v>0</v>
      </c>
      <c r="U444" s="2984">
        <f t="shared" si="112"/>
        <v>0</v>
      </c>
      <c r="V444" s="2984">
        <f t="shared" si="113"/>
        <v>0</v>
      </c>
      <c r="W444" s="997"/>
      <c r="X444" s="2984">
        <f t="shared" si="114"/>
        <v>0</v>
      </c>
      <c r="Y444" s="2984">
        <f t="shared" si="115"/>
        <v>0</v>
      </c>
      <c r="Z444" s="997"/>
    </row>
    <row r="445" spans="1:26">
      <c r="A445" s="35"/>
      <c r="B445" s="20"/>
      <c r="C445" s="13">
        <f t="shared" si="104"/>
        <v>1</v>
      </c>
      <c r="D445" s="600"/>
      <c r="E445" s="13">
        <f t="shared" si="105"/>
        <v>0</v>
      </c>
      <c r="F445" s="600"/>
      <c r="G445" s="13">
        <f t="shared" si="106"/>
        <v>0</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900">
        <f t="shared" si="118"/>
        <v>0</v>
      </c>
      <c r="U445" s="2984">
        <f t="shared" si="112"/>
        <v>0</v>
      </c>
      <c r="V445" s="2984">
        <f t="shared" si="113"/>
        <v>0</v>
      </c>
      <c r="W445" s="997"/>
      <c r="X445" s="2984">
        <f t="shared" si="114"/>
        <v>0</v>
      </c>
      <c r="Y445" s="2984">
        <f t="shared" si="115"/>
        <v>0</v>
      </c>
      <c r="Z445" s="997"/>
    </row>
    <row r="446" spans="1:26">
      <c r="A446" s="35"/>
      <c r="B446" s="20"/>
      <c r="C446" s="13">
        <f t="shared" si="104"/>
        <v>1</v>
      </c>
      <c r="D446" s="600"/>
      <c r="E446" s="13">
        <f t="shared" si="105"/>
        <v>0</v>
      </c>
      <c r="F446" s="600"/>
      <c r="G446" s="13">
        <f t="shared" si="106"/>
        <v>0</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900">
        <f t="shared" si="118"/>
        <v>0</v>
      </c>
      <c r="U446" s="2984">
        <f t="shared" si="112"/>
        <v>0</v>
      </c>
      <c r="V446" s="2984">
        <f t="shared" si="113"/>
        <v>0</v>
      </c>
      <c r="W446" s="997"/>
      <c r="X446" s="2984">
        <f t="shared" si="114"/>
        <v>0</v>
      </c>
      <c r="Y446" s="2984">
        <f t="shared" si="115"/>
        <v>0</v>
      </c>
      <c r="Z446" s="997"/>
    </row>
    <row r="447" spans="1:26">
      <c r="A447" s="35"/>
      <c r="B447" s="20"/>
      <c r="C447" s="13">
        <f t="shared" si="104"/>
        <v>1</v>
      </c>
      <c r="D447" s="600"/>
      <c r="E447" s="13">
        <f t="shared" si="105"/>
        <v>0</v>
      </c>
      <c r="F447" s="600"/>
      <c r="G447" s="13">
        <f t="shared" si="106"/>
        <v>0</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900">
        <f t="shared" si="118"/>
        <v>0</v>
      </c>
      <c r="U447" s="2984">
        <f t="shared" si="112"/>
        <v>0</v>
      </c>
      <c r="V447" s="2984">
        <f t="shared" si="113"/>
        <v>0</v>
      </c>
      <c r="W447" s="997"/>
      <c r="X447" s="2984">
        <f t="shared" si="114"/>
        <v>0</v>
      </c>
      <c r="Y447" s="2984">
        <f t="shared" si="115"/>
        <v>0</v>
      </c>
      <c r="Z447" s="997"/>
    </row>
    <row r="448" spans="1:26">
      <c r="A448" s="35"/>
      <c r="B448" s="20"/>
      <c r="C448" s="13">
        <f t="shared" si="104"/>
        <v>1</v>
      </c>
      <c r="D448" s="600"/>
      <c r="E448" s="13">
        <f t="shared" si="105"/>
        <v>0</v>
      </c>
      <c r="F448" s="600"/>
      <c r="G448" s="13">
        <f t="shared" si="106"/>
        <v>0</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900">
        <f t="shared" si="118"/>
        <v>0</v>
      </c>
      <c r="U448" s="2984">
        <f t="shared" si="112"/>
        <v>0</v>
      </c>
      <c r="V448" s="2984">
        <f t="shared" si="113"/>
        <v>0</v>
      </c>
      <c r="W448" s="997"/>
      <c r="X448" s="2984">
        <f t="shared" si="114"/>
        <v>0</v>
      </c>
      <c r="Y448" s="2984">
        <f t="shared" si="115"/>
        <v>0</v>
      </c>
      <c r="Z448" s="997"/>
    </row>
    <row r="449" spans="1:26">
      <c r="A449" s="35"/>
      <c r="B449" s="20"/>
      <c r="C449" s="13">
        <f t="shared" si="104"/>
        <v>1</v>
      </c>
      <c r="D449" s="600"/>
      <c r="E449" s="13">
        <f t="shared" si="105"/>
        <v>0</v>
      </c>
      <c r="F449" s="600"/>
      <c r="G449" s="13">
        <f t="shared" si="106"/>
        <v>0</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900">
        <f t="shared" si="118"/>
        <v>0</v>
      </c>
      <c r="U449" s="2984">
        <f t="shared" si="112"/>
        <v>0</v>
      </c>
      <c r="V449" s="2984">
        <f t="shared" si="113"/>
        <v>0</v>
      </c>
      <c r="W449" s="997"/>
      <c r="X449" s="2984">
        <f t="shared" si="114"/>
        <v>0</v>
      </c>
      <c r="Y449" s="2984">
        <f t="shared" si="115"/>
        <v>0</v>
      </c>
      <c r="Z449" s="997"/>
    </row>
    <row r="450" spans="1:26">
      <c r="A450" s="35"/>
      <c r="B450" s="20"/>
      <c r="C450" s="13">
        <f t="shared" si="104"/>
        <v>1</v>
      </c>
      <c r="D450" s="600"/>
      <c r="E450" s="13">
        <f t="shared" si="105"/>
        <v>0</v>
      </c>
      <c r="F450" s="600"/>
      <c r="G450" s="13">
        <f t="shared" si="106"/>
        <v>0</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900">
        <f t="shared" si="118"/>
        <v>0</v>
      </c>
      <c r="U450" s="2984">
        <f t="shared" si="112"/>
        <v>0</v>
      </c>
      <c r="V450" s="2984">
        <f t="shared" si="113"/>
        <v>0</v>
      </c>
      <c r="W450" s="997"/>
      <c r="X450" s="2984">
        <f t="shared" si="114"/>
        <v>0</v>
      </c>
      <c r="Y450" s="2984">
        <f t="shared" si="115"/>
        <v>0</v>
      </c>
      <c r="Z450" s="997"/>
    </row>
    <row r="451" spans="1:26">
      <c r="A451" s="35"/>
      <c r="B451" s="20"/>
      <c r="C451" s="13">
        <f t="shared" si="104"/>
        <v>1</v>
      </c>
      <c r="D451" s="600"/>
      <c r="E451" s="13">
        <f t="shared" si="105"/>
        <v>0</v>
      </c>
      <c r="F451" s="600"/>
      <c r="G451" s="13">
        <f t="shared" si="106"/>
        <v>0</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900">
        <f t="shared" si="118"/>
        <v>0</v>
      </c>
      <c r="U451" s="2984">
        <f t="shared" si="112"/>
        <v>0</v>
      </c>
      <c r="V451" s="2984">
        <f t="shared" si="113"/>
        <v>0</v>
      </c>
      <c r="W451" s="997"/>
      <c r="X451" s="2984">
        <f t="shared" si="114"/>
        <v>0</v>
      </c>
      <c r="Y451" s="2984">
        <f t="shared" si="115"/>
        <v>0</v>
      </c>
      <c r="Z451" s="997"/>
    </row>
    <row r="452" spans="1:26">
      <c r="A452" s="35"/>
      <c r="B452" s="20"/>
      <c r="C452" s="13">
        <f t="shared" si="104"/>
        <v>1</v>
      </c>
      <c r="D452" s="600"/>
      <c r="E452" s="13">
        <f t="shared" si="105"/>
        <v>0</v>
      </c>
      <c r="F452" s="600"/>
      <c r="G452" s="13">
        <f t="shared" si="106"/>
        <v>0</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900">
        <f t="shared" si="118"/>
        <v>0</v>
      </c>
      <c r="U452" s="2984">
        <f t="shared" si="112"/>
        <v>0</v>
      </c>
      <c r="V452" s="2984">
        <f t="shared" si="113"/>
        <v>0</v>
      </c>
      <c r="W452" s="997"/>
      <c r="X452" s="2984">
        <f t="shared" si="114"/>
        <v>0</v>
      </c>
      <c r="Y452" s="2984">
        <f t="shared" si="115"/>
        <v>0</v>
      </c>
      <c r="Z452" s="997"/>
    </row>
    <row r="453" spans="1:26">
      <c r="A453" s="35"/>
      <c r="B453" s="20"/>
      <c r="C453" s="13">
        <f t="shared" si="104"/>
        <v>1</v>
      </c>
      <c r="D453" s="600"/>
      <c r="E453" s="13">
        <f t="shared" si="105"/>
        <v>0</v>
      </c>
      <c r="F453" s="600"/>
      <c r="G453" s="13">
        <f t="shared" si="106"/>
        <v>0</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900">
        <f t="shared" si="118"/>
        <v>0</v>
      </c>
      <c r="U453" s="2984">
        <f t="shared" si="112"/>
        <v>0</v>
      </c>
      <c r="V453" s="2984">
        <f t="shared" si="113"/>
        <v>0</v>
      </c>
      <c r="W453" s="997"/>
      <c r="X453" s="2984">
        <f t="shared" si="114"/>
        <v>0</v>
      </c>
      <c r="Y453" s="2984">
        <f t="shared" si="115"/>
        <v>0</v>
      </c>
      <c r="Z453" s="997"/>
    </row>
    <row r="454" spans="1:26">
      <c r="A454" s="35"/>
      <c r="B454" s="20"/>
      <c r="C454" s="13">
        <f t="shared" si="104"/>
        <v>1</v>
      </c>
      <c r="D454" s="600"/>
      <c r="E454" s="13">
        <f t="shared" si="105"/>
        <v>0</v>
      </c>
      <c r="F454" s="600"/>
      <c r="G454" s="13">
        <f t="shared" si="106"/>
        <v>0</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900">
        <f t="shared" si="118"/>
        <v>0</v>
      </c>
      <c r="U454" s="2984">
        <f t="shared" si="112"/>
        <v>0</v>
      </c>
      <c r="V454" s="2984">
        <f t="shared" si="113"/>
        <v>0</v>
      </c>
      <c r="W454" s="997"/>
      <c r="X454" s="2984">
        <f t="shared" si="114"/>
        <v>0</v>
      </c>
      <c r="Y454" s="2984">
        <f t="shared" si="115"/>
        <v>0</v>
      </c>
      <c r="Z454" s="997"/>
    </row>
    <row r="455" spans="1:26">
      <c r="A455" s="35"/>
      <c r="B455" s="20"/>
      <c r="C455" s="13">
        <f t="shared" si="104"/>
        <v>1</v>
      </c>
      <c r="D455" s="600"/>
      <c r="E455" s="13">
        <f t="shared" si="105"/>
        <v>0</v>
      </c>
      <c r="F455" s="600"/>
      <c r="G455" s="13">
        <f t="shared" si="106"/>
        <v>0</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900">
        <f t="shared" si="118"/>
        <v>0</v>
      </c>
      <c r="U455" s="2984">
        <f t="shared" si="112"/>
        <v>0</v>
      </c>
      <c r="V455" s="2984">
        <f t="shared" si="113"/>
        <v>0</v>
      </c>
      <c r="W455" s="997"/>
      <c r="X455" s="2984">
        <f t="shared" si="114"/>
        <v>0</v>
      </c>
      <c r="Y455" s="2984">
        <f t="shared" si="115"/>
        <v>0</v>
      </c>
      <c r="Z455" s="997"/>
    </row>
    <row r="456" spans="1:26">
      <c r="A456" s="35"/>
      <c r="B456" s="20"/>
      <c r="C456" s="13">
        <f t="shared" si="104"/>
        <v>1</v>
      </c>
      <c r="D456" s="600"/>
      <c r="E456" s="13">
        <f t="shared" si="105"/>
        <v>0</v>
      </c>
      <c r="F456" s="600"/>
      <c r="G456" s="13">
        <f t="shared" si="106"/>
        <v>0</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900">
        <f t="shared" si="118"/>
        <v>0</v>
      </c>
      <c r="U456" s="2984">
        <f t="shared" si="112"/>
        <v>0</v>
      </c>
      <c r="V456" s="2984">
        <f t="shared" si="113"/>
        <v>0</v>
      </c>
      <c r="W456" s="997"/>
      <c r="X456" s="2984">
        <f t="shared" si="114"/>
        <v>0</v>
      </c>
      <c r="Y456" s="2984">
        <f t="shared" si="115"/>
        <v>0</v>
      </c>
      <c r="Z456" s="997"/>
    </row>
    <row r="457" spans="1:26">
      <c r="A457" s="35"/>
      <c r="B457" s="20"/>
      <c r="C457" s="13">
        <f t="shared" si="104"/>
        <v>1</v>
      </c>
      <c r="D457" s="600"/>
      <c r="E457" s="13">
        <f t="shared" si="105"/>
        <v>0</v>
      </c>
      <c r="F457" s="600"/>
      <c r="G457" s="13">
        <f t="shared" si="106"/>
        <v>0</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900">
        <f t="shared" si="118"/>
        <v>0</v>
      </c>
      <c r="U457" s="2984">
        <f t="shared" si="112"/>
        <v>0</v>
      </c>
      <c r="V457" s="2984">
        <f t="shared" si="113"/>
        <v>0</v>
      </c>
      <c r="W457" s="997"/>
      <c r="X457" s="2984">
        <f t="shared" si="114"/>
        <v>0</v>
      </c>
      <c r="Y457" s="2984">
        <f t="shared" si="115"/>
        <v>0</v>
      </c>
      <c r="Z457" s="997"/>
    </row>
    <row r="458" spans="1:26">
      <c r="A458" s="35"/>
      <c r="B458" s="20"/>
      <c r="C458" s="13">
        <f t="shared" si="104"/>
        <v>1</v>
      </c>
      <c r="D458" s="600"/>
      <c r="E458" s="13">
        <f t="shared" si="105"/>
        <v>0</v>
      </c>
      <c r="F458" s="600"/>
      <c r="G458" s="13">
        <f t="shared" si="106"/>
        <v>0</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900">
        <f t="shared" si="118"/>
        <v>0</v>
      </c>
      <c r="U458" s="2984">
        <f t="shared" si="112"/>
        <v>0</v>
      </c>
      <c r="V458" s="2984">
        <f t="shared" si="113"/>
        <v>0</v>
      </c>
      <c r="W458" s="997"/>
      <c r="X458" s="2984">
        <f t="shared" si="114"/>
        <v>0</v>
      </c>
      <c r="Y458" s="2984">
        <f t="shared" si="115"/>
        <v>0</v>
      </c>
      <c r="Z458" s="997"/>
    </row>
    <row r="459" spans="1:26">
      <c r="A459" s="35"/>
      <c r="B459" s="20"/>
      <c r="C459" s="13">
        <f t="shared" si="104"/>
        <v>1</v>
      </c>
      <c r="D459" s="600"/>
      <c r="E459" s="13">
        <f t="shared" si="105"/>
        <v>0</v>
      </c>
      <c r="F459" s="600"/>
      <c r="G459" s="13">
        <f t="shared" si="106"/>
        <v>0</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900">
        <f t="shared" si="118"/>
        <v>0</v>
      </c>
      <c r="U459" s="2984">
        <f t="shared" si="112"/>
        <v>0</v>
      </c>
      <c r="V459" s="2984">
        <f t="shared" si="113"/>
        <v>0</v>
      </c>
      <c r="W459" s="997"/>
      <c r="X459" s="2984">
        <f t="shared" si="114"/>
        <v>0</v>
      </c>
      <c r="Y459" s="2984">
        <f t="shared" si="115"/>
        <v>0</v>
      </c>
      <c r="Z459" s="997"/>
    </row>
    <row r="460" spans="1:26">
      <c r="A460" s="35"/>
      <c r="B460" s="20"/>
      <c r="C460" s="13">
        <f t="shared" si="104"/>
        <v>1</v>
      </c>
      <c r="D460" s="600"/>
      <c r="E460" s="13">
        <f t="shared" si="105"/>
        <v>0</v>
      </c>
      <c r="F460" s="600"/>
      <c r="G460" s="13">
        <f t="shared" si="106"/>
        <v>0</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900">
        <f t="shared" si="118"/>
        <v>0</v>
      </c>
      <c r="U460" s="2984">
        <f t="shared" si="112"/>
        <v>0</v>
      </c>
      <c r="V460" s="2984">
        <f t="shared" si="113"/>
        <v>0</v>
      </c>
      <c r="W460" s="997"/>
      <c r="X460" s="2984">
        <f t="shared" si="114"/>
        <v>0</v>
      </c>
      <c r="Y460" s="2984">
        <f t="shared" si="115"/>
        <v>0</v>
      </c>
      <c r="Z460" s="997"/>
    </row>
    <row r="461" spans="1:26">
      <c r="A461" s="35"/>
      <c r="B461" s="20"/>
      <c r="C461" s="13">
        <f t="shared" si="104"/>
        <v>1</v>
      </c>
      <c r="D461" s="600"/>
      <c r="E461" s="13">
        <f t="shared" si="105"/>
        <v>0</v>
      </c>
      <c r="F461" s="600"/>
      <c r="G461" s="13">
        <f t="shared" si="106"/>
        <v>0</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900">
        <f t="shared" si="118"/>
        <v>0</v>
      </c>
      <c r="U461" s="2984">
        <f t="shared" si="112"/>
        <v>0</v>
      </c>
      <c r="V461" s="2984">
        <f t="shared" si="113"/>
        <v>0</v>
      </c>
      <c r="W461" s="997"/>
      <c r="X461" s="2984">
        <f t="shared" si="114"/>
        <v>0</v>
      </c>
      <c r="Y461" s="2984">
        <f t="shared" si="115"/>
        <v>0</v>
      </c>
      <c r="Z461" s="997"/>
    </row>
    <row r="462" spans="1:26">
      <c r="A462" s="35"/>
      <c r="B462" s="20"/>
      <c r="C462" s="13">
        <f t="shared" si="104"/>
        <v>1</v>
      </c>
      <c r="D462" s="600"/>
      <c r="E462" s="13">
        <f t="shared" si="105"/>
        <v>0</v>
      </c>
      <c r="F462" s="600"/>
      <c r="G462" s="13">
        <f t="shared" si="106"/>
        <v>0</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900">
        <f t="shared" si="118"/>
        <v>0</v>
      </c>
      <c r="U462" s="2984">
        <f t="shared" si="112"/>
        <v>0</v>
      </c>
      <c r="V462" s="2984">
        <f t="shared" si="113"/>
        <v>0</v>
      </c>
      <c r="W462" s="997"/>
      <c r="X462" s="2984">
        <f t="shared" si="114"/>
        <v>0</v>
      </c>
      <c r="Y462" s="2984">
        <f t="shared" si="115"/>
        <v>0</v>
      </c>
      <c r="Z462" s="997"/>
    </row>
    <row r="463" spans="1:26">
      <c r="A463" s="35"/>
      <c r="B463" s="20"/>
      <c r="C463" s="13">
        <f t="shared" si="104"/>
        <v>1</v>
      </c>
      <c r="D463" s="600"/>
      <c r="E463" s="13">
        <f t="shared" si="105"/>
        <v>0</v>
      </c>
      <c r="F463" s="600"/>
      <c r="G463" s="13">
        <f t="shared" si="106"/>
        <v>0</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900">
        <f t="shared" si="118"/>
        <v>0</v>
      </c>
      <c r="U463" s="2984">
        <f t="shared" si="112"/>
        <v>0</v>
      </c>
      <c r="V463" s="2984">
        <f t="shared" si="113"/>
        <v>0</v>
      </c>
      <c r="W463" s="997"/>
      <c r="X463" s="2984">
        <f t="shared" si="114"/>
        <v>0</v>
      </c>
      <c r="Y463" s="2984">
        <f t="shared" si="115"/>
        <v>0</v>
      </c>
      <c r="Z463" s="997"/>
    </row>
    <row r="464" spans="1:26">
      <c r="A464" s="35"/>
      <c r="B464" s="20"/>
      <c r="C464" s="13">
        <f t="shared" si="104"/>
        <v>1</v>
      </c>
      <c r="D464" s="600"/>
      <c r="E464" s="13">
        <f t="shared" si="105"/>
        <v>0</v>
      </c>
      <c r="F464" s="600"/>
      <c r="G464" s="13">
        <f t="shared" si="106"/>
        <v>0</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900">
        <f t="shared" si="118"/>
        <v>0</v>
      </c>
      <c r="U464" s="2984">
        <f t="shared" si="112"/>
        <v>0</v>
      </c>
      <c r="V464" s="2984">
        <f t="shared" si="113"/>
        <v>0</v>
      </c>
      <c r="W464" s="997"/>
      <c r="X464" s="2984">
        <f t="shared" si="114"/>
        <v>0</v>
      </c>
      <c r="Y464" s="2984">
        <f t="shared" si="115"/>
        <v>0</v>
      </c>
      <c r="Z464" s="997"/>
    </row>
    <row r="465" spans="1:26">
      <c r="A465" s="35"/>
      <c r="B465" s="20"/>
      <c r="C465" s="13">
        <f t="shared" si="104"/>
        <v>1</v>
      </c>
      <c r="D465" s="600"/>
      <c r="E465" s="13">
        <f t="shared" si="105"/>
        <v>0</v>
      </c>
      <c r="F465" s="600"/>
      <c r="G465" s="13">
        <f t="shared" si="106"/>
        <v>0</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900">
        <f t="shared" si="118"/>
        <v>0</v>
      </c>
      <c r="U465" s="2984">
        <f t="shared" si="112"/>
        <v>0</v>
      </c>
      <c r="V465" s="2984">
        <f t="shared" si="113"/>
        <v>0</v>
      </c>
      <c r="W465" s="997"/>
      <c r="X465" s="2984">
        <f t="shared" si="114"/>
        <v>0</v>
      </c>
      <c r="Y465" s="2984">
        <f t="shared" si="115"/>
        <v>0</v>
      </c>
      <c r="Z465" s="997"/>
    </row>
    <row r="466" spans="1:26">
      <c r="A466" s="35"/>
      <c r="B466" s="20"/>
      <c r="C466" s="13">
        <f t="shared" si="104"/>
        <v>1</v>
      </c>
      <c r="D466" s="600"/>
      <c r="E466" s="13">
        <f t="shared" si="105"/>
        <v>0</v>
      </c>
      <c r="F466" s="600"/>
      <c r="G466" s="13">
        <f t="shared" si="106"/>
        <v>0</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900">
        <f t="shared" si="118"/>
        <v>0</v>
      </c>
      <c r="U466" s="2984">
        <f t="shared" si="112"/>
        <v>0</v>
      </c>
      <c r="V466" s="2984">
        <f t="shared" si="113"/>
        <v>0</v>
      </c>
      <c r="W466" s="997"/>
      <c r="X466" s="2984">
        <f t="shared" si="114"/>
        <v>0</v>
      </c>
      <c r="Y466" s="2984">
        <f t="shared" si="115"/>
        <v>0</v>
      </c>
      <c r="Z466" s="997"/>
    </row>
    <row r="467" spans="1:26">
      <c r="A467" s="35"/>
      <c r="B467" s="20"/>
      <c r="C467" s="13">
        <f t="shared" si="104"/>
        <v>1</v>
      </c>
      <c r="D467" s="600"/>
      <c r="E467" s="13">
        <f t="shared" si="105"/>
        <v>0</v>
      </c>
      <c r="F467" s="600"/>
      <c r="G467" s="13">
        <f t="shared" si="106"/>
        <v>0</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900">
        <f t="shared" si="118"/>
        <v>0</v>
      </c>
      <c r="U467" s="2984">
        <f t="shared" si="112"/>
        <v>0</v>
      </c>
      <c r="V467" s="2984">
        <f t="shared" si="113"/>
        <v>0</v>
      </c>
      <c r="W467" s="997"/>
      <c r="X467" s="2984">
        <f t="shared" si="114"/>
        <v>0</v>
      </c>
      <c r="Y467" s="2984">
        <f t="shared" si="115"/>
        <v>0</v>
      </c>
      <c r="Z467" s="997"/>
    </row>
    <row r="468" spans="1:26">
      <c r="A468" s="35"/>
      <c r="B468" s="20"/>
      <c r="C468" s="13">
        <f t="shared" si="104"/>
        <v>1</v>
      </c>
      <c r="D468" s="600"/>
      <c r="E468" s="13">
        <f t="shared" si="105"/>
        <v>0</v>
      </c>
      <c r="F468" s="600"/>
      <c r="G468" s="13">
        <f t="shared" si="106"/>
        <v>0</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900">
        <f t="shared" si="118"/>
        <v>0</v>
      </c>
      <c r="U468" s="2984">
        <f t="shared" si="112"/>
        <v>0</v>
      </c>
      <c r="V468" s="2984">
        <f t="shared" si="113"/>
        <v>0</v>
      </c>
      <c r="W468" s="997"/>
      <c r="X468" s="2984">
        <f t="shared" si="114"/>
        <v>0</v>
      </c>
      <c r="Y468" s="2984">
        <f t="shared" si="115"/>
        <v>0</v>
      </c>
      <c r="Z468" s="997"/>
    </row>
    <row r="469" spans="1:26">
      <c r="A469" s="35"/>
      <c r="B469" s="20"/>
      <c r="C469" s="13">
        <f t="shared" si="104"/>
        <v>1</v>
      </c>
      <c r="D469" s="600"/>
      <c r="E469" s="13">
        <f t="shared" si="105"/>
        <v>0</v>
      </c>
      <c r="F469" s="600"/>
      <c r="G469" s="13">
        <f t="shared" si="106"/>
        <v>0</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900">
        <f t="shared" si="118"/>
        <v>0</v>
      </c>
      <c r="U469" s="2984">
        <f t="shared" si="112"/>
        <v>0</v>
      </c>
      <c r="V469" s="2984">
        <f t="shared" si="113"/>
        <v>0</v>
      </c>
      <c r="W469" s="997"/>
      <c r="X469" s="2984">
        <f t="shared" si="114"/>
        <v>0</v>
      </c>
      <c r="Y469" s="2984">
        <f t="shared" si="115"/>
        <v>0</v>
      </c>
      <c r="Z469" s="997"/>
    </row>
    <row r="470" spans="1:26">
      <c r="A470" s="35"/>
      <c r="B470" s="20"/>
      <c r="C470" s="13">
        <f t="shared" si="104"/>
        <v>1</v>
      </c>
      <c r="D470" s="600"/>
      <c r="E470" s="13">
        <f t="shared" si="105"/>
        <v>0</v>
      </c>
      <c r="F470" s="600"/>
      <c r="G470" s="13">
        <f t="shared" si="106"/>
        <v>0</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900">
        <f t="shared" si="118"/>
        <v>0</v>
      </c>
      <c r="U470" s="2984">
        <f t="shared" si="112"/>
        <v>0</v>
      </c>
      <c r="V470" s="2984">
        <f t="shared" si="113"/>
        <v>0</v>
      </c>
      <c r="W470" s="997"/>
      <c r="X470" s="2984">
        <f t="shared" si="114"/>
        <v>0</v>
      </c>
      <c r="Y470" s="2984">
        <f t="shared" si="115"/>
        <v>0</v>
      </c>
      <c r="Z470" s="997"/>
    </row>
    <row r="471" spans="1:26">
      <c r="A471" s="35"/>
      <c r="B471" s="20"/>
      <c r="C471" s="13">
        <f t="shared" si="104"/>
        <v>1</v>
      </c>
      <c r="D471" s="600"/>
      <c r="E471" s="13">
        <f t="shared" si="105"/>
        <v>0</v>
      </c>
      <c r="F471" s="600"/>
      <c r="G471" s="13">
        <f t="shared" si="106"/>
        <v>0</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900">
        <f t="shared" si="118"/>
        <v>0</v>
      </c>
      <c r="U471" s="2984">
        <f t="shared" si="112"/>
        <v>0</v>
      </c>
      <c r="V471" s="2984">
        <f t="shared" si="113"/>
        <v>0</v>
      </c>
      <c r="W471" s="997"/>
      <c r="X471" s="2984">
        <f t="shared" si="114"/>
        <v>0</v>
      </c>
      <c r="Y471" s="2984">
        <f t="shared" si="115"/>
        <v>0</v>
      </c>
      <c r="Z471" s="997"/>
    </row>
    <row r="472" spans="1:26">
      <c r="A472" s="35"/>
      <c r="B472" s="20"/>
      <c r="C472" s="13">
        <f t="shared" si="104"/>
        <v>1</v>
      </c>
      <c r="D472" s="600"/>
      <c r="E472" s="13">
        <f t="shared" si="105"/>
        <v>0</v>
      </c>
      <c r="F472" s="600"/>
      <c r="G472" s="13">
        <f t="shared" si="106"/>
        <v>0</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900">
        <f t="shared" si="118"/>
        <v>0</v>
      </c>
      <c r="U472" s="2984">
        <f t="shared" si="112"/>
        <v>0</v>
      </c>
      <c r="V472" s="2984">
        <f t="shared" si="113"/>
        <v>0</v>
      </c>
      <c r="W472" s="997"/>
      <c r="X472" s="2984">
        <f t="shared" si="114"/>
        <v>0</v>
      </c>
      <c r="Y472" s="2984">
        <f t="shared" si="115"/>
        <v>0</v>
      </c>
      <c r="Z472" s="997"/>
    </row>
    <row r="473" spans="1:26">
      <c r="A473" s="35"/>
      <c r="B473" s="20"/>
      <c r="C473" s="13">
        <f t="shared" si="104"/>
        <v>1</v>
      </c>
      <c r="D473" s="600"/>
      <c r="E473" s="13">
        <f t="shared" si="105"/>
        <v>0</v>
      </c>
      <c r="F473" s="600"/>
      <c r="G473" s="13">
        <f t="shared" si="106"/>
        <v>0</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900">
        <f t="shared" si="118"/>
        <v>0</v>
      </c>
      <c r="U473" s="2984">
        <f t="shared" si="112"/>
        <v>0</v>
      </c>
      <c r="V473" s="2984">
        <f t="shared" si="113"/>
        <v>0</v>
      </c>
      <c r="W473" s="997"/>
      <c r="X473" s="2984">
        <f t="shared" si="114"/>
        <v>0</v>
      </c>
      <c r="Y473" s="2984">
        <f t="shared" si="115"/>
        <v>0</v>
      </c>
      <c r="Z473" s="997"/>
    </row>
    <row r="474" spans="1:26">
      <c r="A474" s="35"/>
      <c r="B474" s="20"/>
      <c r="C474" s="13">
        <f t="shared" si="104"/>
        <v>1</v>
      </c>
      <c r="D474" s="600"/>
      <c r="E474" s="13">
        <f t="shared" si="105"/>
        <v>0</v>
      </c>
      <c r="F474" s="600"/>
      <c r="G474" s="13">
        <f t="shared" si="106"/>
        <v>0</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900">
        <f t="shared" si="118"/>
        <v>0</v>
      </c>
      <c r="U474" s="2984">
        <f t="shared" si="112"/>
        <v>0</v>
      </c>
      <c r="V474" s="2984">
        <f t="shared" si="113"/>
        <v>0</v>
      </c>
      <c r="W474" s="997"/>
      <c r="X474" s="2984">
        <f t="shared" si="114"/>
        <v>0</v>
      </c>
      <c r="Y474" s="2984">
        <f t="shared" si="115"/>
        <v>0</v>
      </c>
      <c r="Z474" s="997"/>
    </row>
    <row r="475" spans="1:26">
      <c r="A475" s="35"/>
      <c r="B475" s="20"/>
      <c r="C475" s="13">
        <f t="shared" si="104"/>
        <v>1</v>
      </c>
      <c r="D475" s="600"/>
      <c r="E475" s="13">
        <f t="shared" si="105"/>
        <v>0</v>
      </c>
      <c r="F475" s="600"/>
      <c r="G475" s="13">
        <f t="shared" si="106"/>
        <v>0</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900">
        <f t="shared" si="118"/>
        <v>0</v>
      </c>
      <c r="U475" s="2984">
        <f t="shared" si="112"/>
        <v>0</v>
      </c>
      <c r="V475" s="2984">
        <f t="shared" si="113"/>
        <v>0</v>
      </c>
      <c r="W475" s="997"/>
      <c r="X475" s="2984">
        <f t="shared" si="114"/>
        <v>0</v>
      </c>
      <c r="Y475" s="2984">
        <f t="shared" si="115"/>
        <v>0</v>
      </c>
      <c r="Z475" s="997"/>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0</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900">
        <f t="shared" si="118"/>
        <v>0</v>
      </c>
      <c r="U476" s="2984">
        <f t="shared" ref="U476:U527" si="127">ROUND(W476*B476,0)</f>
        <v>0</v>
      </c>
      <c r="V476" s="2984">
        <f t="shared" ref="V476:V527" si="128">ROUND(W476*B476/10000,0)</f>
        <v>0</v>
      </c>
      <c r="W476" s="997"/>
      <c r="X476" s="2984">
        <f t="shared" ref="X476:X527" si="129">ROUND(Z476*B476,0)</f>
        <v>0</v>
      </c>
      <c r="Y476" s="2984">
        <f t="shared" ref="Y476:Y527" si="130">ROUND(Z476*B476/10000,0)</f>
        <v>0</v>
      </c>
      <c r="Z476" s="997"/>
    </row>
    <row r="477" spans="1:26">
      <c r="A477" s="35"/>
      <c r="B477" s="20"/>
      <c r="C477" s="13">
        <f t="shared" si="119"/>
        <v>1</v>
      </c>
      <c r="D477" s="600"/>
      <c r="E477" s="13">
        <f t="shared" si="120"/>
        <v>0</v>
      </c>
      <c r="F477" s="600"/>
      <c r="G477" s="13">
        <f t="shared" si="121"/>
        <v>0</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900">
        <f t="shared" ref="T477:T527" si="133">ROUND(R477*B477/10000,0)</f>
        <v>0</v>
      </c>
      <c r="U477" s="2984">
        <f t="shared" si="127"/>
        <v>0</v>
      </c>
      <c r="V477" s="2984">
        <f t="shared" si="128"/>
        <v>0</v>
      </c>
      <c r="W477" s="997"/>
      <c r="X477" s="2984">
        <f t="shared" si="129"/>
        <v>0</v>
      </c>
      <c r="Y477" s="2984">
        <f t="shared" si="130"/>
        <v>0</v>
      </c>
      <c r="Z477" s="997"/>
    </row>
    <row r="478" spans="1:26">
      <c r="A478" s="35"/>
      <c r="B478" s="20"/>
      <c r="C478" s="13">
        <f t="shared" si="119"/>
        <v>1</v>
      </c>
      <c r="D478" s="600"/>
      <c r="E478" s="13">
        <f t="shared" si="120"/>
        <v>0</v>
      </c>
      <c r="F478" s="600"/>
      <c r="G478" s="13">
        <f t="shared" si="121"/>
        <v>0</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900">
        <f t="shared" si="133"/>
        <v>0</v>
      </c>
      <c r="U478" s="2984">
        <f t="shared" si="127"/>
        <v>0</v>
      </c>
      <c r="V478" s="2984">
        <f t="shared" si="128"/>
        <v>0</v>
      </c>
      <c r="W478" s="997"/>
      <c r="X478" s="2984">
        <f t="shared" si="129"/>
        <v>0</v>
      </c>
      <c r="Y478" s="2984">
        <f t="shared" si="130"/>
        <v>0</v>
      </c>
      <c r="Z478" s="997"/>
    </row>
    <row r="479" spans="1:26">
      <c r="A479" s="35"/>
      <c r="B479" s="20"/>
      <c r="C479" s="13">
        <f t="shared" si="119"/>
        <v>1</v>
      </c>
      <c r="D479" s="600"/>
      <c r="E479" s="13">
        <f t="shared" si="120"/>
        <v>0</v>
      </c>
      <c r="F479" s="600"/>
      <c r="G479" s="13">
        <f t="shared" si="121"/>
        <v>0</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900">
        <f t="shared" si="133"/>
        <v>0</v>
      </c>
      <c r="U479" s="2984">
        <f t="shared" si="127"/>
        <v>0</v>
      </c>
      <c r="V479" s="2984">
        <f t="shared" si="128"/>
        <v>0</v>
      </c>
      <c r="W479" s="997"/>
      <c r="X479" s="2984">
        <f t="shared" si="129"/>
        <v>0</v>
      </c>
      <c r="Y479" s="2984">
        <f t="shared" si="130"/>
        <v>0</v>
      </c>
      <c r="Z479" s="997"/>
    </row>
    <row r="480" spans="1:26">
      <c r="A480" s="35"/>
      <c r="B480" s="20"/>
      <c r="C480" s="13">
        <f t="shared" si="119"/>
        <v>1</v>
      </c>
      <c r="D480" s="600"/>
      <c r="E480" s="13">
        <f t="shared" si="120"/>
        <v>0</v>
      </c>
      <c r="F480" s="600"/>
      <c r="G480" s="13">
        <f t="shared" si="121"/>
        <v>0</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900">
        <f t="shared" si="133"/>
        <v>0</v>
      </c>
      <c r="U480" s="2984">
        <f t="shared" si="127"/>
        <v>0</v>
      </c>
      <c r="V480" s="2984">
        <f t="shared" si="128"/>
        <v>0</v>
      </c>
      <c r="W480" s="997"/>
      <c r="X480" s="2984">
        <f t="shared" si="129"/>
        <v>0</v>
      </c>
      <c r="Y480" s="2984">
        <f t="shared" si="130"/>
        <v>0</v>
      </c>
      <c r="Z480" s="997"/>
    </row>
    <row r="481" spans="1:26">
      <c r="A481" s="35"/>
      <c r="B481" s="20"/>
      <c r="C481" s="13">
        <f t="shared" si="119"/>
        <v>1</v>
      </c>
      <c r="D481" s="600"/>
      <c r="E481" s="13">
        <f t="shared" si="120"/>
        <v>0</v>
      </c>
      <c r="F481" s="600"/>
      <c r="G481" s="13">
        <f t="shared" si="121"/>
        <v>0</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900">
        <f t="shared" si="133"/>
        <v>0</v>
      </c>
      <c r="U481" s="2984">
        <f t="shared" si="127"/>
        <v>0</v>
      </c>
      <c r="V481" s="2984">
        <f t="shared" si="128"/>
        <v>0</v>
      </c>
      <c r="W481" s="997"/>
      <c r="X481" s="2984">
        <f t="shared" si="129"/>
        <v>0</v>
      </c>
      <c r="Y481" s="2984">
        <f t="shared" si="130"/>
        <v>0</v>
      </c>
      <c r="Z481" s="997"/>
    </row>
    <row r="482" spans="1:26">
      <c r="A482" s="35"/>
      <c r="B482" s="20"/>
      <c r="C482" s="13">
        <f t="shared" si="119"/>
        <v>1</v>
      </c>
      <c r="D482" s="600"/>
      <c r="E482" s="13">
        <f t="shared" si="120"/>
        <v>0</v>
      </c>
      <c r="F482" s="600"/>
      <c r="G482" s="13">
        <f t="shared" si="121"/>
        <v>0</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900">
        <f t="shared" si="133"/>
        <v>0</v>
      </c>
      <c r="U482" s="2984">
        <f t="shared" si="127"/>
        <v>0</v>
      </c>
      <c r="V482" s="2984">
        <f t="shared" si="128"/>
        <v>0</v>
      </c>
      <c r="W482" s="997"/>
      <c r="X482" s="2984">
        <f t="shared" si="129"/>
        <v>0</v>
      </c>
      <c r="Y482" s="2984">
        <f t="shared" si="130"/>
        <v>0</v>
      </c>
      <c r="Z482" s="997"/>
    </row>
    <row r="483" spans="1:26">
      <c r="A483" s="35"/>
      <c r="B483" s="20"/>
      <c r="C483" s="13">
        <f t="shared" si="119"/>
        <v>1</v>
      </c>
      <c r="D483" s="600"/>
      <c r="E483" s="13">
        <f t="shared" si="120"/>
        <v>0</v>
      </c>
      <c r="F483" s="600"/>
      <c r="G483" s="13">
        <f t="shared" si="121"/>
        <v>0</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900">
        <f t="shared" si="133"/>
        <v>0</v>
      </c>
      <c r="U483" s="2984">
        <f t="shared" si="127"/>
        <v>0</v>
      </c>
      <c r="V483" s="2984">
        <f t="shared" si="128"/>
        <v>0</v>
      </c>
      <c r="W483" s="997"/>
      <c r="X483" s="2984">
        <f t="shared" si="129"/>
        <v>0</v>
      </c>
      <c r="Y483" s="2984">
        <f t="shared" si="130"/>
        <v>0</v>
      </c>
      <c r="Z483" s="997"/>
    </row>
    <row r="484" spans="1:26">
      <c r="A484" s="35"/>
      <c r="B484" s="20"/>
      <c r="C484" s="13">
        <f t="shared" si="119"/>
        <v>1</v>
      </c>
      <c r="D484" s="600"/>
      <c r="E484" s="13">
        <f t="shared" si="120"/>
        <v>0</v>
      </c>
      <c r="F484" s="600"/>
      <c r="G484" s="13">
        <f t="shared" si="121"/>
        <v>0</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900">
        <f t="shared" si="133"/>
        <v>0</v>
      </c>
      <c r="U484" s="2984">
        <f t="shared" si="127"/>
        <v>0</v>
      </c>
      <c r="V484" s="2984">
        <f t="shared" si="128"/>
        <v>0</v>
      </c>
      <c r="W484" s="997"/>
      <c r="X484" s="2984">
        <f t="shared" si="129"/>
        <v>0</v>
      </c>
      <c r="Y484" s="2984">
        <f t="shared" si="130"/>
        <v>0</v>
      </c>
      <c r="Z484" s="997"/>
    </row>
    <row r="485" spans="1:26">
      <c r="A485" s="35"/>
      <c r="B485" s="20"/>
      <c r="C485" s="13">
        <f t="shared" si="119"/>
        <v>1</v>
      </c>
      <c r="D485" s="600"/>
      <c r="E485" s="13">
        <f t="shared" si="120"/>
        <v>0</v>
      </c>
      <c r="F485" s="600"/>
      <c r="G485" s="13">
        <f t="shared" si="121"/>
        <v>0</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900">
        <f t="shared" si="133"/>
        <v>0</v>
      </c>
      <c r="U485" s="2984">
        <f t="shared" si="127"/>
        <v>0</v>
      </c>
      <c r="V485" s="2984">
        <f t="shared" si="128"/>
        <v>0</v>
      </c>
      <c r="W485" s="997"/>
      <c r="X485" s="2984">
        <f t="shared" si="129"/>
        <v>0</v>
      </c>
      <c r="Y485" s="2984">
        <f t="shared" si="130"/>
        <v>0</v>
      </c>
      <c r="Z485" s="997"/>
    </row>
    <row r="486" spans="1:26">
      <c r="A486" s="35"/>
      <c r="B486" s="20"/>
      <c r="C486" s="13">
        <f t="shared" si="119"/>
        <v>1</v>
      </c>
      <c r="D486" s="600"/>
      <c r="E486" s="13">
        <f t="shared" si="120"/>
        <v>0</v>
      </c>
      <c r="F486" s="600"/>
      <c r="G486" s="13">
        <f t="shared" si="121"/>
        <v>0</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900">
        <f t="shared" si="133"/>
        <v>0</v>
      </c>
      <c r="U486" s="2984">
        <f t="shared" si="127"/>
        <v>0</v>
      </c>
      <c r="V486" s="2984">
        <f t="shared" si="128"/>
        <v>0</v>
      </c>
      <c r="W486" s="997"/>
      <c r="X486" s="2984">
        <f t="shared" si="129"/>
        <v>0</v>
      </c>
      <c r="Y486" s="2984">
        <f t="shared" si="130"/>
        <v>0</v>
      </c>
      <c r="Z486" s="997"/>
    </row>
    <row r="487" spans="1:26">
      <c r="A487" s="35"/>
      <c r="B487" s="20"/>
      <c r="C487" s="13">
        <f t="shared" si="119"/>
        <v>1</v>
      </c>
      <c r="D487" s="600"/>
      <c r="E487" s="13">
        <f t="shared" si="120"/>
        <v>0</v>
      </c>
      <c r="F487" s="600"/>
      <c r="G487" s="13">
        <f t="shared" si="121"/>
        <v>0</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900">
        <f t="shared" si="133"/>
        <v>0</v>
      </c>
      <c r="U487" s="2984">
        <f t="shared" si="127"/>
        <v>0</v>
      </c>
      <c r="V487" s="2984">
        <f t="shared" si="128"/>
        <v>0</v>
      </c>
      <c r="W487" s="997"/>
      <c r="X487" s="2984">
        <f t="shared" si="129"/>
        <v>0</v>
      </c>
      <c r="Y487" s="2984">
        <f t="shared" si="130"/>
        <v>0</v>
      </c>
      <c r="Z487" s="997"/>
    </row>
    <row r="488" spans="1:26">
      <c r="A488" s="35"/>
      <c r="B488" s="20"/>
      <c r="C488" s="13">
        <f t="shared" si="119"/>
        <v>1</v>
      </c>
      <c r="D488" s="600"/>
      <c r="E488" s="13">
        <f t="shared" si="120"/>
        <v>0</v>
      </c>
      <c r="F488" s="600"/>
      <c r="G488" s="13">
        <f t="shared" si="121"/>
        <v>0</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900">
        <f t="shared" si="133"/>
        <v>0</v>
      </c>
      <c r="U488" s="2984">
        <f t="shared" si="127"/>
        <v>0</v>
      </c>
      <c r="V488" s="2984">
        <f t="shared" si="128"/>
        <v>0</v>
      </c>
      <c r="W488" s="997"/>
      <c r="X488" s="2984">
        <f t="shared" si="129"/>
        <v>0</v>
      </c>
      <c r="Y488" s="2984">
        <f t="shared" si="130"/>
        <v>0</v>
      </c>
      <c r="Z488" s="997"/>
    </row>
    <row r="489" spans="1:26">
      <c r="A489" s="35"/>
      <c r="B489" s="20"/>
      <c r="C489" s="13">
        <f t="shared" si="119"/>
        <v>1</v>
      </c>
      <c r="D489" s="600"/>
      <c r="E489" s="13">
        <f t="shared" si="120"/>
        <v>0</v>
      </c>
      <c r="F489" s="600"/>
      <c r="G489" s="13">
        <f t="shared" si="121"/>
        <v>0</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900">
        <f t="shared" si="133"/>
        <v>0</v>
      </c>
      <c r="U489" s="2984">
        <f t="shared" si="127"/>
        <v>0</v>
      </c>
      <c r="V489" s="2984">
        <f t="shared" si="128"/>
        <v>0</v>
      </c>
      <c r="W489" s="997"/>
      <c r="X489" s="2984">
        <f t="shared" si="129"/>
        <v>0</v>
      </c>
      <c r="Y489" s="2984">
        <f t="shared" si="130"/>
        <v>0</v>
      </c>
      <c r="Z489" s="997"/>
    </row>
    <row r="490" spans="1:26">
      <c r="A490" s="35"/>
      <c r="B490" s="20"/>
      <c r="C490" s="13">
        <f t="shared" si="119"/>
        <v>1</v>
      </c>
      <c r="D490" s="600"/>
      <c r="E490" s="13">
        <f t="shared" si="120"/>
        <v>0</v>
      </c>
      <c r="F490" s="600"/>
      <c r="G490" s="13">
        <f t="shared" si="121"/>
        <v>0</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900">
        <f t="shared" si="133"/>
        <v>0</v>
      </c>
      <c r="U490" s="2984">
        <f t="shared" si="127"/>
        <v>0</v>
      </c>
      <c r="V490" s="2984">
        <f t="shared" si="128"/>
        <v>0</v>
      </c>
      <c r="W490" s="997"/>
      <c r="X490" s="2984">
        <f t="shared" si="129"/>
        <v>0</v>
      </c>
      <c r="Y490" s="2984">
        <f t="shared" si="130"/>
        <v>0</v>
      </c>
      <c r="Z490" s="997"/>
    </row>
    <row r="491" spans="1:26">
      <c r="A491" s="35"/>
      <c r="B491" s="20"/>
      <c r="C491" s="13">
        <f t="shared" si="119"/>
        <v>1</v>
      </c>
      <c r="D491" s="600"/>
      <c r="E491" s="13">
        <f t="shared" si="120"/>
        <v>0</v>
      </c>
      <c r="F491" s="600"/>
      <c r="G491" s="13">
        <f t="shared" si="121"/>
        <v>0</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900">
        <f t="shared" si="133"/>
        <v>0</v>
      </c>
      <c r="U491" s="2984">
        <f t="shared" si="127"/>
        <v>0</v>
      </c>
      <c r="V491" s="2984">
        <f t="shared" si="128"/>
        <v>0</v>
      </c>
      <c r="W491" s="997"/>
      <c r="X491" s="2984">
        <f t="shared" si="129"/>
        <v>0</v>
      </c>
      <c r="Y491" s="2984">
        <f t="shared" si="130"/>
        <v>0</v>
      </c>
      <c r="Z491" s="997"/>
    </row>
    <row r="492" spans="1:26">
      <c r="A492" s="35"/>
      <c r="B492" s="20"/>
      <c r="C492" s="13">
        <f t="shared" si="119"/>
        <v>1</v>
      </c>
      <c r="D492" s="600"/>
      <c r="E492" s="13">
        <f t="shared" si="120"/>
        <v>0</v>
      </c>
      <c r="F492" s="600"/>
      <c r="G492" s="13">
        <f t="shared" si="121"/>
        <v>0</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900">
        <f t="shared" si="133"/>
        <v>0</v>
      </c>
      <c r="U492" s="2984">
        <f t="shared" si="127"/>
        <v>0</v>
      </c>
      <c r="V492" s="2984">
        <f t="shared" si="128"/>
        <v>0</v>
      </c>
      <c r="W492" s="997"/>
      <c r="X492" s="2984">
        <f t="shared" si="129"/>
        <v>0</v>
      </c>
      <c r="Y492" s="2984">
        <f t="shared" si="130"/>
        <v>0</v>
      </c>
      <c r="Z492" s="997"/>
    </row>
    <row r="493" spans="1:26">
      <c r="A493" s="35"/>
      <c r="B493" s="20"/>
      <c r="C493" s="13">
        <f t="shared" si="119"/>
        <v>1</v>
      </c>
      <c r="D493" s="600"/>
      <c r="E493" s="13">
        <f t="shared" si="120"/>
        <v>0</v>
      </c>
      <c r="F493" s="600"/>
      <c r="G493" s="13">
        <f t="shared" si="121"/>
        <v>0</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900">
        <f t="shared" si="133"/>
        <v>0</v>
      </c>
      <c r="U493" s="2984">
        <f t="shared" si="127"/>
        <v>0</v>
      </c>
      <c r="V493" s="2984">
        <f t="shared" si="128"/>
        <v>0</v>
      </c>
      <c r="W493" s="997"/>
      <c r="X493" s="2984">
        <f t="shared" si="129"/>
        <v>0</v>
      </c>
      <c r="Y493" s="2984">
        <f t="shared" si="130"/>
        <v>0</v>
      </c>
      <c r="Z493" s="997"/>
    </row>
    <row r="494" spans="1:26">
      <c r="A494" s="35"/>
      <c r="B494" s="20"/>
      <c r="C494" s="13">
        <f t="shared" si="119"/>
        <v>1</v>
      </c>
      <c r="D494" s="600"/>
      <c r="E494" s="13">
        <f t="shared" si="120"/>
        <v>0</v>
      </c>
      <c r="F494" s="600"/>
      <c r="G494" s="13">
        <f t="shared" si="121"/>
        <v>0</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900">
        <f t="shared" si="133"/>
        <v>0</v>
      </c>
      <c r="U494" s="2984">
        <f t="shared" si="127"/>
        <v>0</v>
      </c>
      <c r="V494" s="2984">
        <f t="shared" si="128"/>
        <v>0</v>
      </c>
      <c r="W494" s="997"/>
      <c r="X494" s="2984">
        <f t="shared" si="129"/>
        <v>0</v>
      </c>
      <c r="Y494" s="2984">
        <f t="shared" si="130"/>
        <v>0</v>
      </c>
      <c r="Z494" s="997"/>
    </row>
    <row r="495" spans="1:26">
      <c r="A495" s="35"/>
      <c r="B495" s="20"/>
      <c r="C495" s="13">
        <f t="shared" si="119"/>
        <v>1</v>
      </c>
      <c r="D495" s="600"/>
      <c r="E495" s="13">
        <f t="shared" si="120"/>
        <v>0</v>
      </c>
      <c r="F495" s="600"/>
      <c r="G495" s="13">
        <f t="shared" si="121"/>
        <v>0</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900">
        <f t="shared" si="133"/>
        <v>0</v>
      </c>
      <c r="U495" s="2984">
        <f t="shared" si="127"/>
        <v>0</v>
      </c>
      <c r="V495" s="2984">
        <f t="shared" si="128"/>
        <v>0</v>
      </c>
      <c r="W495" s="997"/>
      <c r="X495" s="2984">
        <f t="shared" si="129"/>
        <v>0</v>
      </c>
      <c r="Y495" s="2984">
        <f t="shared" si="130"/>
        <v>0</v>
      </c>
      <c r="Z495" s="997"/>
    </row>
    <row r="496" spans="1:26">
      <c r="A496" s="35"/>
      <c r="B496" s="20"/>
      <c r="C496" s="13">
        <f t="shared" si="119"/>
        <v>1</v>
      </c>
      <c r="D496" s="600"/>
      <c r="E496" s="13">
        <f t="shared" si="120"/>
        <v>0</v>
      </c>
      <c r="F496" s="600"/>
      <c r="G496" s="13">
        <f t="shared" si="121"/>
        <v>0</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900">
        <f t="shared" si="133"/>
        <v>0</v>
      </c>
      <c r="U496" s="2984">
        <f t="shared" si="127"/>
        <v>0</v>
      </c>
      <c r="V496" s="2984">
        <f t="shared" si="128"/>
        <v>0</v>
      </c>
      <c r="W496" s="997"/>
      <c r="X496" s="2984">
        <f t="shared" si="129"/>
        <v>0</v>
      </c>
      <c r="Y496" s="2984">
        <f t="shared" si="130"/>
        <v>0</v>
      </c>
      <c r="Z496" s="997"/>
    </row>
    <row r="497" spans="1:26">
      <c r="A497" s="35"/>
      <c r="B497" s="20"/>
      <c r="C497" s="13">
        <f t="shared" si="119"/>
        <v>1</v>
      </c>
      <c r="D497" s="600"/>
      <c r="E497" s="13">
        <f t="shared" si="120"/>
        <v>0</v>
      </c>
      <c r="F497" s="600"/>
      <c r="G497" s="13">
        <f t="shared" si="121"/>
        <v>0</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900">
        <f t="shared" si="133"/>
        <v>0</v>
      </c>
      <c r="U497" s="2984">
        <f t="shared" si="127"/>
        <v>0</v>
      </c>
      <c r="V497" s="2984">
        <f t="shared" si="128"/>
        <v>0</v>
      </c>
      <c r="W497" s="997"/>
      <c r="X497" s="2984">
        <f t="shared" si="129"/>
        <v>0</v>
      </c>
      <c r="Y497" s="2984">
        <f t="shared" si="130"/>
        <v>0</v>
      </c>
      <c r="Z497" s="997"/>
    </row>
    <row r="498" spans="1:26">
      <c r="A498" s="35"/>
      <c r="B498" s="20"/>
      <c r="C498" s="13">
        <f t="shared" si="119"/>
        <v>1</v>
      </c>
      <c r="D498" s="600"/>
      <c r="E498" s="13">
        <f t="shared" si="120"/>
        <v>0</v>
      </c>
      <c r="F498" s="600"/>
      <c r="G498" s="13">
        <f t="shared" si="121"/>
        <v>0</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900">
        <f t="shared" si="133"/>
        <v>0</v>
      </c>
      <c r="U498" s="2984">
        <f t="shared" si="127"/>
        <v>0</v>
      </c>
      <c r="V498" s="2984">
        <f t="shared" si="128"/>
        <v>0</v>
      </c>
      <c r="W498" s="997"/>
      <c r="X498" s="2984">
        <f t="shared" si="129"/>
        <v>0</v>
      </c>
      <c r="Y498" s="2984">
        <f t="shared" si="130"/>
        <v>0</v>
      </c>
      <c r="Z498" s="997"/>
    </row>
    <row r="499" spans="1:26">
      <c r="A499" s="35"/>
      <c r="B499" s="20"/>
      <c r="C499" s="13">
        <f t="shared" si="119"/>
        <v>1</v>
      </c>
      <c r="D499" s="600"/>
      <c r="E499" s="13">
        <f t="shared" si="120"/>
        <v>0</v>
      </c>
      <c r="F499" s="600"/>
      <c r="G499" s="13">
        <f t="shared" si="121"/>
        <v>0</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900">
        <f t="shared" si="133"/>
        <v>0</v>
      </c>
      <c r="U499" s="2984">
        <f t="shared" si="127"/>
        <v>0</v>
      </c>
      <c r="V499" s="2984">
        <f t="shared" si="128"/>
        <v>0</v>
      </c>
      <c r="W499" s="997"/>
      <c r="X499" s="2984">
        <f t="shared" si="129"/>
        <v>0</v>
      </c>
      <c r="Y499" s="2984">
        <f t="shared" si="130"/>
        <v>0</v>
      </c>
      <c r="Z499" s="997"/>
    </row>
    <row r="500" spans="1:26">
      <c r="A500" s="35"/>
      <c r="B500" s="20"/>
      <c r="C500" s="13">
        <f t="shared" si="119"/>
        <v>1</v>
      </c>
      <c r="D500" s="600"/>
      <c r="E500" s="13">
        <f t="shared" si="120"/>
        <v>0</v>
      </c>
      <c r="F500" s="600"/>
      <c r="G500" s="13">
        <f t="shared" si="121"/>
        <v>0</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900">
        <f t="shared" si="133"/>
        <v>0</v>
      </c>
      <c r="U500" s="2984">
        <f t="shared" si="127"/>
        <v>0</v>
      </c>
      <c r="V500" s="2984">
        <f t="shared" si="128"/>
        <v>0</v>
      </c>
      <c r="W500" s="997"/>
      <c r="X500" s="2984">
        <f t="shared" si="129"/>
        <v>0</v>
      </c>
      <c r="Y500" s="2984">
        <f t="shared" si="130"/>
        <v>0</v>
      </c>
      <c r="Z500" s="997"/>
    </row>
    <row r="501" spans="1:26">
      <c r="A501" s="35"/>
      <c r="B501" s="20"/>
      <c r="C501" s="13">
        <f t="shared" si="119"/>
        <v>1</v>
      </c>
      <c r="D501" s="600"/>
      <c r="E501" s="13">
        <f t="shared" si="120"/>
        <v>0</v>
      </c>
      <c r="F501" s="600"/>
      <c r="G501" s="13">
        <f t="shared" si="121"/>
        <v>0</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900">
        <f t="shared" si="133"/>
        <v>0</v>
      </c>
      <c r="U501" s="2984">
        <f t="shared" si="127"/>
        <v>0</v>
      </c>
      <c r="V501" s="2984">
        <f t="shared" si="128"/>
        <v>0</v>
      </c>
      <c r="W501" s="997"/>
      <c r="X501" s="2984">
        <f t="shared" si="129"/>
        <v>0</v>
      </c>
      <c r="Y501" s="2984">
        <f t="shared" si="130"/>
        <v>0</v>
      </c>
      <c r="Z501" s="997"/>
    </row>
    <row r="502" spans="1:26">
      <c r="A502" s="35"/>
      <c r="B502" s="20"/>
      <c r="C502" s="13">
        <f t="shared" si="119"/>
        <v>1</v>
      </c>
      <c r="D502" s="600"/>
      <c r="E502" s="13">
        <f t="shared" si="120"/>
        <v>0</v>
      </c>
      <c r="F502" s="600"/>
      <c r="G502" s="13">
        <f t="shared" si="121"/>
        <v>0</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900">
        <f t="shared" si="133"/>
        <v>0</v>
      </c>
      <c r="U502" s="2984">
        <f t="shared" si="127"/>
        <v>0</v>
      </c>
      <c r="V502" s="2984">
        <f t="shared" si="128"/>
        <v>0</v>
      </c>
      <c r="W502" s="997"/>
      <c r="X502" s="2984">
        <f t="shared" si="129"/>
        <v>0</v>
      </c>
      <c r="Y502" s="2984">
        <f t="shared" si="130"/>
        <v>0</v>
      </c>
      <c r="Z502" s="997"/>
    </row>
    <row r="503" spans="1:26">
      <c r="A503" s="35"/>
      <c r="B503" s="20"/>
      <c r="C503" s="13">
        <f t="shared" si="119"/>
        <v>1</v>
      </c>
      <c r="D503" s="600"/>
      <c r="E503" s="13">
        <f t="shared" si="120"/>
        <v>0</v>
      </c>
      <c r="F503" s="600"/>
      <c r="G503" s="13">
        <f t="shared" si="121"/>
        <v>0</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900">
        <f t="shared" si="133"/>
        <v>0</v>
      </c>
      <c r="U503" s="2984">
        <f t="shared" si="127"/>
        <v>0</v>
      </c>
      <c r="V503" s="2984">
        <f t="shared" si="128"/>
        <v>0</v>
      </c>
      <c r="W503" s="997"/>
      <c r="X503" s="2984">
        <f t="shared" si="129"/>
        <v>0</v>
      </c>
      <c r="Y503" s="2984">
        <f t="shared" si="130"/>
        <v>0</v>
      </c>
      <c r="Z503" s="997"/>
    </row>
    <row r="504" spans="1:26">
      <c r="A504" s="35"/>
      <c r="B504" s="20"/>
      <c r="C504" s="13">
        <f t="shared" si="119"/>
        <v>1</v>
      </c>
      <c r="D504" s="600"/>
      <c r="E504" s="13">
        <f t="shared" si="120"/>
        <v>0</v>
      </c>
      <c r="F504" s="600"/>
      <c r="G504" s="13">
        <f t="shared" si="121"/>
        <v>0</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900">
        <f t="shared" si="133"/>
        <v>0</v>
      </c>
      <c r="U504" s="2984">
        <f t="shared" si="127"/>
        <v>0</v>
      </c>
      <c r="V504" s="2984">
        <f t="shared" si="128"/>
        <v>0</v>
      </c>
      <c r="W504" s="997"/>
      <c r="X504" s="2984">
        <f t="shared" si="129"/>
        <v>0</v>
      </c>
      <c r="Y504" s="2984">
        <f t="shared" si="130"/>
        <v>0</v>
      </c>
      <c r="Z504" s="997"/>
    </row>
    <row r="505" spans="1:26">
      <c r="A505" s="35"/>
      <c r="B505" s="20"/>
      <c r="C505" s="13">
        <f t="shared" si="119"/>
        <v>1</v>
      </c>
      <c r="D505" s="600"/>
      <c r="E505" s="13">
        <f t="shared" si="120"/>
        <v>0</v>
      </c>
      <c r="F505" s="600"/>
      <c r="G505" s="13">
        <f t="shared" si="121"/>
        <v>0</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900">
        <f t="shared" si="133"/>
        <v>0</v>
      </c>
      <c r="U505" s="2984">
        <f t="shared" si="127"/>
        <v>0</v>
      </c>
      <c r="V505" s="2984">
        <f t="shared" si="128"/>
        <v>0</v>
      </c>
      <c r="W505" s="997"/>
      <c r="X505" s="2984">
        <f t="shared" si="129"/>
        <v>0</v>
      </c>
      <c r="Y505" s="2984">
        <f t="shared" si="130"/>
        <v>0</v>
      </c>
      <c r="Z505" s="997"/>
    </row>
    <row r="506" spans="1:26">
      <c r="A506" s="35"/>
      <c r="B506" s="20"/>
      <c r="C506" s="13">
        <f t="shared" si="119"/>
        <v>1</v>
      </c>
      <c r="D506" s="600"/>
      <c r="E506" s="13">
        <f t="shared" si="120"/>
        <v>0</v>
      </c>
      <c r="F506" s="600"/>
      <c r="G506" s="13">
        <f t="shared" si="121"/>
        <v>0</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900">
        <f t="shared" si="133"/>
        <v>0</v>
      </c>
      <c r="U506" s="2984">
        <f t="shared" si="127"/>
        <v>0</v>
      </c>
      <c r="V506" s="2984">
        <f t="shared" si="128"/>
        <v>0</v>
      </c>
      <c r="W506" s="997"/>
      <c r="X506" s="2984">
        <f t="shared" si="129"/>
        <v>0</v>
      </c>
      <c r="Y506" s="2984">
        <f t="shared" si="130"/>
        <v>0</v>
      </c>
      <c r="Z506" s="997"/>
    </row>
    <row r="507" spans="1:26">
      <c r="A507" s="35"/>
      <c r="B507" s="20"/>
      <c r="C507" s="13">
        <f t="shared" si="119"/>
        <v>1</v>
      </c>
      <c r="D507" s="600"/>
      <c r="E507" s="13">
        <f t="shared" si="120"/>
        <v>0</v>
      </c>
      <c r="F507" s="600"/>
      <c r="G507" s="13">
        <f t="shared" si="121"/>
        <v>0</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900">
        <f t="shared" si="133"/>
        <v>0</v>
      </c>
      <c r="U507" s="2984">
        <f t="shared" si="127"/>
        <v>0</v>
      </c>
      <c r="V507" s="2984">
        <f t="shared" si="128"/>
        <v>0</v>
      </c>
      <c r="W507" s="997"/>
      <c r="X507" s="2984">
        <f t="shared" si="129"/>
        <v>0</v>
      </c>
      <c r="Y507" s="2984">
        <f t="shared" si="130"/>
        <v>0</v>
      </c>
      <c r="Z507" s="997"/>
    </row>
    <row r="508" spans="1:26">
      <c r="A508" s="35"/>
      <c r="B508" s="20"/>
      <c r="C508" s="13">
        <f t="shared" si="119"/>
        <v>1</v>
      </c>
      <c r="D508" s="600"/>
      <c r="E508" s="13">
        <f t="shared" si="120"/>
        <v>0</v>
      </c>
      <c r="F508" s="600"/>
      <c r="G508" s="13">
        <f t="shared" si="121"/>
        <v>0</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900">
        <f t="shared" si="133"/>
        <v>0</v>
      </c>
      <c r="U508" s="2984">
        <f t="shared" si="127"/>
        <v>0</v>
      </c>
      <c r="V508" s="2984">
        <f t="shared" si="128"/>
        <v>0</v>
      </c>
      <c r="W508" s="997"/>
      <c r="X508" s="2984">
        <f t="shared" si="129"/>
        <v>0</v>
      </c>
      <c r="Y508" s="2984">
        <f t="shared" si="130"/>
        <v>0</v>
      </c>
      <c r="Z508" s="997"/>
    </row>
    <row r="509" spans="1:26">
      <c r="A509" s="35"/>
      <c r="B509" s="20"/>
      <c r="C509" s="13">
        <f t="shared" si="119"/>
        <v>1</v>
      </c>
      <c r="D509" s="600"/>
      <c r="E509" s="13">
        <f t="shared" si="120"/>
        <v>0</v>
      </c>
      <c r="F509" s="600"/>
      <c r="G509" s="13">
        <f t="shared" si="121"/>
        <v>0</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900">
        <f t="shared" si="133"/>
        <v>0</v>
      </c>
      <c r="U509" s="2984">
        <f t="shared" si="127"/>
        <v>0</v>
      </c>
      <c r="V509" s="2984">
        <f t="shared" si="128"/>
        <v>0</v>
      </c>
      <c r="W509" s="997"/>
      <c r="X509" s="2984">
        <f t="shared" si="129"/>
        <v>0</v>
      </c>
      <c r="Y509" s="2984">
        <f t="shared" si="130"/>
        <v>0</v>
      </c>
      <c r="Z509" s="997"/>
    </row>
    <row r="510" spans="1:26">
      <c r="A510" s="35"/>
      <c r="B510" s="20"/>
      <c r="C510" s="13">
        <f t="shared" si="119"/>
        <v>1</v>
      </c>
      <c r="D510" s="600"/>
      <c r="E510" s="13">
        <f t="shared" si="120"/>
        <v>0</v>
      </c>
      <c r="F510" s="600"/>
      <c r="G510" s="13">
        <f t="shared" si="121"/>
        <v>0</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900">
        <f t="shared" si="133"/>
        <v>0</v>
      </c>
      <c r="U510" s="2984">
        <f t="shared" si="127"/>
        <v>0</v>
      </c>
      <c r="V510" s="2984">
        <f t="shared" si="128"/>
        <v>0</v>
      </c>
      <c r="W510" s="997"/>
      <c r="X510" s="2984">
        <f t="shared" si="129"/>
        <v>0</v>
      </c>
      <c r="Y510" s="2984">
        <f t="shared" si="130"/>
        <v>0</v>
      </c>
      <c r="Z510" s="997"/>
    </row>
    <row r="511" spans="1:26">
      <c r="A511" s="35"/>
      <c r="B511" s="20"/>
      <c r="C511" s="13">
        <f t="shared" si="119"/>
        <v>1</v>
      </c>
      <c r="D511" s="600"/>
      <c r="E511" s="13">
        <f t="shared" si="120"/>
        <v>0</v>
      </c>
      <c r="F511" s="600"/>
      <c r="G511" s="13">
        <f t="shared" si="121"/>
        <v>0</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900">
        <f t="shared" si="133"/>
        <v>0</v>
      </c>
      <c r="U511" s="2984">
        <f t="shared" si="127"/>
        <v>0</v>
      </c>
      <c r="V511" s="2984">
        <f t="shared" si="128"/>
        <v>0</v>
      </c>
      <c r="W511" s="997"/>
      <c r="X511" s="2984">
        <f t="shared" si="129"/>
        <v>0</v>
      </c>
      <c r="Y511" s="2984">
        <f t="shared" si="130"/>
        <v>0</v>
      </c>
      <c r="Z511" s="997"/>
    </row>
    <row r="512" spans="1:26">
      <c r="A512" s="35"/>
      <c r="B512" s="20"/>
      <c r="C512" s="13">
        <f t="shared" si="119"/>
        <v>1</v>
      </c>
      <c r="D512" s="600"/>
      <c r="E512" s="13">
        <f t="shared" si="120"/>
        <v>0</v>
      </c>
      <c r="F512" s="600"/>
      <c r="G512" s="13">
        <f t="shared" si="121"/>
        <v>0</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900">
        <f t="shared" si="133"/>
        <v>0</v>
      </c>
      <c r="U512" s="2984">
        <f t="shared" si="127"/>
        <v>0</v>
      </c>
      <c r="V512" s="2984">
        <f t="shared" si="128"/>
        <v>0</v>
      </c>
      <c r="W512" s="997"/>
      <c r="X512" s="2984">
        <f t="shared" si="129"/>
        <v>0</v>
      </c>
      <c r="Y512" s="2984">
        <f t="shared" si="130"/>
        <v>0</v>
      </c>
      <c r="Z512" s="997"/>
    </row>
    <row r="513" spans="1:26">
      <c r="A513" s="35"/>
      <c r="B513" s="20"/>
      <c r="C513" s="13">
        <f t="shared" si="119"/>
        <v>1</v>
      </c>
      <c r="D513" s="600"/>
      <c r="E513" s="13">
        <f t="shared" si="120"/>
        <v>0</v>
      </c>
      <c r="F513" s="600"/>
      <c r="G513" s="13">
        <f t="shared" si="121"/>
        <v>0</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900">
        <f t="shared" si="133"/>
        <v>0</v>
      </c>
      <c r="U513" s="2984">
        <f t="shared" si="127"/>
        <v>0</v>
      </c>
      <c r="V513" s="2984">
        <f t="shared" si="128"/>
        <v>0</v>
      </c>
      <c r="W513" s="997"/>
      <c r="X513" s="2984">
        <f t="shared" si="129"/>
        <v>0</v>
      </c>
      <c r="Y513" s="2984">
        <f t="shared" si="130"/>
        <v>0</v>
      </c>
      <c r="Z513" s="997"/>
    </row>
    <row r="514" spans="1:26">
      <c r="A514" s="35"/>
      <c r="B514" s="20"/>
      <c r="C514" s="13">
        <f t="shared" si="119"/>
        <v>1</v>
      </c>
      <c r="D514" s="600"/>
      <c r="E514" s="13">
        <f t="shared" si="120"/>
        <v>0</v>
      </c>
      <c r="F514" s="600"/>
      <c r="G514" s="13">
        <f t="shared" si="121"/>
        <v>0</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900">
        <f t="shared" si="133"/>
        <v>0</v>
      </c>
      <c r="U514" s="2984">
        <f t="shared" si="127"/>
        <v>0</v>
      </c>
      <c r="V514" s="2984">
        <f t="shared" si="128"/>
        <v>0</v>
      </c>
      <c r="W514" s="997"/>
      <c r="X514" s="2984">
        <f t="shared" si="129"/>
        <v>0</v>
      </c>
      <c r="Y514" s="2984">
        <f t="shared" si="130"/>
        <v>0</v>
      </c>
      <c r="Z514" s="997"/>
    </row>
    <row r="515" spans="1:26">
      <c r="A515" s="35"/>
      <c r="B515" s="20"/>
      <c r="C515" s="13">
        <f t="shared" si="119"/>
        <v>1</v>
      </c>
      <c r="D515" s="600"/>
      <c r="E515" s="13">
        <f t="shared" si="120"/>
        <v>0</v>
      </c>
      <c r="F515" s="600"/>
      <c r="G515" s="13">
        <f t="shared" si="121"/>
        <v>0</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900">
        <f t="shared" si="133"/>
        <v>0</v>
      </c>
      <c r="U515" s="2984">
        <f t="shared" si="127"/>
        <v>0</v>
      </c>
      <c r="V515" s="2984">
        <f t="shared" si="128"/>
        <v>0</v>
      </c>
      <c r="W515" s="997"/>
      <c r="X515" s="2984">
        <f t="shared" si="129"/>
        <v>0</v>
      </c>
      <c r="Y515" s="2984">
        <f t="shared" si="130"/>
        <v>0</v>
      </c>
      <c r="Z515" s="997"/>
    </row>
    <row r="516" spans="1:26">
      <c r="A516" s="35"/>
      <c r="B516" s="20"/>
      <c r="C516" s="13">
        <f t="shared" si="119"/>
        <v>1</v>
      </c>
      <c r="D516" s="600"/>
      <c r="E516" s="13">
        <f t="shared" si="120"/>
        <v>0</v>
      </c>
      <c r="F516" s="600"/>
      <c r="G516" s="13">
        <f t="shared" si="121"/>
        <v>0</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900">
        <f t="shared" si="133"/>
        <v>0</v>
      </c>
      <c r="U516" s="2984">
        <f t="shared" si="127"/>
        <v>0</v>
      </c>
      <c r="V516" s="2984">
        <f t="shared" si="128"/>
        <v>0</v>
      </c>
      <c r="W516" s="997"/>
      <c r="X516" s="2984">
        <f t="shared" si="129"/>
        <v>0</v>
      </c>
      <c r="Y516" s="2984">
        <f t="shared" si="130"/>
        <v>0</v>
      </c>
      <c r="Z516" s="997"/>
    </row>
    <row r="517" spans="1:26">
      <c r="A517" s="35"/>
      <c r="B517" s="20"/>
      <c r="C517" s="13">
        <f t="shared" si="119"/>
        <v>1</v>
      </c>
      <c r="D517" s="600"/>
      <c r="E517" s="13">
        <f t="shared" si="120"/>
        <v>0</v>
      </c>
      <c r="F517" s="600"/>
      <c r="G517" s="13">
        <f t="shared" si="121"/>
        <v>0</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900">
        <f t="shared" si="133"/>
        <v>0</v>
      </c>
      <c r="U517" s="2984">
        <f t="shared" si="127"/>
        <v>0</v>
      </c>
      <c r="V517" s="2984">
        <f t="shared" si="128"/>
        <v>0</v>
      </c>
      <c r="W517" s="997"/>
      <c r="X517" s="2984">
        <f t="shared" si="129"/>
        <v>0</v>
      </c>
      <c r="Y517" s="2984">
        <f t="shared" si="130"/>
        <v>0</v>
      </c>
      <c r="Z517" s="997"/>
    </row>
    <row r="518" spans="1:26">
      <c r="A518" s="35"/>
      <c r="B518" s="20"/>
      <c r="C518" s="13">
        <f t="shared" si="119"/>
        <v>1</v>
      </c>
      <c r="D518" s="600"/>
      <c r="E518" s="13">
        <f t="shared" si="120"/>
        <v>0</v>
      </c>
      <c r="F518" s="600"/>
      <c r="G518" s="13">
        <f t="shared" si="121"/>
        <v>0</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900">
        <f t="shared" si="133"/>
        <v>0</v>
      </c>
      <c r="U518" s="2984">
        <f t="shared" si="127"/>
        <v>0</v>
      </c>
      <c r="V518" s="2984">
        <f t="shared" si="128"/>
        <v>0</v>
      </c>
      <c r="W518" s="997"/>
      <c r="X518" s="2984">
        <f t="shared" si="129"/>
        <v>0</v>
      </c>
      <c r="Y518" s="2984">
        <f t="shared" si="130"/>
        <v>0</v>
      </c>
      <c r="Z518" s="997"/>
    </row>
    <row r="519" spans="1:26">
      <c r="A519" s="35"/>
      <c r="B519" s="20"/>
      <c r="C519" s="13">
        <f t="shared" si="119"/>
        <v>1</v>
      </c>
      <c r="D519" s="600"/>
      <c r="E519" s="13">
        <f t="shared" si="120"/>
        <v>0</v>
      </c>
      <c r="F519" s="600"/>
      <c r="G519" s="13">
        <f t="shared" si="121"/>
        <v>0</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900">
        <f t="shared" si="133"/>
        <v>0</v>
      </c>
      <c r="U519" s="2984">
        <f t="shared" si="127"/>
        <v>0</v>
      </c>
      <c r="V519" s="2984">
        <f t="shared" si="128"/>
        <v>0</v>
      </c>
      <c r="W519" s="997"/>
      <c r="X519" s="2984">
        <f t="shared" si="129"/>
        <v>0</v>
      </c>
      <c r="Y519" s="2984">
        <f t="shared" si="130"/>
        <v>0</v>
      </c>
      <c r="Z519" s="997"/>
    </row>
    <row r="520" spans="1:26">
      <c r="A520" s="35"/>
      <c r="B520" s="20"/>
      <c r="C520" s="13">
        <f t="shared" si="119"/>
        <v>1</v>
      </c>
      <c r="D520" s="600"/>
      <c r="E520" s="13">
        <f t="shared" si="120"/>
        <v>0</v>
      </c>
      <c r="F520" s="600"/>
      <c r="G520" s="13">
        <f t="shared" si="121"/>
        <v>0</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900">
        <f t="shared" si="133"/>
        <v>0</v>
      </c>
      <c r="U520" s="2984">
        <f t="shared" si="127"/>
        <v>0</v>
      </c>
      <c r="V520" s="2984">
        <f t="shared" si="128"/>
        <v>0</v>
      </c>
      <c r="W520" s="997"/>
      <c r="X520" s="2984">
        <f t="shared" si="129"/>
        <v>0</v>
      </c>
      <c r="Y520" s="2984">
        <f t="shared" si="130"/>
        <v>0</v>
      </c>
      <c r="Z520" s="997"/>
    </row>
    <row r="521" spans="1:26">
      <c r="A521" s="35"/>
      <c r="B521" s="20"/>
      <c r="C521" s="13">
        <f t="shared" si="119"/>
        <v>1</v>
      </c>
      <c r="D521" s="600"/>
      <c r="E521" s="13">
        <f t="shared" si="120"/>
        <v>0</v>
      </c>
      <c r="F521" s="600"/>
      <c r="G521" s="13">
        <f t="shared" si="121"/>
        <v>0</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900">
        <f t="shared" si="133"/>
        <v>0</v>
      </c>
      <c r="U521" s="2984">
        <f t="shared" si="127"/>
        <v>0</v>
      </c>
      <c r="V521" s="2984">
        <f t="shared" si="128"/>
        <v>0</v>
      </c>
      <c r="W521" s="997"/>
      <c r="X521" s="2984">
        <f t="shared" si="129"/>
        <v>0</v>
      </c>
      <c r="Y521" s="2984">
        <f t="shared" si="130"/>
        <v>0</v>
      </c>
      <c r="Z521" s="997"/>
    </row>
    <row r="522" spans="1:26">
      <c r="A522" s="35"/>
      <c r="B522" s="20"/>
      <c r="C522" s="13">
        <f t="shared" si="119"/>
        <v>1</v>
      </c>
      <c r="D522" s="600"/>
      <c r="E522" s="13">
        <f t="shared" si="120"/>
        <v>0</v>
      </c>
      <c r="F522" s="600"/>
      <c r="G522" s="13">
        <f t="shared" si="121"/>
        <v>0</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900">
        <f t="shared" si="133"/>
        <v>0</v>
      </c>
      <c r="U522" s="2984">
        <f t="shared" si="127"/>
        <v>0</v>
      </c>
      <c r="V522" s="2984">
        <f t="shared" si="128"/>
        <v>0</v>
      </c>
      <c r="W522" s="997"/>
      <c r="X522" s="2984">
        <f t="shared" si="129"/>
        <v>0</v>
      </c>
      <c r="Y522" s="2984">
        <f t="shared" si="130"/>
        <v>0</v>
      </c>
      <c r="Z522" s="997"/>
    </row>
    <row r="523" spans="1:26">
      <c r="A523" s="35"/>
      <c r="B523" s="20"/>
      <c r="C523" s="13">
        <f t="shared" si="119"/>
        <v>1</v>
      </c>
      <c r="D523" s="600"/>
      <c r="E523" s="13">
        <f t="shared" si="120"/>
        <v>0</v>
      </c>
      <c r="F523" s="600"/>
      <c r="G523" s="13">
        <f t="shared" si="121"/>
        <v>0</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900">
        <f t="shared" si="133"/>
        <v>0</v>
      </c>
      <c r="U523" s="2984">
        <f t="shared" si="127"/>
        <v>0</v>
      </c>
      <c r="V523" s="2984">
        <f t="shared" si="128"/>
        <v>0</v>
      </c>
      <c r="W523" s="997"/>
      <c r="X523" s="2984">
        <f t="shared" si="129"/>
        <v>0</v>
      </c>
      <c r="Y523" s="2984">
        <f t="shared" si="130"/>
        <v>0</v>
      </c>
      <c r="Z523" s="997"/>
    </row>
    <row r="524" spans="1:26">
      <c r="A524" s="35"/>
      <c r="B524" s="20"/>
      <c r="C524" s="13">
        <f t="shared" si="119"/>
        <v>1</v>
      </c>
      <c r="D524" s="600"/>
      <c r="E524" s="13">
        <f t="shared" si="120"/>
        <v>0</v>
      </c>
      <c r="F524" s="600"/>
      <c r="G524" s="13">
        <f t="shared" si="121"/>
        <v>0</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900">
        <f t="shared" si="133"/>
        <v>0</v>
      </c>
      <c r="U524" s="2984">
        <f t="shared" si="127"/>
        <v>0</v>
      </c>
      <c r="V524" s="2984">
        <f t="shared" si="128"/>
        <v>0</v>
      </c>
      <c r="W524" s="997"/>
      <c r="X524" s="2984">
        <f t="shared" si="129"/>
        <v>0</v>
      </c>
      <c r="Y524" s="2984">
        <f t="shared" si="130"/>
        <v>0</v>
      </c>
      <c r="Z524" s="997"/>
    </row>
    <row r="525" spans="1:26">
      <c r="A525" s="35"/>
      <c r="B525" s="20"/>
      <c r="C525" s="13">
        <f t="shared" si="119"/>
        <v>1</v>
      </c>
      <c r="D525" s="600"/>
      <c r="E525" s="13">
        <f t="shared" si="120"/>
        <v>0</v>
      </c>
      <c r="F525" s="600"/>
      <c r="G525" s="13">
        <f t="shared" si="121"/>
        <v>0</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900">
        <f t="shared" si="133"/>
        <v>0</v>
      </c>
      <c r="U525" s="2984">
        <f t="shared" si="127"/>
        <v>0</v>
      </c>
      <c r="V525" s="2984">
        <f t="shared" si="128"/>
        <v>0</v>
      </c>
      <c r="W525" s="997"/>
      <c r="X525" s="2984">
        <f t="shared" si="129"/>
        <v>0</v>
      </c>
      <c r="Y525" s="2984">
        <f t="shared" si="130"/>
        <v>0</v>
      </c>
      <c r="Z525" s="997"/>
    </row>
    <row r="526" spans="1:26">
      <c r="A526" s="35"/>
      <c r="B526" s="20"/>
      <c r="C526" s="13">
        <f t="shared" si="119"/>
        <v>1</v>
      </c>
      <c r="D526" s="600"/>
      <c r="E526" s="13">
        <f t="shared" si="120"/>
        <v>0</v>
      </c>
      <c r="F526" s="600"/>
      <c r="G526" s="13">
        <f t="shared" si="121"/>
        <v>0</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900">
        <f t="shared" si="133"/>
        <v>0</v>
      </c>
      <c r="U526" s="2984">
        <f t="shared" si="127"/>
        <v>0</v>
      </c>
      <c r="V526" s="2984">
        <f t="shared" si="128"/>
        <v>0</v>
      </c>
      <c r="W526" s="997"/>
      <c r="X526" s="2984">
        <f t="shared" si="129"/>
        <v>0</v>
      </c>
      <c r="Y526" s="2984">
        <f t="shared" si="130"/>
        <v>0</v>
      </c>
      <c r="Z526" s="997"/>
    </row>
    <row r="527" spans="1:26">
      <c r="A527" s="35"/>
      <c r="B527" s="20"/>
      <c r="C527" s="13">
        <f t="shared" si="119"/>
        <v>1</v>
      </c>
      <c r="D527" s="600"/>
      <c r="E527" s="13">
        <f t="shared" si="120"/>
        <v>0</v>
      </c>
      <c r="F527" s="600"/>
      <c r="G527" s="13">
        <f t="shared" si="121"/>
        <v>0</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900">
        <f t="shared" si="133"/>
        <v>0</v>
      </c>
      <c r="U527" s="2984">
        <f t="shared" si="127"/>
        <v>0</v>
      </c>
      <c r="V527" s="2984">
        <f t="shared" si="128"/>
        <v>0</v>
      </c>
      <c r="W527" s="997"/>
      <c r="X527" s="2984">
        <f t="shared" si="129"/>
        <v>0</v>
      </c>
      <c r="Y527" s="2984">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2351</v>
      </c>
      <c r="C1" s="1636"/>
      <c r="D1" s="2465"/>
      <c r="E1" s="1638"/>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5" customFormat="1" ht="28.5" customHeight="1" thickTop="1">
      <c r="A2" s="1646" t="s">
        <v>1914</v>
      </c>
      <c r="B2" s="1647" t="e">
        <f ca="1">IF(D2="——",IF(C2="元",ROUND(C49*D3,0),ROUND(C49*D3/10000,0)),IF(C2="元",ROUND(C49*D3,0),ROUND(C49*D3/10000,0))-E2)</f>
        <v>#DIV/0!</v>
      </c>
      <c r="C2" s="1648" t="str">
        <f>'数据-取费表'!B3</f>
        <v>元</v>
      </c>
      <c r="D2" s="1649"/>
      <c r="E2" s="2466" t="e">
        <f ca="1">SUMIF(INDIRECT("'"&amp;G2&amp;"'"&amp;"!A:A"),"承租人权益价值",INDIRECT("'"&amp;G2&amp;"'"&amp;"!c:c"))</f>
        <v>#REF!</v>
      </c>
      <c r="F2" s="1651" t="str">
        <f>C2</f>
        <v>元</v>
      </c>
      <c r="G2" s="1652"/>
      <c r="H2" s="3005"/>
      <c r="I2" s="3005"/>
      <c r="J2" s="3005"/>
      <c r="K2" s="3005"/>
      <c r="L2" s="3007"/>
      <c r="M2" s="3005"/>
      <c r="N2" s="3005"/>
      <c r="O2" s="3005"/>
      <c r="P2" s="2467"/>
      <c r="Q2" s="1952"/>
      <c r="R2" s="1952"/>
      <c r="S2" s="1952"/>
      <c r="T2" s="1952"/>
      <c r="U2" s="1952"/>
      <c r="V2" s="1952"/>
      <c r="W2" s="1952"/>
      <c r="X2" s="1952"/>
      <c r="Y2" s="1952"/>
      <c r="Z2" s="1952"/>
      <c r="AA2" s="1952"/>
      <c r="AB2" s="1952"/>
      <c r="AC2" s="1953"/>
    </row>
    <row r="3" spans="1:29" s="1955" customFormat="1" ht="28.5" customHeight="1" thickBot="1">
      <c r="A3" s="1656" t="s">
        <v>1915</v>
      </c>
      <c r="B3" s="1958" t="e">
        <f ca="1">ROUND(IF(D2="——",C49,IF(C2="万元",B2*10000/D3,B2/D3)),0)</f>
        <v>#DIV/0!</v>
      </c>
      <c r="C3" s="1657" t="s">
        <v>2242</v>
      </c>
      <c r="D3" s="1657">
        <f>IF(C1="仅计算典型户型",'数据-取费表'!E5,'数据-取费表'!B5)</f>
        <v>82.35</v>
      </c>
      <c r="F3" s="3004"/>
      <c r="G3" s="3005"/>
      <c r="H3" s="3005"/>
      <c r="I3" s="3005"/>
      <c r="J3" s="3005"/>
      <c r="K3" s="3006"/>
      <c r="L3" s="3007"/>
      <c r="M3" s="3005"/>
      <c r="N3" s="3005"/>
      <c r="O3" s="3005"/>
      <c r="P3" s="2467"/>
      <c r="Q3" s="1952"/>
      <c r="R3" s="1952"/>
      <c r="S3" s="1952"/>
      <c r="T3" s="1952"/>
      <c r="U3" s="1952"/>
      <c r="V3" s="1952"/>
      <c r="W3" s="1952"/>
      <c r="X3" s="1952"/>
      <c r="Y3" s="1952"/>
      <c r="Z3" s="1952"/>
      <c r="AA3" s="1952"/>
      <c r="AB3" s="1952"/>
      <c r="AC3" s="1960"/>
    </row>
    <row r="4" spans="1:29" ht="15">
      <c r="A4" s="1660" t="s">
        <v>2243</v>
      </c>
      <c r="B4" s="1661"/>
      <c r="C4" s="3410" t="s">
        <v>2244</v>
      </c>
      <c r="D4" s="3411"/>
      <c r="E4" s="3412" t="s">
        <v>2245</v>
      </c>
      <c r="F4" s="3413"/>
      <c r="G4" s="3410" t="s">
        <v>2246</v>
      </c>
      <c r="H4" s="3411"/>
      <c r="I4" s="3410" t="s">
        <v>2247</v>
      </c>
      <c r="J4" s="3411"/>
      <c r="K4" s="1961" t="s">
        <v>2248</v>
      </c>
      <c r="L4" s="2990"/>
      <c r="M4" s="2991"/>
      <c r="N4" s="2991"/>
      <c r="O4" s="2991"/>
      <c r="P4" s="3414" t="s">
        <v>2249</v>
      </c>
      <c r="Q4" s="3415"/>
      <c r="R4" s="3420" t="s">
        <v>2245</v>
      </c>
      <c r="S4" s="3421"/>
      <c r="T4" s="3420" t="s">
        <v>2246</v>
      </c>
      <c r="U4" s="3421"/>
      <c r="V4" s="3426" t="s">
        <v>2247</v>
      </c>
      <c r="W4" s="3426"/>
      <c r="X4" s="2070"/>
      <c r="Y4" s="3420" t="s">
        <v>2249</v>
      </c>
      <c r="Z4" s="3421"/>
      <c r="AA4" s="3407" t="s">
        <v>2245</v>
      </c>
      <c r="AB4" s="3426" t="s">
        <v>2246</v>
      </c>
      <c r="AC4" s="3407" t="s">
        <v>2247</v>
      </c>
    </row>
    <row r="5" spans="1:29" ht="15">
      <c r="A5" s="1665"/>
      <c r="B5" s="1666"/>
      <c r="C5" s="3433" t="s">
        <v>2250</v>
      </c>
      <c r="D5" s="3430"/>
      <c r="E5" s="3427" t="s">
        <v>2251</v>
      </c>
      <c r="F5" s="3428"/>
      <c r="G5" s="3433" t="s">
        <v>2252</v>
      </c>
      <c r="H5" s="3430"/>
      <c r="I5" s="3433" t="s">
        <v>2253</v>
      </c>
      <c r="J5" s="3430"/>
      <c r="K5" s="1961"/>
      <c r="L5" s="2990"/>
      <c r="M5" s="2991"/>
      <c r="N5" s="2991"/>
      <c r="O5" s="2991"/>
      <c r="P5" s="3416"/>
      <c r="Q5" s="3417"/>
      <c r="R5" s="3422"/>
      <c r="S5" s="3423"/>
      <c r="T5" s="3422"/>
      <c r="U5" s="3423"/>
      <c r="V5" s="3426"/>
      <c r="W5" s="3426"/>
      <c r="X5" s="2070"/>
      <c r="Y5" s="3422"/>
      <c r="Z5" s="3423"/>
      <c r="AA5" s="3408"/>
      <c r="AB5" s="3426"/>
      <c r="AC5" s="3408"/>
    </row>
    <row r="6" spans="1:29" ht="15.75" thickBot="1">
      <c r="A6" s="1668"/>
      <c r="B6" s="1669"/>
      <c r="C6" s="3431" t="s">
        <v>2254</v>
      </c>
      <c r="D6" s="3432"/>
      <c r="E6" s="3434" t="s">
        <v>2254</v>
      </c>
      <c r="F6" s="3435"/>
      <c r="G6" s="3431" t="s">
        <v>2254</v>
      </c>
      <c r="H6" s="3432"/>
      <c r="I6" s="3431" t="s">
        <v>2254</v>
      </c>
      <c r="J6" s="3432"/>
      <c r="K6" s="1961" t="s">
        <v>2255</v>
      </c>
      <c r="L6" s="2990"/>
      <c r="M6" s="2991"/>
      <c r="N6" s="2991"/>
      <c r="O6" s="2991"/>
      <c r="P6" s="3418"/>
      <c r="Q6" s="3419"/>
      <c r="R6" s="3422"/>
      <c r="S6" s="3423"/>
      <c r="T6" s="3424"/>
      <c r="U6" s="3425"/>
      <c r="V6" s="3426"/>
      <c r="W6" s="3426"/>
      <c r="X6" s="2070"/>
      <c r="Y6" s="3424"/>
      <c r="Z6" s="3425"/>
      <c r="AA6" s="3409"/>
      <c r="AB6" s="3426"/>
      <c r="AC6" s="3409"/>
    </row>
    <row r="7" spans="1:29" s="1682" customFormat="1" ht="15.75" thickBot="1">
      <c r="A7" s="1670" t="s">
        <v>2256</v>
      </c>
      <c r="B7" s="1671"/>
      <c r="C7" s="1672">
        <f>'数据-取费表'!B2</f>
        <v>44296</v>
      </c>
      <c r="D7" s="1673">
        <v>100</v>
      </c>
      <c r="E7" s="1674"/>
      <c r="F7" s="1675">
        <f>SUMIF(58:58,YEAR(E7)&amp;"-"&amp;MONTH(E7),59:59)</f>
        <v>0</v>
      </c>
      <c r="G7" s="1674"/>
      <c r="H7" s="1673">
        <f>SUMIF(58:58,YEAR(G7)&amp;"-"&amp;MONTH(G7),59:59)</f>
        <v>0</v>
      </c>
      <c r="I7" s="1674"/>
      <c r="J7" s="1673">
        <f>SUMIF(58:58,YEAR(I7)&amp;"-"&amp;MONTH(I7),59:59)</f>
        <v>0</v>
      </c>
      <c r="K7" s="1963"/>
      <c r="L7" s="2990"/>
      <c r="M7" s="2963"/>
      <c r="N7" s="2963"/>
      <c r="O7" s="2963"/>
      <c r="P7" s="3443" t="s">
        <v>2257</v>
      </c>
      <c r="Q7" s="3445"/>
      <c r="R7" s="1678" t="s">
        <v>25</v>
      </c>
      <c r="S7" s="1679">
        <f t="shared" ref="S7:S15" si="0">F7</f>
        <v>0</v>
      </c>
      <c r="T7" s="1678" t="s">
        <v>25</v>
      </c>
      <c r="U7" s="1679">
        <f t="shared" ref="U7:U15" si="1">H7</f>
        <v>0</v>
      </c>
      <c r="V7" s="1678" t="s">
        <v>25</v>
      </c>
      <c r="W7" s="1679">
        <f t="shared" ref="W7:W15" si="2">J7</f>
        <v>0</v>
      </c>
      <c r="X7" s="1680"/>
      <c r="Y7" s="3443" t="s">
        <v>2257</v>
      </c>
      <c r="Z7" s="3444"/>
      <c r="AA7" s="1681" t="e">
        <f>D7/F7</f>
        <v>#DIV/0!</v>
      </c>
      <c r="AB7" s="1681" t="e">
        <f>D7/H7</f>
        <v>#DIV/0!</v>
      </c>
      <c r="AC7" s="1681" t="e">
        <f>D7/J7</f>
        <v>#DIV/0!</v>
      </c>
    </row>
    <row r="8" spans="1:29" s="1682" customFormat="1" ht="15.75" thickBot="1">
      <c r="A8" s="1670" t="s">
        <v>2258</v>
      </c>
      <c r="B8" s="1671"/>
      <c r="C8" s="1683" t="s">
        <v>2259</v>
      </c>
      <c r="D8" s="1673">
        <v>100</v>
      </c>
      <c r="E8" s="1683"/>
      <c r="F8" s="1675">
        <f>SUMIF(61:61,E8,62:62)-SUMIF(61:61,C8,62:62)+100</f>
        <v>0</v>
      </c>
      <c r="G8" s="1683"/>
      <c r="H8" s="1673">
        <f>SUMIF(61:61,G8,62:62)-SUMIF(61:61,C8,62:62)+100</f>
        <v>0</v>
      </c>
      <c r="I8" s="1683"/>
      <c r="J8" s="1673">
        <f>SUMIF(61:61,I8,62:62)-SUMIF(61:61,C8,62:62)+100</f>
        <v>0</v>
      </c>
      <c r="K8" s="1963"/>
      <c r="L8" s="2990"/>
      <c r="M8" s="2963"/>
      <c r="N8" s="2963"/>
      <c r="O8" s="2963"/>
      <c r="P8" s="3443" t="s">
        <v>2260</v>
      </c>
      <c r="Q8" s="3444"/>
      <c r="R8" s="1678" t="s">
        <v>25</v>
      </c>
      <c r="S8" s="1679">
        <f t="shared" si="0"/>
        <v>0</v>
      </c>
      <c r="T8" s="1678" t="s">
        <v>25</v>
      </c>
      <c r="U8" s="1679">
        <f t="shared" si="1"/>
        <v>0</v>
      </c>
      <c r="V8" s="1678" t="s">
        <v>25</v>
      </c>
      <c r="W8" s="1679">
        <f t="shared" si="2"/>
        <v>0</v>
      </c>
      <c r="X8" s="1680"/>
      <c r="Y8" s="3443" t="s">
        <v>2260</v>
      </c>
      <c r="Z8" s="3444"/>
      <c r="AA8" s="1681" t="e">
        <f t="shared" ref="AA8:AA46" si="3">D8/F8</f>
        <v>#DIV/0!</v>
      </c>
      <c r="AB8" s="1681" t="e">
        <f t="shared" ref="AB8:AB46" si="4">D8/H8</f>
        <v>#DIV/0!</v>
      </c>
      <c r="AC8" s="1681" t="e">
        <f t="shared" ref="AC8:AC46" si="5">D8/J8</f>
        <v>#DIV/0!</v>
      </c>
    </row>
    <row r="9" spans="1:29" s="1682" customFormat="1">
      <c r="A9" s="2062" t="s">
        <v>2261</v>
      </c>
      <c r="B9" s="1684" t="s">
        <v>2262</v>
      </c>
      <c r="C9" s="1685"/>
      <c r="D9" s="1686">
        <v>100</v>
      </c>
      <c r="E9" s="1687"/>
      <c r="F9" s="1688">
        <f>SUMIF(63:63,E9,64:64)-SUMIF(63:63,C9,64:64)+100</f>
        <v>100</v>
      </c>
      <c r="G9" s="1687"/>
      <c r="H9" s="1686">
        <f>SUMIF(63:63,G9,64:64)-SUMIF(63:63,C9,64:64)+100</f>
        <v>100</v>
      </c>
      <c r="I9" s="1687"/>
      <c r="J9" s="1686">
        <f>SUMIF(63:63,I9,64:64)-SUMIF(63:63,C9,64:64)+100</f>
        <v>100</v>
      </c>
      <c r="K9" s="1963"/>
      <c r="L9" s="2990"/>
      <c r="M9" s="2963"/>
      <c r="N9" s="2963"/>
      <c r="O9" s="2963"/>
      <c r="P9" s="3446" t="s">
        <v>2263</v>
      </c>
      <c r="Q9" s="2061" t="str">
        <f t="shared" ref="Q9:Q15" si="6">B9</f>
        <v>用途</v>
      </c>
      <c r="R9" s="1678" t="s">
        <v>25</v>
      </c>
      <c r="S9" s="1679">
        <f t="shared" si="0"/>
        <v>100</v>
      </c>
      <c r="T9" s="1678" t="s">
        <v>25</v>
      </c>
      <c r="U9" s="1679">
        <f t="shared" si="1"/>
        <v>100</v>
      </c>
      <c r="V9" s="1678" t="s">
        <v>25</v>
      </c>
      <c r="W9" s="1679">
        <f t="shared" si="2"/>
        <v>100</v>
      </c>
      <c r="X9" s="1680"/>
      <c r="Y9" s="3337" t="s">
        <v>2264</v>
      </c>
      <c r="Z9" s="1690" t="str">
        <f t="shared" ref="Z9:Z15" si="7">Q9</f>
        <v>用途</v>
      </c>
      <c r="AA9" s="1681">
        <f t="shared" si="3"/>
        <v>1</v>
      </c>
      <c r="AB9" s="1681">
        <f t="shared" si="4"/>
        <v>1</v>
      </c>
      <c r="AC9" s="1681">
        <f t="shared" si="5"/>
        <v>1</v>
      </c>
    </row>
    <row r="10" spans="1:29" s="1698" customFormat="1" ht="27">
      <c r="A10" s="1691"/>
      <c r="B10" s="1692" t="s">
        <v>2265</v>
      </c>
      <c r="C10" s="1693"/>
      <c r="D10" s="1694">
        <v>100</v>
      </c>
      <c r="E10" s="1695"/>
      <c r="F10" s="1696">
        <f>SUMIF(65:65,E10,66:66)-SUMIF(65:65,C10,66:66)+100</f>
        <v>100</v>
      </c>
      <c r="G10" s="1693"/>
      <c r="H10" s="1694">
        <f>SUMIF(65:65,G10,66:66)-SUMIF(65:65,C10,66:66)+100</f>
        <v>100</v>
      </c>
      <c r="I10" s="1693"/>
      <c r="J10" s="1694">
        <f>SUMIF(65:65,I10,66:66)-SUMIF(65:65,C10,66:66)+100</f>
        <v>100</v>
      </c>
      <c r="K10" s="1988"/>
      <c r="L10" s="2992"/>
      <c r="M10" s="2993"/>
      <c r="N10" s="2993"/>
      <c r="O10" s="2993"/>
      <c r="P10" s="3446"/>
      <c r="Q10" s="2061" t="str">
        <f t="shared" si="6"/>
        <v>土地使用年限（年）</v>
      </c>
      <c r="R10" s="1678" t="s">
        <v>25</v>
      </c>
      <c r="S10" s="1679">
        <f t="shared" si="0"/>
        <v>100</v>
      </c>
      <c r="T10" s="1678" t="s">
        <v>25</v>
      </c>
      <c r="U10" s="1679">
        <f t="shared" si="1"/>
        <v>100</v>
      </c>
      <c r="V10" s="1678" t="s">
        <v>25</v>
      </c>
      <c r="W10" s="1679">
        <f t="shared" si="2"/>
        <v>100</v>
      </c>
      <c r="X10" s="1680"/>
      <c r="Y10" s="3337"/>
      <c r="Z10" s="1690" t="str">
        <f t="shared" si="7"/>
        <v>土地使用年限（年）</v>
      </c>
      <c r="AA10" s="1681">
        <f t="shared" si="3"/>
        <v>1</v>
      </c>
      <c r="AB10" s="1681">
        <f t="shared" si="4"/>
        <v>1</v>
      </c>
      <c r="AC10" s="1681">
        <f t="shared" si="5"/>
        <v>1</v>
      </c>
    </row>
    <row r="11" spans="1:29" ht="15">
      <c r="A11" s="1699"/>
      <c r="B11" s="1692" t="s">
        <v>2266</v>
      </c>
      <c r="C11" s="1700"/>
      <c r="D11" s="1694">
        <v>100</v>
      </c>
      <c r="E11" s="1701"/>
      <c r="F11" s="1696" t="e">
        <f>LOOKUP(E11,68:68,69:69)-LOOKUP(C11,68:68,69:69)+100</f>
        <v>#N/A</v>
      </c>
      <c r="G11" s="1700"/>
      <c r="H11" s="1694" t="e">
        <f>LOOKUP(G11,68:68,69:69)-LOOKUP(C11,68:68,69:69)+100</f>
        <v>#N/A</v>
      </c>
      <c r="I11" s="1700"/>
      <c r="J11" s="1694" t="e">
        <f>LOOKUP(I11,68:68,69:69)-LOOKUP(C11,68:68,69:69)+100</f>
        <v>#N/A</v>
      </c>
      <c r="K11" s="1988"/>
      <c r="L11" s="2994"/>
      <c r="M11" s="2991"/>
      <c r="N11" s="2991"/>
      <c r="O11" s="2991"/>
      <c r="P11" s="3446"/>
      <c r="Q11" s="2061" t="str">
        <f t="shared" si="6"/>
        <v>容积率</v>
      </c>
      <c r="R11" s="1678" t="s">
        <v>25</v>
      </c>
      <c r="S11" s="1679" t="e">
        <f t="shared" si="0"/>
        <v>#N/A</v>
      </c>
      <c r="T11" s="1678" t="s">
        <v>25</v>
      </c>
      <c r="U11" s="1679" t="e">
        <f t="shared" si="1"/>
        <v>#N/A</v>
      </c>
      <c r="V11" s="1678" t="s">
        <v>25</v>
      </c>
      <c r="W11" s="1679" t="e">
        <f t="shared" si="2"/>
        <v>#N/A</v>
      </c>
      <c r="X11" s="1680"/>
      <c r="Y11" s="3337"/>
      <c r="Z11" s="1690" t="str">
        <f t="shared" si="7"/>
        <v>容积率</v>
      </c>
      <c r="AA11" s="1681" t="e">
        <f t="shared" si="3"/>
        <v>#N/A</v>
      </c>
      <c r="AB11" s="1681" t="e">
        <f t="shared" si="4"/>
        <v>#N/A</v>
      </c>
      <c r="AC11" s="1681" t="e">
        <f t="shared" si="5"/>
        <v>#N/A</v>
      </c>
    </row>
    <row r="12" spans="1:29" s="1682" customFormat="1" ht="15">
      <c r="A12" s="1702"/>
      <c r="B12" s="1703">
        <v>111</v>
      </c>
      <c r="C12" s="1704"/>
      <c r="D12" s="1705">
        <v>100</v>
      </c>
      <c r="E12" s="1707"/>
      <c r="F12" s="1696">
        <f>SUMIF(70:70,E12,71:71)-SUMIF(70:70,C12,71:71)+100</f>
        <v>100</v>
      </c>
      <c r="G12" s="1707"/>
      <c r="H12" s="1694">
        <f>SUMIF(70:70,G12,71:71)-SUMIF(70:70,C12,71:71)+100</f>
        <v>100</v>
      </c>
      <c r="I12" s="1707"/>
      <c r="J12" s="1694">
        <f>SUMIF(70:70,I12,71:71)-SUMIF(70:70,C12,71:71)+100</f>
        <v>100</v>
      </c>
      <c r="K12" s="1985"/>
      <c r="L12" s="2990"/>
      <c r="M12" s="2963"/>
      <c r="N12" s="2963"/>
      <c r="O12" s="2963"/>
      <c r="P12" s="3446"/>
      <c r="Q12" s="2061">
        <f t="shared" si="6"/>
        <v>111</v>
      </c>
      <c r="R12" s="1678" t="s">
        <v>25</v>
      </c>
      <c r="S12" s="1679">
        <f t="shared" si="0"/>
        <v>100</v>
      </c>
      <c r="T12" s="1678" t="s">
        <v>25</v>
      </c>
      <c r="U12" s="1679">
        <f t="shared" si="1"/>
        <v>100</v>
      </c>
      <c r="V12" s="1678" t="s">
        <v>25</v>
      </c>
      <c r="W12" s="1679">
        <f t="shared" si="2"/>
        <v>100</v>
      </c>
      <c r="X12" s="1680"/>
      <c r="Y12" s="3337"/>
      <c r="Z12" s="1690">
        <f t="shared" si="7"/>
        <v>111</v>
      </c>
      <c r="AA12" s="1681">
        <f>D12/F12</f>
        <v>1</v>
      </c>
      <c r="AB12" s="1681">
        <f>D12/H12</f>
        <v>1</v>
      </c>
      <c r="AC12" s="1681">
        <f>D12/J12</f>
        <v>1</v>
      </c>
    </row>
    <row r="13" spans="1:29" ht="15">
      <c r="A13" s="1699"/>
      <c r="B13" s="1703">
        <v>111</v>
      </c>
      <c r="C13" s="1707"/>
      <c r="D13" s="1708">
        <v>100</v>
      </c>
      <c r="E13" s="1707"/>
      <c r="F13" s="1696">
        <f>SUMIF(72:72,E13,73:73)-SUMIF(72:72,C13,73:73)+100</f>
        <v>100</v>
      </c>
      <c r="G13" s="1707"/>
      <c r="H13" s="1708">
        <f>SUMIF(72:72,G13,73:73)-SUMIF(72:72,C13,73:73)+100</f>
        <v>100</v>
      </c>
      <c r="I13" s="1707"/>
      <c r="J13" s="1708">
        <f>SUMIF(72:72,I13,73:73)-SUMIF(72:72,C13,73:73)+100</f>
        <v>100</v>
      </c>
      <c r="K13" s="1985"/>
      <c r="L13" s="2995"/>
      <c r="M13" s="2991"/>
      <c r="N13" s="2991"/>
      <c r="O13" s="2991"/>
      <c r="P13" s="3446"/>
      <c r="Q13" s="2061">
        <f t="shared" si="6"/>
        <v>111</v>
      </c>
      <c r="R13" s="1678" t="s">
        <v>25</v>
      </c>
      <c r="S13" s="1679">
        <f t="shared" si="0"/>
        <v>100</v>
      </c>
      <c r="T13" s="1678" t="s">
        <v>25</v>
      </c>
      <c r="U13" s="1679">
        <f t="shared" si="1"/>
        <v>100</v>
      </c>
      <c r="V13" s="1678" t="s">
        <v>25</v>
      </c>
      <c r="W13" s="1679">
        <f t="shared" si="2"/>
        <v>100</v>
      </c>
      <c r="X13" s="1680"/>
      <c r="Y13" s="3337"/>
      <c r="Z13" s="1690">
        <f t="shared" si="7"/>
        <v>111</v>
      </c>
      <c r="AA13" s="1681">
        <f t="shared" si="3"/>
        <v>1</v>
      </c>
      <c r="AB13" s="1681">
        <f t="shared" si="4"/>
        <v>1</v>
      </c>
      <c r="AC13" s="1681">
        <f t="shared" si="5"/>
        <v>1</v>
      </c>
    </row>
    <row r="14" spans="1:29" ht="15.75" thickBot="1">
      <c r="A14" s="1709"/>
      <c r="B14" s="1710">
        <v>111</v>
      </c>
      <c r="C14" s="1711"/>
      <c r="D14" s="1712">
        <v>100</v>
      </c>
      <c r="E14" s="1707"/>
      <c r="F14" s="1713">
        <f>SUMIF(74:74,E14,75:75)-SUMIF(74:74,C14,75:75)+100</f>
        <v>100</v>
      </c>
      <c r="G14" s="1707"/>
      <c r="H14" s="1712">
        <f>SUMIF(74:74,G14,75:75)-SUMIF(74:74,C14,75:75)+100</f>
        <v>100</v>
      </c>
      <c r="I14" s="1707"/>
      <c r="J14" s="1712">
        <f>SUMIF(74:74,I14,75:75)-SUMIF(74:74,C14,75:75)+100</f>
        <v>100</v>
      </c>
      <c r="K14" s="1985"/>
      <c r="L14" s="2995"/>
      <c r="M14" s="2991"/>
      <c r="N14" s="2991"/>
      <c r="O14" s="2991"/>
      <c r="P14" s="3446"/>
      <c r="Q14" s="2061">
        <f t="shared" si="6"/>
        <v>111</v>
      </c>
      <c r="R14" s="1678" t="s">
        <v>25</v>
      </c>
      <c r="S14" s="1679">
        <f t="shared" si="0"/>
        <v>100</v>
      </c>
      <c r="T14" s="1678" t="s">
        <v>25</v>
      </c>
      <c r="U14" s="1679">
        <f t="shared" si="1"/>
        <v>100</v>
      </c>
      <c r="V14" s="1678" t="s">
        <v>25</v>
      </c>
      <c r="W14" s="1679">
        <f t="shared" si="2"/>
        <v>100</v>
      </c>
      <c r="X14" s="1680"/>
      <c r="Y14" s="3337"/>
      <c r="Z14" s="1690">
        <f t="shared" si="7"/>
        <v>111</v>
      </c>
      <c r="AA14" s="1681">
        <f t="shared" si="3"/>
        <v>1</v>
      </c>
      <c r="AB14" s="1681">
        <f t="shared" si="4"/>
        <v>1</v>
      </c>
      <c r="AC14" s="1681">
        <f t="shared" si="5"/>
        <v>1</v>
      </c>
    </row>
    <row r="15" spans="1:29" ht="71.25">
      <c r="A15" s="1714" t="s">
        <v>2267</v>
      </c>
      <c r="B15" s="1715" t="s">
        <v>2352</v>
      </c>
      <c r="C15" s="1716" t="str">
        <f>估价对象房地状况!C4</f>
        <v>估价对象位于XX商圈，周边商业氛围成熟，人流量大，商业繁华度好</v>
      </c>
      <c r="D15" s="1717">
        <v>100</v>
      </c>
      <c r="E15" s="1718"/>
      <c r="F15" s="1719">
        <f>SUMIF(76:76,E16,77:77)-SUMIF(76:76,C16,77:77)+100</f>
        <v>100</v>
      </c>
      <c r="G15" s="1720"/>
      <c r="H15" s="1717">
        <f>SUMIF(76:76,G16,77:77)-SUMIF(76:76,C16,77:77)+100</f>
        <v>100</v>
      </c>
      <c r="I15" s="1718"/>
      <c r="J15" s="1717">
        <f>SUMIF(76:76,I16,77:77)-SUMIF(76:76,C16,77:77)+100</f>
        <v>100</v>
      </c>
      <c r="K15" s="2468"/>
      <c r="L15" s="2995"/>
      <c r="M15" s="2991"/>
      <c r="N15" s="2991"/>
      <c r="O15" s="2991"/>
      <c r="P15" s="3449" t="s">
        <v>2268</v>
      </c>
      <c r="Q15" s="2067" t="str">
        <f t="shared" si="6"/>
        <v>商业繁华度</v>
      </c>
      <c r="R15" s="1722" t="s">
        <v>25</v>
      </c>
      <c r="S15" s="1723">
        <f t="shared" si="0"/>
        <v>100</v>
      </c>
      <c r="T15" s="1722" t="s">
        <v>25</v>
      </c>
      <c r="U15" s="1723">
        <f t="shared" si="1"/>
        <v>100</v>
      </c>
      <c r="V15" s="1722" t="s">
        <v>25</v>
      </c>
      <c r="W15" s="1723">
        <f t="shared" si="2"/>
        <v>100</v>
      </c>
      <c r="X15" s="2070"/>
      <c r="Y15" s="3436" t="s">
        <v>2268</v>
      </c>
      <c r="Z15" s="2074" t="str">
        <f t="shared" si="7"/>
        <v>商业繁华度</v>
      </c>
      <c r="AA15" s="2065">
        <f t="shared" si="3"/>
        <v>1</v>
      </c>
      <c r="AB15" s="2065">
        <f t="shared" si="4"/>
        <v>1</v>
      </c>
      <c r="AC15" s="2065">
        <f t="shared" si="5"/>
        <v>1</v>
      </c>
    </row>
    <row r="16" spans="1:29" ht="15">
      <c r="A16" s="1699"/>
      <c r="B16" s="1726"/>
      <c r="C16" s="1727"/>
      <c r="D16" s="1728"/>
      <c r="E16" s="1727"/>
      <c r="F16" s="1730"/>
      <c r="G16" s="1727"/>
      <c r="H16" s="1732"/>
      <c r="I16" s="1727"/>
      <c r="J16" s="1728"/>
      <c r="K16" s="2469"/>
      <c r="L16" s="2995"/>
      <c r="M16" s="2991"/>
      <c r="N16" s="2991"/>
      <c r="O16" s="2991"/>
      <c r="P16" s="3450"/>
      <c r="Q16" s="2067"/>
      <c r="R16" s="1722"/>
      <c r="S16" s="1723"/>
      <c r="T16" s="1722"/>
      <c r="U16" s="1723"/>
      <c r="V16" s="1722"/>
      <c r="W16" s="1723"/>
      <c r="X16" s="2070"/>
      <c r="Y16" s="3437"/>
      <c r="Z16" s="2074"/>
      <c r="AA16" s="2065">
        <v>1</v>
      </c>
      <c r="AB16" s="2065">
        <v>1</v>
      </c>
      <c r="AC16" s="2065">
        <v>1</v>
      </c>
    </row>
    <row r="17" spans="1:29" ht="15">
      <c r="A17" s="1699"/>
      <c r="B17" s="1734" t="s">
        <v>1706</v>
      </c>
      <c r="C17" s="1735" t="str">
        <f>估价对象房地状况!C6</f>
        <v>较好</v>
      </c>
      <c r="D17" s="1732">
        <v>100</v>
      </c>
      <c r="E17" s="1736"/>
      <c r="F17" s="1737">
        <f>SUMIF(78:78,E18,79:79)-SUMIF(78:78,C18,79:79)+100</f>
        <v>100</v>
      </c>
      <c r="G17" s="1738"/>
      <c r="H17" s="1739">
        <f>SUMIF(78:78,G18,79:79)-SUMIF(78:78,C18,79:79)+100</f>
        <v>100</v>
      </c>
      <c r="I17" s="1736"/>
      <c r="J17" s="1739">
        <f>SUMIF(78:78,I18,79:79)-SUMIF(78:78,C18,79:79)+100</f>
        <v>100</v>
      </c>
      <c r="K17" s="2468"/>
      <c r="L17" s="2995"/>
      <c r="M17" s="2991"/>
      <c r="N17" s="2991"/>
      <c r="O17" s="2991"/>
      <c r="P17" s="3450"/>
      <c r="Q17" s="2067" t="str">
        <f>B17</f>
        <v>交通便捷度</v>
      </c>
      <c r="R17" s="1722" t="s">
        <v>25</v>
      </c>
      <c r="S17" s="1723">
        <f>F17</f>
        <v>100</v>
      </c>
      <c r="T17" s="1722" t="s">
        <v>25</v>
      </c>
      <c r="U17" s="1723">
        <f>H17</f>
        <v>100</v>
      </c>
      <c r="V17" s="1722" t="s">
        <v>25</v>
      </c>
      <c r="W17" s="1723">
        <f>J17</f>
        <v>100</v>
      </c>
      <c r="X17" s="2070"/>
      <c r="Y17" s="3437"/>
      <c r="Z17" s="2074" t="str">
        <f>Q17</f>
        <v>交通便捷度</v>
      </c>
      <c r="AA17" s="2065">
        <f t="shared" si="3"/>
        <v>1</v>
      </c>
      <c r="AB17" s="2065">
        <f t="shared" si="4"/>
        <v>1</v>
      </c>
      <c r="AC17" s="2065">
        <f t="shared" si="5"/>
        <v>1</v>
      </c>
    </row>
    <row r="18" spans="1:29" ht="15">
      <c r="A18" s="1699"/>
      <c r="B18" s="1740"/>
      <c r="C18" s="1741"/>
      <c r="D18" s="1732"/>
      <c r="E18" s="1742"/>
      <c r="F18" s="1737"/>
      <c r="G18" s="1743"/>
      <c r="H18" s="1728"/>
      <c r="I18" s="1742"/>
      <c r="J18" s="1728"/>
      <c r="K18" s="2469"/>
      <c r="L18" s="2995"/>
      <c r="M18" s="2991"/>
      <c r="N18" s="2991"/>
      <c r="O18" s="2991"/>
      <c r="P18" s="3450"/>
      <c r="Q18" s="2067"/>
      <c r="R18" s="1722"/>
      <c r="S18" s="1723"/>
      <c r="T18" s="1722"/>
      <c r="U18" s="1723"/>
      <c r="V18" s="1722"/>
      <c r="W18" s="1723"/>
      <c r="X18" s="2070"/>
      <c r="Y18" s="3437"/>
      <c r="Z18" s="2074"/>
      <c r="AA18" s="2065">
        <v>1</v>
      </c>
      <c r="AB18" s="2065">
        <v>1</v>
      </c>
      <c r="AC18" s="2065">
        <v>1</v>
      </c>
    </row>
    <row r="19" spans="1:29" ht="15">
      <c r="A19" s="1699"/>
      <c r="B19" s="1734" t="s">
        <v>2353</v>
      </c>
      <c r="C19" s="1735" t="str">
        <f>估价对象房地状况!C7</f>
        <v>较好</v>
      </c>
      <c r="D19" s="1739">
        <v>100</v>
      </c>
      <c r="E19" s="1744"/>
      <c r="F19" s="1745">
        <f>SUMIF(80:80,E20,81:81)-SUMIF(80:80,C20,81:81)+100</f>
        <v>100</v>
      </c>
      <c r="G19" s="1746"/>
      <c r="H19" s="1732">
        <f>SUMIF(80:80,G20,81:81)-SUMIF(80:80,C20,81:81)+100</f>
        <v>100</v>
      </c>
      <c r="I19" s="1744"/>
      <c r="J19" s="1732">
        <f>SUMIF(80:80,I20,81:81)-SUMIF(80:80,C20,81:81)+100</f>
        <v>100</v>
      </c>
      <c r="K19" s="2468"/>
      <c r="L19" s="2995"/>
      <c r="M19" s="2991"/>
      <c r="N19" s="2991"/>
      <c r="O19" s="2991"/>
      <c r="P19" s="3450"/>
      <c r="Q19" s="2067" t="str">
        <f>B19</f>
        <v>公共配套设施</v>
      </c>
      <c r="R19" s="1722" t="s">
        <v>25</v>
      </c>
      <c r="S19" s="1723">
        <f>F19</f>
        <v>100</v>
      </c>
      <c r="T19" s="1722" t="s">
        <v>25</v>
      </c>
      <c r="U19" s="1723">
        <f>H19</f>
        <v>100</v>
      </c>
      <c r="V19" s="1722" t="s">
        <v>25</v>
      </c>
      <c r="W19" s="1723">
        <f>J19</f>
        <v>100</v>
      </c>
      <c r="X19" s="2070"/>
      <c r="Y19" s="3437"/>
      <c r="Z19" s="2074" t="str">
        <f>Q19</f>
        <v>公共配套设施</v>
      </c>
      <c r="AA19" s="2065">
        <f t="shared" si="3"/>
        <v>1</v>
      </c>
      <c r="AB19" s="2065">
        <f t="shared" si="4"/>
        <v>1</v>
      </c>
      <c r="AC19" s="2065">
        <f t="shared" si="5"/>
        <v>1</v>
      </c>
    </row>
    <row r="20" spans="1:29" ht="15">
      <c r="A20" s="1699"/>
      <c r="B20" s="1740"/>
      <c r="C20" s="1727"/>
      <c r="D20" s="1728"/>
      <c r="E20" s="1729"/>
      <c r="F20" s="1730"/>
      <c r="G20" s="1731"/>
      <c r="H20" s="1728"/>
      <c r="I20" s="1729"/>
      <c r="J20" s="1728"/>
      <c r="K20" s="2469"/>
      <c r="L20" s="2995"/>
      <c r="M20" s="2991"/>
      <c r="N20" s="2991"/>
      <c r="O20" s="2991"/>
      <c r="P20" s="3450"/>
      <c r="Q20" s="2067"/>
      <c r="R20" s="1722"/>
      <c r="S20" s="1723"/>
      <c r="T20" s="1722"/>
      <c r="U20" s="1723"/>
      <c r="V20" s="1722"/>
      <c r="W20" s="1723"/>
      <c r="X20" s="2070"/>
      <c r="Y20" s="3437"/>
      <c r="Z20" s="2074"/>
      <c r="AA20" s="2065">
        <v>1</v>
      </c>
      <c r="AB20" s="2065">
        <v>1</v>
      </c>
      <c r="AC20" s="2065">
        <v>1</v>
      </c>
    </row>
    <row r="21" spans="1:29" ht="15">
      <c r="A21" s="1699"/>
      <c r="B21" s="1747" t="s">
        <v>2354</v>
      </c>
      <c r="C21" s="1735" t="str">
        <f>估价对象房地状况!C8</f>
        <v>七通</v>
      </c>
      <c r="D21" s="1739">
        <v>100</v>
      </c>
      <c r="E21" s="1744"/>
      <c r="F21" s="1745">
        <f>SUMIF(82:82,E22,83:83)-SUMIF(82:82,C22,83:83)+100</f>
        <v>100</v>
      </c>
      <c r="G21" s="1746"/>
      <c r="H21" s="1732">
        <f>SUMIF(82:82,G22,83:83)-SUMIF(82:82,C22,83:83)+100</f>
        <v>100</v>
      </c>
      <c r="I21" s="1744"/>
      <c r="J21" s="1732">
        <f>SUMIF(82:82,I22,83:83)-SUMIF(82:82,C22,83:83)+100</f>
        <v>100</v>
      </c>
      <c r="K21" s="2468"/>
      <c r="L21" s="2995"/>
      <c r="M21" s="2991"/>
      <c r="N21" s="2991"/>
      <c r="O21" s="2991"/>
      <c r="P21" s="3450"/>
      <c r="Q21" s="2067" t="str">
        <f>B21</f>
        <v>基础设施水平</v>
      </c>
      <c r="R21" s="1722" t="s">
        <v>25</v>
      </c>
      <c r="S21" s="1723">
        <f>F21</f>
        <v>100</v>
      </c>
      <c r="T21" s="1722" t="s">
        <v>25</v>
      </c>
      <c r="U21" s="1723">
        <f>H21</f>
        <v>100</v>
      </c>
      <c r="V21" s="1722" t="s">
        <v>25</v>
      </c>
      <c r="W21" s="1723">
        <f>J21</f>
        <v>100</v>
      </c>
      <c r="X21" s="2070"/>
      <c r="Y21" s="3437"/>
      <c r="Z21" s="2074" t="str">
        <f>Q21</f>
        <v>基础设施水平</v>
      </c>
      <c r="AA21" s="2065">
        <f t="shared" ref="AA21" si="8">D21/F21</f>
        <v>1</v>
      </c>
      <c r="AB21" s="2065">
        <f t="shared" ref="AB21" si="9">D21/H21</f>
        <v>1</v>
      </c>
      <c r="AC21" s="2065">
        <f t="shared" ref="AC21" si="10">D21/J21</f>
        <v>1</v>
      </c>
    </row>
    <row r="22" spans="1:29" ht="15">
      <c r="A22" s="1699"/>
      <c r="B22" s="1747"/>
      <c r="C22" s="1741"/>
      <c r="D22" s="1728"/>
      <c r="E22" s="1727"/>
      <c r="F22" s="1730"/>
      <c r="G22" s="1727"/>
      <c r="H22" s="1728"/>
      <c r="I22" s="1727"/>
      <c r="J22" s="1728"/>
      <c r="K22" s="2470"/>
      <c r="L22" s="2995"/>
      <c r="M22" s="2991"/>
      <c r="N22" s="2991"/>
      <c r="O22" s="2991"/>
      <c r="P22" s="3450"/>
      <c r="Q22" s="2067"/>
      <c r="R22" s="1722"/>
      <c r="S22" s="1723"/>
      <c r="T22" s="1722"/>
      <c r="U22" s="1723"/>
      <c r="V22" s="1722"/>
      <c r="W22" s="1723"/>
      <c r="X22" s="2070"/>
      <c r="Y22" s="3437"/>
      <c r="Z22" s="2074"/>
      <c r="AA22" s="2065">
        <v>1</v>
      </c>
      <c r="AB22" s="2065">
        <v>1</v>
      </c>
      <c r="AC22" s="2065">
        <v>1</v>
      </c>
    </row>
    <row r="23" spans="1:29" ht="15">
      <c r="A23" s="1699"/>
      <c r="B23" s="1734" t="s">
        <v>1708</v>
      </c>
      <c r="C23" s="2471" t="str">
        <f>估价对象房地状况!C9</f>
        <v>较好</v>
      </c>
      <c r="D23" s="1732">
        <v>100</v>
      </c>
      <c r="E23" s="1736"/>
      <c r="F23" s="1737">
        <f>SUMIF(84:84,E24,85:85)-SUMIF(84:84,C24,85:85)+100</f>
        <v>100</v>
      </c>
      <c r="G23" s="1738"/>
      <c r="H23" s="1732">
        <f>SUMIF(84:84,G24,85:85)-SUMIF(84:84,C24,85:85)+100</f>
        <v>100</v>
      </c>
      <c r="I23" s="1736"/>
      <c r="J23" s="1732">
        <f>SUMIF(84:84,I24,85:85)-SUMIF(84:84,C24,85:85)+100</f>
        <v>100</v>
      </c>
      <c r="K23" s="2468"/>
      <c r="L23" s="2995"/>
      <c r="M23" s="2991"/>
      <c r="N23" s="2991"/>
      <c r="O23" s="2991"/>
      <c r="P23" s="3450"/>
      <c r="Q23" s="2067" t="str">
        <f>B23</f>
        <v>自然及人文环境</v>
      </c>
      <c r="R23" s="1722" t="s">
        <v>25</v>
      </c>
      <c r="S23" s="1723">
        <f>F23</f>
        <v>100</v>
      </c>
      <c r="T23" s="1722" t="s">
        <v>25</v>
      </c>
      <c r="U23" s="1723">
        <f>H23</f>
        <v>100</v>
      </c>
      <c r="V23" s="1722" t="s">
        <v>25</v>
      </c>
      <c r="W23" s="1723">
        <f>J23</f>
        <v>100</v>
      </c>
      <c r="X23" s="2070"/>
      <c r="Y23" s="3437"/>
      <c r="Z23" s="2074" t="str">
        <f>Q23</f>
        <v>自然及人文环境</v>
      </c>
      <c r="AA23" s="2065">
        <f t="shared" si="3"/>
        <v>1</v>
      </c>
      <c r="AB23" s="2065">
        <f t="shared" si="4"/>
        <v>1</v>
      </c>
      <c r="AC23" s="2065">
        <f t="shared" si="5"/>
        <v>1</v>
      </c>
    </row>
    <row r="24" spans="1:29" ht="15">
      <c r="A24" s="1699"/>
      <c r="B24" s="1740"/>
      <c r="C24" s="1727"/>
      <c r="D24" s="1728"/>
      <c r="E24" s="1729"/>
      <c r="F24" s="1730"/>
      <c r="G24" s="1731"/>
      <c r="H24" s="1728"/>
      <c r="I24" s="1729"/>
      <c r="J24" s="1728"/>
      <c r="K24" s="2469"/>
      <c r="L24" s="2995"/>
      <c r="M24" s="2991"/>
      <c r="N24" s="2991"/>
      <c r="O24" s="2991"/>
      <c r="P24" s="3450"/>
      <c r="Q24" s="2067"/>
      <c r="R24" s="1722"/>
      <c r="S24" s="1723"/>
      <c r="T24" s="1722"/>
      <c r="U24" s="1723"/>
      <c r="V24" s="1722"/>
      <c r="W24" s="1723"/>
      <c r="X24" s="2070"/>
      <c r="Y24" s="3437"/>
      <c r="Z24" s="2074"/>
      <c r="AA24" s="2065">
        <v>1</v>
      </c>
      <c r="AB24" s="2065">
        <v>1</v>
      </c>
      <c r="AC24" s="2065">
        <v>1</v>
      </c>
    </row>
    <row r="25" spans="1:29" ht="15">
      <c r="A25" s="1699"/>
      <c r="B25" s="1692" t="s">
        <v>2355</v>
      </c>
      <c r="C25" s="1987"/>
      <c r="D25" s="1708">
        <v>100</v>
      </c>
      <c r="E25" s="1987"/>
      <c r="F25" s="1751">
        <f>SUMIF(86:86,E25,87:87)-SUMIF(86:86,C25,87:87)+100</f>
        <v>100</v>
      </c>
      <c r="G25" s="1987"/>
      <c r="H25" s="1708">
        <f>SUMIF(86:86,G25,87:87)-SUMIF(86:86,C25,87:87)+100</f>
        <v>100</v>
      </c>
      <c r="I25" s="1987"/>
      <c r="J25" s="1708">
        <f>SUMIF(86:86,I25,87:87)-SUMIF(86:86,C25,87:87)+100</f>
        <v>100</v>
      </c>
      <c r="K25" s="1988"/>
      <c r="L25" s="2995"/>
      <c r="M25" s="2991"/>
      <c r="N25" s="2991"/>
      <c r="O25" s="2991"/>
      <c r="P25" s="3450"/>
      <c r="Q25" s="2067" t="str">
        <f t="shared" ref="Q25:Q46" si="11">B25</f>
        <v>临街状况</v>
      </c>
      <c r="R25" s="1722" t="s">
        <v>25</v>
      </c>
      <c r="S25" s="1723">
        <f>F25</f>
        <v>100</v>
      </c>
      <c r="T25" s="1722" t="s">
        <v>25</v>
      </c>
      <c r="U25" s="1723">
        <f>H25</f>
        <v>100</v>
      </c>
      <c r="V25" s="1722" t="s">
        <v>25</v>
      </c>
      <c r="W25" s="1723">
        <f>J25</f>
        <v>100</v>
      </c>
      <c r="X25" s="2070"/>
      <c r="Y25" s="3437"/>
      <c r="Z25" s="2074" t="str">
        <f>Q25</f>
        <v>临街状况</v>
      </c>
      <c r="AA25" s="2065">
        <f t="shared" si="3"/>
        <v>1</v>
      </c>
      <c r="AB25" s="2065">
        <f t="shared" si="4"/>
        <v>1</v>
      </c>
      <c r="AC25" s="2065">
        <f t="shared" si="5"/>
        <v>1</v>
      </c>
    </row>
    <row r="26" spans="1:29" ht="15">
      <c r="A26" s="1699"/>
      <c r="B26" s="1757" t="s">
        <v>2356</v>
      </c>
      <c r="C26" s="1707"/>
      <c r="D26" s="1708">
        <v>100</v>
      </c>
      <c r="E26" s="1707"/>
      <c r="F26" s="1751">
        <f>SUMIF(88:88,E26,89:89)-SUMIF(88:88,C26,89:89)+100</f>
        <v>100</v>
      </c>
      <c r="G26" s="1707"/>
      <c r="H26" s="1708">
        <f>SUMIF(88:88,G26,89:89)-SUMIF(88:88,C26,89:89)+100</f>
        <v>100</v>
      </c>
      <c r="I26" s="1707"/>
      <c r="J26" s="1708">
        <f>SUMIF(88:88,I26,89:89)-SUMIF(88:88,C26,89:89)+100</f>
        <v>100</v>
      </c>
      <c r="K26" s="1985"/>
      <c r="L26" s="2995"/>
      <c r="M26" s="2991"/>
      <c r="N26" s="2991"/>
      <c r="O26" s="2991"/>
      <c r="P26" s="3450"/>
      <c r="Q26" s="2067" t="str">
        <f t="shared" si="11"/>
        <v>平面位置/可视性</v>
      </c>
      <c r="R26" s="1722" t="s">
        <v>25</v>
      </c>
      <c r="S26" s="1723">
        <f>F26</f>
        <v>100</v>
      </c>
      <c r="T26" s="1722" t="s">
        <v>25</v>
      </c>
      <c r="U26" s="1723">
        <f>H26</f>
        <v>100</v>
      </c>
      <c r="V26" s="1722" t="s">
        <v>25</v>
      </c>
      <c r="W26" s="1723">
        <f>J26</f>
        <v>100</v>
      </c>
      <c r="X26" s="2070"/>
      <c r="Y26" s="3437"/>
      <c r="Z26" s="2074" t="str">
        <f>Q26</f>
        <v>平面位置/可视性</v>
      </c>
      <c r="AA26" s="2065">
        <f t="shared" si="3"/>
        <v>1</v>
      </c>
      <c r="AB26" s="2065">
        <f t="shared" si="4"/>
        <v>1</v>
      </c>
      <c r="AC26" s="2065">
        <f t="shared" si="5"/>
        <v>1</v>
      </c>
    </row>
    <row r="27" spans="1:29" s="1682" customFormat="1" ht="15">
      <c r="A27" s="1702"/>
      <c r="B27" s="1734" t="s">
        <v>2357</v>
      </c>
      <c r="C27" s="2472"/>
      <c r="D27" s="1753">
        <v>100</v>
      </c>
      <c r="E27" s="2472"/>
      <c r="F27" s="1755">
        <f>SUMIF(90:90,E27,91:91)-SUMIF(90:90,C27,91:91)+100</f>
        <v>100</v>
      </c>
      <c r="G27" s="2472"/>
      <c r="H27" s="1753">
        <f>SUMIF(90:90,G27,91:91)-SUMIF(90:90,C27,91:91)+100</f>
        <v>100</v>
      </c>
      <c r="I27" s="2472"/>
      <c r="J27" s="1753">
        <f>SUMIF(90:90,I27,91:91)-SUMIF(90:90,C27,91:91)+100</f>
        <v>100</v>
      </c>
      <c r="K27" s="1988"/>
      <c r="L27" s="2990"/>
      <c r="M27" s="2963"/>
      <c r="N27" s="2963"/>
      <c r="O27" s="2963"/>
      <c r="P27" s="3450"/>
      <c r="Q27" s="2061" t="str">
        <f t="shared" si="11"/>
        <v>人流量</v>
      </c>
      <c r="R27" s="1678" t="s">
        <v>25</v>
      </c>
      <c r="S27" s="1679">
        <f>F27</f>
        <v>100</v>
      </c>
      <c r="T27" s="1678" t="s">
        <v>25</v>
      </c>
      <c r="U27" s="1679">
        <f>H27</f>
        <v>100</v>
      </c>
      <c r="V27" s="1678" t="s">
        <v>25</v>
      </c>
      <c r="W27" s="1679">
        <f>J27</f>
        <v>100</v>
      </c>
      <c r="X27" s="1680"/>
      <c r="Y27" s="3437"/>
      <c r="Z27" s="1690" t="str">
        <f>Q27</f>
        <v>人流量</v>
      </c>
      <c r="AA27" s="2065">
        <f>D27/F27</f>
        <v>1</v>
      </c>
      <c r="AB27" s="2065">
        <f>D27/H27</f>
        <v>1</v>
      </c>
      <c r="AC27" s="2065">
        <f>D27/J27</f>
        <v>1</v>
      </c>
    </row>
    <row r="28" spans="1:29" ht="15">
      <c r="A28" s="1699"/>
      <c r="B28" s="1692" t="s">
        <v>2358</v>
      </c>
      <c r="C28" s="1987"/>
      <c r="D28" s="1708">
        <v>100</v>
      </c>
      <c r="E28" s="1987"/>
      <c r="F28" s="1751">
        <f>SUMIF(92:92,E28,93:93)-SUMIF(92:92,C28,93:93)+100</f>
        <v>100</v>
      </c>
      <c r="G28" s="1987"/>
      <c r="H28" s="1708">
        <f>SUMIF(92:92,G28,93:93)-SUMIF(92:92,C28,93:93)+100</f>
        <v>100</v>
      </c>
      <c r="I28" s="1987"/>
      <c r="J28" s="1708">
        <f>SUMIF(92:92,I28,93:93)-SUMIF(92:92,C28,93:93)+100</f>
        <v>100</v>
      </c>
      <c r="K28" s="1985"/>
      <c r="L28" s="2995"/>
      <c r="M28" s="2991"/>
      <c r="N28" s="2991"/>
      <c r="O28" s="2991"/>
      <c r="P28" s="3450"/>
      <c r="Q28" s="2067" t="str">
        <f t="shared" si="11"/>
        <v>楼层</v>
      </c>
      <c r="R28" s="1722" t="s">
        <v>25</v>
      </c>
      <c r="S28" s="1723">
        <f t="shared" ref="S28:S46" si="12">F28</f>
        <v>100</v>
      </c>
      <c r="T28" s="1722" t="s">
        <v>25</v>
      </c>
      <c r="U28" s="1723">
        <f t="shared" ref="U28:U46" si="13">H28</f>
        <v>100</v>
      </c>
      <c r="V28" s="1722" t="s">
        <v>25</v>
      </c>
      <c r="W28" s="1723">
        <f t="shared" ref="W28:W46" si="14">J28</f>
        <v>100</v>
      </c>
      <c r="X28" s="2070"/>
      <c r="Y28" s="3437"/>
      <c r="Z28" s="2074" t="str">
        <f t="shared" ref="Z28:Z46" si="15">Q28</f>
        <v>楼层</v>
      </c>
      <c r="AA28" s="2065">
        <f t="shared" si="3"/>
        <v>1</v>
      </c>
      <c r="AB28" s="2065">
        <f t="shared" si="4"/>
        <v>1</v>
      </c>
      <c r="AC28" s="2065">
        <f t="shared" si="5"/>
        <v>1</v>
      </c>
    </row>
    <row r="29" spans="1:29" ht="15">
      <c r="A29" s="1699"/>
      <c r="B29" s="1757">
        <v>111</v>
      </c>
      <c r="C29" s="1707"/>
      <c r="D29" s="1708">
        <v>100</v>
      </c>
      <c r="E29" s="1707"/>
      <c r="F29" s="1751">
        <f>SUMIF(94:94,E29,95:95)-SUMIF(94:94,C29,95:95)+100</f>
        <v>100</v>
      </c>
      <c r="G29" s="1707"/>
      <c r="H29" s="1708">
        <f>SUMIF(94:94,G29,95:95)-SUMIF(94:94,C29,95:95)+100</f>
        <v>100</v>
      </c>
      <c r="I29" s="1707"/>
      <c r="J29" s="1708">
        <f>SUMIF(94:94,I29,95:95)-SUMIF(94:94,C29,95:95)+100</f>
        <v>100</v>
      </c>
      <c r="K29" s="1985"/>
      <c r="L29" s="2995"/>
      <c r="M29" s="2991"/>
      <c r="N29" s="2991"/>
      <c r="O29" s="2991"/>
      <c r="P29" s="3450"/>
      <c r="Q29" s="2067">
        <f t="shared" si="11"/>
        <v>111</v>
      </c>
      <c r="R29" s="1722" t="s">
        <v>25</v>
      </c>
      <c r="S29" s="1723">
        <f t="shared" si="12"/>
        <v>100</v>
      </c>
      <c r="T29" s="1722" t="s">
        <v>25</v>
      </c>
      <c r="U29" s="1723">
        <f t="shared" si="13"/>
        <v>100</v>
      </c>
      <c r="V29" s="1722" t="s">
        <v>25</v>
      </c>
      <c r="W29" s="1723">
        <f t="shared" si="14"/>
        <v>100</v>
      </c>
      <c r="X29" s="2070"/>
      <c r="Y29" s="3437"/>
      <c r="Z29" s="2074">
        <f t="shared" si="15"/>
        <v>111</v>
      </c>
      <c r="AA29" s="2065">
        <f t="shared" si="3"/>
        <v>1</v>
      </c>
      <c r="AB29" s="2065">
        <f t="shared" si="4"/>
        <v>1</v>
      </c>
      <c r="AC29" s="2065">
        <f t="shared" si="5"/>
        <v>1</v>
      </c>
    </row>
    <row r="30" spans="1:29" ht="15">
      <c r="A30" s="1699"/>
      <c r="B30" s="1757">
        <v>111</v>
      </c>
      <c r="C30" s="1707"/>
      <c r="D30" s="1708">
        <v>100</v>
      </c>
      <c r="E30" s="1707"/>
      <c r="F30" s="1751">
        <f>SUMIF(96:96,E30,97:97)-SUMIF(96:96,C30,97:97)+100</f>
        <v>100</v>
      </c>
      <c r="G30" s="1707"/>
      <c r="H30" s="1708">
        <f>SUMIF(96:96,G30,97:97)-SUMIF(96:96,C30,97:97)+100</f>
        <v>100</v>
      </c>
      <c r="I30" s="1707"/>
      <c r="J30" s="1708">
        <f>SUMIF(96:96,I30,97:97)-SUMIF(96:96,C30,97:97)+100</f>
        <v>100</v>
      </c>
      <c r="K30" s="1985"/>
      <c r="L30" s="2995"/>
      <c r="M30" s="2991"/>
      <c r="N30" s="2991"/>
      <c r="O30" s="2991"/>
      <c r="P30" s="3450"/>
      <c r="Q30" s="2067">
        <f t="shared" si="11"/>
        <v>111</v>
      </c>
      <c r="R30" s="1722" t="s">
        <v>25</v>
      </c>
      <c r="S30" s="1723">
        <f t="shared" si="12"/>
        <v>100</v>
      </c>
      <c r="T30" s="1722" t="s">
        <v>25</v>
      </c>
      <c r="U30" s="1723">
        <f t="shared" si="13"/>
        <v>100</v>
      </c>
      <c r="V30" s="1722" t="s">
        <v>25</v>
      </c>
      <c r="W30" s="1723">
        <f t="shared" si="14"/>
        <v>100</v>
      </c>
      <c r="X30" s="2070"/>
      <c r="Y30" s="3437"/>
      <c r="Z30" s="2074">
        <f t="shared" si="15"/>
        <v>111</v>
      </c>
      <c r="AA30" s="2065">
        <f t="shared" si="3"/>
        <v>1</v>
      </c>
      <c r="AB30" s="2065">
        <f t="shared" si="4"/>
        <v>1</v>
      </c>
      <c r="AC30" s="2065">
        <f t="shared" si="5"/>
        <v>1</v>
      </c>
    </row>
    <row r="31" spans="1:29" ht="15.75" thickBot="1">
      <c r="A31" s="1709"/>
      <c r="B31" s="1757">
        <v>111</v>
      </c>
      <c r="C31" s="1711"/>
      <c r="D31" s="1712">
        <v>100</v>
      </c>
      <c r="E31" s="1707"/>
      <c r="F31" s="1713">
        <f>SUMIF(98:98,E31,99:99)-SUMIF(98:98,C31,99:99)+100</f>
        <v>100</v>
      </c>
      <c r="G31" s="1707"/>
      <c r="H31" s="1712">
        <f>SUMIF(98:98,G31,99:99)-SUMIF(98:98,C31,99:99)+100</f>
        <v>100</v>
      </c>
      <c r="I31" s="1707"/>
      <c r="J31" s="1712">
        <f>SUMIF(98:98,I31,99:99)-SUMIF(98:98,C31,99:99)+100</f>
        <v>100</v>
      </c>
      <c r="K31" s="1985"/>
      <c r="L31" s="2995"/>
      <c r="M31" s="2991"/>
      <c r="N31" s="2991"/>
      <c r="O31" s="2991"/>
      <c r="P31" s="3450"/>
      <c r="Q31" s="2067">
        <f t="shared" si="11"/>
        <v>111</v>
      </c>
      <c r="R31" s="1722" t="s">
        <v>25</v>
      </c>
      <c r="S31" s="1723">
        <f t="shared" si="12"/>
        <v>100</v>
      </c>
      <c r="T31" s="1722" t="s">
        <v>25</v>
      </c>
      <c r="U31" s="1723">
        <f t="shared" si="13"/>
        <v>100</v>
      </c>
      <c r="V31" s="1722" t="s">
        <v>25</v>
      </c>
      <c r="W31" s="1723">
        <f t="shared" si="14"/>
        <v>100</v>
      </c>
      <c r="X31" s="2070"/>
      <c r="Y31" s="3437"/>
      <c r="Z31" s="2074">
        <f t="shared" si="15"/>
        <v>111</v>
      </c>
      <c r="AA31" s="2065">
        <f t="shared" si="3"/>
        <v>1</v>
      </c>
      <c r="AB31" s="2065">
        <f t="shared" si="4"/>
        <v>1</v>
      </c>
      <c r="AC31" s="2065">
        <f t="shared" si="5"/>
        <v>1</v>
      </c>
    </row>
    <row r="32" spans="1:29" ht="15">
      <c r="A32" s="1714" t="s">
        <v>2271</v>
      </c>
      <c r="B32" s="1684" t="s">
        <v>2359</v>
      </c>
      <c r="C32" s="1758"/>
      <c r="D32" s="1759">
        <v>100</v>
      </c>
      <c r="E32" s="1758"/>
      <c r="F32" s="1751">
        <f>SUMIF(100:100,E32,101:101)-SUMIF(100:100,C32,101:101)+100</f>
        <v>100</v>
      </c>
      <c r="G32" s="1758"/>
      <c r="H32" s="1708">
        <f>SUMIF(100:100,G32,101:101)-SUMIF(100:100,C32,101:101)+100</f>
        <v>100</v>
      </c>
      <c r="I32" s="1758"/>
      <c r="J32" s="1759">
        <f>SUMIF(100:100,I32,101:101)-SUMIF(100:100,C32,101:101)+100</f>
        <v>100</v>
      </c>
      <c r="K32" s="1988"/>
      <c r="L32" s="2995"/>
      <c r="M32" s="2991"/>
      <c r="N32" s="2991"/>
      <c r="O32" s="2991"/>
      <c r="P32" s="3438" t="s">
        <v>2273</v>
      </c>
      <c r="Q32" s="2067" t="str">
        <f t="shared" si="11"/>
        <v>商业类型</v>
      </c>
      <c r="R32" s="1722" t="s">
        <v>25</v>
      </c>
      <c r="S32" s="1723">
        <f t="shared" si="12"/>
        <v>100</v>
      </c>
      <c r="T32" s="1722" t="s">
        <v>25</v>
      </c>
      <c r="U32" s="1723">
        <f t="shared" si="13"/>
        <v>100</v>
      </c>
      <c r="V32" s="1722" t="s">
        <v>25</v>
      </c>
      <c r="W32" s="1723">
        <f t="shared" si="14"/>
        <v>100</v>
      </c>
      <c r="X32" s="2070"/>
      <c r="Y32" s="3441" t="s">
        <v>2273</v>
      </c>
      <c r="Z32" s="2074" t="str">
        <f t="shared" si="15"/>
        <v>商业类型</v>
      </c>
      <c r="AA32" s="2065">
        <f t="shared" si="3"/>
        <v>1</v>
      </c>
      <c r="AB32" s="2065">
        <f t="shared" si="4"/>
        <v>1</v>
      </c>
      <c r="AC32" s="2065">
        <f t="shared" si="5"/>
        <v>1</v>
      </c>
    </row>
    <row r="33" spans="1:29" s="1767" customFormat="1" ht="15">
      <c r="A33" s="1760"/>
      <c r="B33" s="1692" t="s">
        <v>2274</v>
      </c>
      <c r="C33" s="1761"/>
      <c r="D33" s="1694">
        <v>100</v>
      </c>
      <c r="E33" s="1701"/>
      <c r="F33" s="1696" t="e">
        <f>LOOKUP(E33,103:103,104:104)-LOOKUP(C33,103:103,104:104)+100</f>
        <v>#N/A</v>
      </c>
      <c r="G33" s="1700"/>
      <c r="H33" s="1694" t="e">
        <f>LOOKUP(G33,103:103,104:104)-LOOKUP(C33,103:103,104:104)+100</f>
        <v>#N/A</v>
      </c>
      <c r="I33" s="1700"/>
      <c r="J33" s="1694" t="e">
        <f>LOOKUP(I33,103:103,104:104)-LOOKUP(C33,103:103,104:104)+100</f>
        <v>#N/A</v>
      </c>
      <c r="K33" s="1985"/>
      <c r="L33" s="2994"/>
      <c r="M33" s="2055"/>
      <c r="N33" s="2055"/>
      <c r="O33" s="2055"/>
      <c r="P33" s="3439"/>
      <c r="Q33" s="1762" t="str">
        <f t="shared" si="11"/>
        <v>项目建筑规模</v>
      </c>
      <c r="R33" s="1763" t="s">
        <v>25</v>
      </c>
      <c r="S33" s="1764" t="e">
        <f t="shared" si="12"/>
        <v>#N/A</v>
      </c>
      <c r="T33" s="1763" t="s">
        <v>25</v>
      </c>
      <c r="U33" s="1764" t="e">
        <f t="shared" si="13"/>
        <v>#N/A</v>
      </c>
      <c r="V33" s="1763" t="s">
        <v>25</v>
      </c>
      <c r="W33" s="1764" t="e">
        <f t="shared" si="14"/>
        <v>#N/A</v>
      </c>
      <c r="X33" s="1765"/>
      <c r="Y33" s="3441"/>
      <c r="Z33" s="1766" t="str">
        <f t="shared" si="15"/>
        <v>项目建筑规模</v>
      </c>
      <c r="AA33" s="2065" t="e">
        <f t="shared" si="3"/>
        <v>#N/A</v>
      </c>
      <c r="AB33" s="2065" t="e">
        <f t="shared" si="4"/>
        <v>#N/A</v>
      </c>
      <c r="AC33" s="2065" t="e">
        <f t="shared" si="5"/>
        <v>#N/A</v>
      </c>
    </row>
    <row r="34" spans="1:29" ht="15">
      <c r="A34" s="1768"/>
      <c r="B34" s="1692" t="s">
        <v>2275</v>
      </c>
      <c r="C34" s="1769"/>
      <c r="D34" s="1708">
        <v>100</v>
      </c>
      <c r="E34" s="1770"/>
      <c r="F34" s="1751">
        <f>SUMIF(105:105,E34,106:106)-SUMIF(105:105,C34,106:106)+100</f>
        <v>100</v>
      </c>
      <c r="G34" s="1769"/>
      <c r="H34" s="1708">
        <f>SUMIF(105:105,G34,106:106)-SUMIF(105:105,C34,106:106)+100</f>
        <v>100</v>
      </c>
      <c r="I34" s="1769"/>
      <c r="J34" s="1708">
        <f>SUMIF(105:105,I34,106:106)-SUMIF(105:105,C34,106:106)+100</f>
        <v>100</v>
      </c>
      <c r="K34" s="1988"/>
      <c r="L34" s="2995"/>
      <c r="M34" s="2991"/>
      <c r="N34" s="2991"/>
      <c r="O34" s="2991"/>
      <c r="P34" s="3439"/>
      <c r="Q34" s="2067" t="str">
        <f t="shared" si="11"/>
        <v>建筑结构</v>
      </c>
      <c r="R34" s="1722" t="s">
        <v>25</v>
      </c>
      <c r="S34" s="1723">
        <f t="shared" si="12"/>
        <v>100</v>
      </c>
      <c r="T34" s="1722" t="s">
        <v>25</v>
      </c>
      <c r="U34" s="1723">
        <f t="shared" si="13"/>
        <v>100</v>
      </c>
      <c r="V34" s="1722" t="s">
        <v>25</v>
      </c>
      <c r="W34" s="1723">
        <f t="shared" si="14"/>
        <v>100</v>
      </c>
      <c r="X34" s="2070"/>
      <c r="Y34" s="3441"/>
      <c r="Z34" s="2074" t="str">
        <f t="shared" si="15"/>
        <v>建筑结构</v>
      </c>
      <c r="AA34" s="2065">
        <f t="shared" si="3"/>
        <v>1</v>
      </c>
      <c r="AB34" s="2065">
        <f t="shared" si="4"/>
        <v>1</v>
      </c>
      <c r="AC34" s="2065">
        <f t="shared" si="5"/>
        <v>1</v>
      </c>
    </row>
    <row r="35" spans="1:29" ht="15">
      <c r="A35" s="1768"/>
      <c r="B35" s="1692" t="s">
        <v>2360</v>
      </c>
      <c r="C35" s="1752"/>
      <c r="D35" s="1708">
        <v>100</v>
      </c>
      <c r="E35" s="1752"/>
      <c r="F35" s="1751">
        <f>SUMIF(107:107,E35,108:108)-SUMIF(107:107,C35,108:108)+100</f>
        <v>100</v>
      </c>
      <c r="G35" s="1752"/>
      <c r="H35" s="1708">
        <f>SUMIF(107:107,G35,108:108)-SUMIF(107:107,C35,108:108)+100</f>
        <v>100</v>
      </c>
      <c r="I35" s="1752"/>
      <c r="J35" s="1708">
        <f>SUMIF(107:107,I35,108:108)-SUMIF(107:107,C35,108:108)+100</f>
        <v>100</v>
      </c>
      <c r="K35" s="1988"/>
      <c r="L35" s="2995"/>
      <c r="M35" s="2991"/>
      <c r="N35" s="2991"/>
      <c r="O35" s="2991"/>
      <c r="P35" s="3439"/>
      <c r="Q35" s="2067" t="str">
        <f t="shared" si="11"/>
        <v>公共部分装修</v>
      </c>
      <c r="R35" s="1722" t="s">
        <v>25</v>
      </c>
      <c r="S35" s="1723">
        <f t="shared" si="12"/>
        <v>100</v>
      </c>
      <c r="T35" s="1722" t="s">
        <v>25</v>
      </c>
      <c r="U35" s="1723">
        <f t="shared" si="13"/>
        <v>100</v>
      </c>
      <c r="V35" s="1722" t="s">
        <v>25</v>
      </c>
      <c r="W35" s="1723">
        <f t="shared" si="14"/>
        <v>100</v>
      </c>
      <c r="X35" s="2070"/>
      <c r="Y35" s="3441"/>
      <c r="Z35" s="2074" t="str">
        <f t="shared" si="15"/>
        <v>公共部分装修</v>
      </c>
      <c r="AA35" s="2065">
        <f t="shared" si="3"/>
        <v>1</v>
      </c>
      <c r="AB35" s="2065">
        <f t="shared" si="4"/>
        <v>1</v>
      </c>
      <c r="AC35" s="2065">
        <f t="shared" si="5"/>
        <v>1</v>
      </c>
    </row>
    <row r="36" spans="1:29" ht="15">
      <c r="A36" s="1768"/>
      <c r="B36" s="1692" t="s">
        <v>2361</v>
      </c>
      <c r="C36" s="1772"/>
      <c r="D36" s="1708">
        <v>100</v>
      </c>
      <c r="E36" s="1772"/>
      <c r="F36" s="1751" t="e">
        <f>LOOKUP(E36,110:110,111:111)-LOOKUP(C36,110:110,111:111)+100</f>
        <v>#N/A</v>
      </c>
      <c r="G36" s="1772"/>
      <c r="H36" s="1751" t="e">
        <f>LOOKUP(G36,110:110,111:111)-LOOKUP(C36,110:110,111:111)+100</f>
        <v>#N/A</v>
      </c>
      <c r="I36" s="1772"/>
      <c r="J36" s="1708" t="e">
        <f>LOOKUP(I36,110:110,111:111)-LOOKUP(C36,110:110,111:111)+100</f>
        <v>#N/A</v>
      </c>
      <c r="K36" s="1988"/>
      <c r="L36" s="2995"/>
      <c r="M36" s="2991"/>
      <c r="N36" s="2991"/>
      <c r="O36" s="2991"/>
      <c r="P36" s="3439"/>
      <c r="Q36" s="2067" t="str">
        <f t="shared" si="11"/>
        <v>成新度</v>
      </c>
      <c r="R36" s="1722" t="s">
        <v>25</v>
      </c>
      <c r="S36" s="1723" t="e">
        <f t="shared" si="12"/>
        <v>#N/A</v>
      </c>
      <c r="T36" s="1722" t="s">
        <v>25</v>
      </c>
      <c r="U36" s="1723" t="e">
        <f t="shared" si="13"/>
        <v>#N/A</v>
      </c>
      <c r="V36" s="1722" t="s">
        <v>25</v>
      </c>
      <c r="W36" s="1723" t="e">
        <f t="shared" si="14"/>
        <v>#N/A</v>
      </c>
      <c r="X36" s="2070"/>
      <c r="Y36" s="3441"/>
      <c r="Z36" s="2074" t="str">
        <f t="shared" si="15"/>
        <v>成新度</v>
      </c>
      <c r="AA36" s="2065" t="e">
        <f t="shared" si="3"/>
        <v>#N/A</v>
      </c>
      <c r="AB36" s="2065" t="e">
        <f t="shared" si="4"/>
        <v>#N/A</v>
      </c>
      <c r="AC36" s="2065" t="e">
        <f t="shared" si="5"/>
        <v>#N/A</v>
      </c>
    </row>
    <row r="37" spans="1:29" s="1682" customFormat="1" ht="15">
      <c r="A37" s="1771"/>
      <c r="B37" s="1692" t="s">
        <v>2362</v>
      </c>
      <c r="C37" s="1752"/>
      <c r="D37" s="1694">
        <v>100</v>
      </c>
      <c r="E37" s="1752"/>
      <c r="F37" s="1751">
        <f>SUMIF(112:112,E37,113:113)-SUMIF(112:112,C37,113:113)+100</f>
        <v>100</v>
      </c>
      <c r="G37" s="1752"/>
      <c r="H37" s="1708">
        <f>SUMIF(112:112,G37,113:113)-SUMIF(112:112,C37,113:113)+100</f>
        <v>100</v>
      </c>
      <c r="I37" s="1752"/>
      <c r="J37" s="1708">
        <f>SUMIF(112:112,I37,113:113)-SUMIF(112:112,C37,113:113)+100</f>
        <v>100</v>
      </c>
      <c r="K37" s="1988"/>
      <c r="L37" s="2990"/>
      <c r="M37" s="2963"/>
      <c r="N37" s="2963"/>
      <c r="O37" s="2963"/>
      <c r="P37" s="3439"/>
      <c r="Q37" s="2061" t="str">
        <f t="shared" si="11"/>
        <v>市政基础设施</v>
      </c>
      <c r="R37" s="1678" t="s">
        <v>25</v>
      </c>
      <c r="S37" s="1679">
        <f t="shared" si="12"/>
        <v>100</v>
      </c>
      <c r="T37" s="1678" t="s">
        <v>25</v>
      </c>
      <c r="U37" s="1679">
        <f t="shared" si="13"/>
        <v>100</v>
      </c>
      <c r="V37" s="1678" t="s">
        <v>25</v>
      </c>
      <c r="W37" s="1679">
        <f t="shared" si="14"/>
        <v>100</v>
      </c>
      <c r="X37" s="1680"/>
      <c r="Y37" s="3441"/>
      <c r="Z37" s="1690" t="str">
        <f t="shared" si="15"/>
        <v>市政基础设施</v>
      </c>
      <c r="AA37" s="1681">
        <f t="shared" si="3"/>
        <v>1</v>
      </c>
      <c r="AB37" s="1681">
        <f t="shared" si="4"/>
        <v>1</v>
      </c>
      <c r="AC37" s="1681">
        <f t="shared" si="5"/>
        <v>1</v>
      </c>
    </row>
    <row r="38" spans="1:29" ht="15">
      <c r="A38" s="1768"/>
      <c r="B38" s="1692" t="s">
        <v>2363</v>
      </c>
      <c r="C38" s="1752"/>
      <c r="D38" s="1708">
        <v>100</v>
      </c>
      <c r="E38" s="1752"/>
      <c r="F38" s="1751">
        <f>SUMIF(114:114,E38,115:115)-SUMIF(114:114,C38,115:115)+100</f>
        <v>100</v>
      </c>
      <c r="G38" s="1752"/>
      <c r="H38" s="1708">
        <f>SUMIF(114:114,G38,115:115)-SUMIF(114:114,C38,115:115)+100</f>
        <v>100</v>
      </c>
      <c r="I38" s="1752"/>
      <c r="J38" s="1708">
        <f>SUMIF(114:114,I38,115:115)-SUMIF(114:114,C38,115:115)+100</f>
        <v>100</v>
      </c>
      <c r="K38" s="1988"/>
      <c r="L38" s="2995"/>
      <c r="M38" s="2991"/>
      <c r="N38" s="2991"/>
      <c r="O38" s="2991"/>
      <c r="P38" s="3439" t="s">
        <v>2273</v>
      </c>
      <c r="Q38" s="2067" t="str">
        <f t="shared" si="11"/>
        <v>业态</v>
      </c>
      <c r="R38" s="1722" t="s">
        <v>25</v>
      </c>
      <c r="S38" s="1723">
        <f t="shared" si="12"/>
        <v>100</v>
      </c>
      <c r="T38" s="1722" t="s">
        <v>25</v>
      </c>
      <c r="U38" s="1723">
        <f t="shared" si="13"/>
        <v>100</v>
      </c>
      <c r="V38" s="1722" t="s">
        <v>25</v>
      </c>
      <c r="W38" s="1723">
        <f t="shared" si="14"/>
        <v>100</v>
      </c>
      <c r="X38" s="2070"/>
      <c r="Y38" s="3441" t="s">
        <v>2273</v>
      </c>
      <c r="Z38" s="2074" t="str">
        <f t="shared" si="15"/>
        <v>业态</v>
      </c>
      <c r="AA38" s="2065">
        <f t="shared" si="3"/>
        <v>1</v>
      </c>
      <c r="AB38" s="2065">
        <f t="shared" si="4"/>
        <v>1</v>
      </c>
      <c r="AC38" s="2065">
        <f t="shared" si="5"/>
        <v>1</v>
      </c>
    </row>
    <row r="39" spans="1:29" ht="15">
      <c r="A39" s="1768"/>
      <c r="B39" s="1692" t="s">
        <v>2364</v>
      </c>
      <c r="C39" s="1752"/>
      <c r="D39" s="1708">
        <v>100</v>
      </c>
      <c r="E39" s="1752"/>
      <c r="F39" s="1751">
        <f>SUMIF(116:116,E39,117:117)-SUMIF(116:116,C39,117:117)+100</f>
        <v>100</v>
      </c>
      <c r="G39" s="1752"/>
      <c r="H39" s="1708">
        <f>SUMIF(116:116,G39,117:117)-SUMIF(116:116,C39,117:117)+100</f>
        <v>100</v>
      </c>
      <c r="I39" s="1752"/>
      <c r="J39" s="1708">
        <f>SUMIF(116:116,I39,117:117)-SUMIF(116:116,C39,117:117)+100</f>
        <v>100</v>
      </c>
      <c r="K39" s="1988"/>
      <c r="L39" s="2995"/>
      <c r="M39" s="2991"/>
      <c r="N39" s="2991"/>
      <c r="O39" s="2991"/>
      <c r="P39" s="3439"/>
      <c r="Q39" s="2067" t="str">
        <f t="shared" si="11"/>
        <v>层高</v>
      </c>
      <c r="R39" s="1722" t="s">
        <v>25</v>
      </c>
      <c r="S39" s="1723">
        <f t="shared" si="12"/>
        <v>100</v>
      </c>
      <c r="T39" s="1722" t="s">
        <v>25</v>
      </c>
      <c r="U39" s="1723">
        <f t="shared" si="13"/>
        <v>100</v>
      </c>
      <c r="V39" s="1722" t="s">
        <v>25</v>
      </c>
      <c r="W39" s="1723">
        <f t="shared" si="14"/>
        <v>100</v>
      </c>
      <c r="X39" s="2070"/>
      <c r="Y39" s="3441"/>
      <c r="Z39" s="2074" t="str">
        <f t="shared" si="15"/>
        <v>层高</v>
      </c>
      <c r="AA39" s="2065">
        <f t="shared" si="3"/>
        <v>1</v>
      </c>
      <c r="AB39" s="2065">
        <f t="shared" si="4"/>
        <v>1</v>
      </c>
      <c r="AC39" s="2065">
        <f t="shared" si="5"/>
        <v>1</v>
      </c>
    </row>
    <row r="40" spans="1:29" ht="15">
      <c r="A40" s="1768"/>
      <c r="B40" s="1692" t="s">
        <v>2365</v>
      </c>
      <c r="C40" s="2473"/>
      <c r="D40" s="1708">
        <v>100</v>
      </c>
      <c r="E40" s="2474"/>
      <c r="F40" s="1751">
        <f>SUMIF(118:118,E40,119:119)-SUMIF(118:118,C40,119:119)+100</f>
        <v>100</v>
      </c>
      <c r="G40" s="2474"/>
      <c r="H40" s="1708">
        <f>SUMIF(118:118,G40,119:119)-SUMIF(118:118,C40,119:119)+100</f>
        <v>100</v>
      </c>
      <c r="I40" s="2474"/>
      <c r="J40" s="1708">
        <f>SUMIF(118:118,I40,119:119)-SUMIF(118:118,C40,119:119)+100</f>
        <v>100</v>
      </c>
      <c r="K40" s="1985"/>
      <c r="L40" s="2995"/>
      <c r="M40" s="2991"/>
      <c r="N40" s="2991"/>
      <c r="O40" s="2991"/>
      <c r="P40" s="3439"/>
      <c r="Q40" s="2067" t="str">
        <f t="shared" si="11"/>
        <v>单套建筑面积</v>
      </c>
      <c r="R40" s="1722" t="s">
        <v>25</v>
      </c>
      <c r="S40" s="1723">
        <f t="shared" si="12"/>
        <v>100</v>
      </c>
      <c r="T40" s="1722" t="s">
        <v>25</v>
      </c>
      <c r="U40" s="1723">
        <f t="shared" si="13"/>
        <v>100</v>
      </c>
      <c r="V40" s="1722" t="s">
        <v>25</v>
      </c>
      <c r="W40" s="1723">
        <f t="shared" si="14"/>
        <v>100</v>
      </c>
      <c r="X40" s="2070"/>
      <c r="Y40" s="3441"/>
      <c r="Z40" s="2074" t="str">
        <f t="shared" si="15"/>
        <v>单套建筑面积</v>
      </c>
      <c r="AA40" s="2065">
        <f t="shared" si="3"/>
        <v>1</v>
      </c>
      <c r="AB40" s="2065">
        <f t="shared" si="4"/>
        <v>1</v>
      </c>
      <c r="AC40" s="2065">
        <f t="shared" si="5"/>
        <v>1</v>
      </c>
    </row>
    <row r="41" spans="1:29" s="1767" customFormat="1" ht="15">
      <c r="A41" s="1760"/>
      <c r="B41" s="2066" t="s">
        <v>2366</v>
      </c>
      <c r="C41" s="1987"/>
      <c r="D41" s="1708">
        <v>100</v>
      </c>
      <c r="E41" s="1987"/>
      <c r="F41" s="1751">
        <f>SUMIF(120:120,E41,121:121)-SUMIF(120:120,C41,121:121)+100</f>
        <v>100</v>
      </c>
      <c r="G41" s="1987"/>
      <c r="H41" s="1708">
        <f>SUMIF(120:120,G41,121:121)-SUMIF(120:120,C41,121:121)+100</f>
        <v>100</v>
      </c>
      <c r="I41" s="1987"/>
      <c r="J41" s="1708">
        <f>SUMIF(120:120,I41,121:121)-SUMIF(120:120,C41,121:121)+100</f>
        <v>100</v>
      </c>
      <c r="K41" s="1988"/>
      <c r="L41" s="2994"/>
      <c r="M41" s="2055"/>
      <c r="N41" s="2055"/>
      <c r="O41" s="2055"/>
      <c r="P41" s="3439"/>
      <c r="Q41" s="1762" t="str">
        <f t="shared" si="11"/>
        <v>进深比</v>
      </c>
      <c r="R41" s="1763" t="s">
        <v>25</v>
      </c>
      <c r="S41" s="1764">
        <f t="shared" si="12"/>
        <v>100</v>
      </c>
      <c r="T41" s="1763" t="s">
        <v>25</v>
      </c>
      <c r="U41" s="1764">
        <f t="shared" si="13"/>
        <v>100</v>
      </c>
      <c r="V41" s="1763" t="s">
        <v>25</v>
      </c>
      <c r="W41" s="1764">
        <f t="shared" si="14"/>
        <v>100</v>
      </c>
      <c r="X41" s="1765"/>
      <c r="Y41" s="3441"/>
      <c r="Z41" s="1766" t="str">
        <f t="shared" si="15"/>
        <v>进深比</v>
      </c>
      <c r="AA41" s="2065">
        <f t="shared" si="3"/>
        <v>1</v>
      </c>
      <c r="AB41" s="2065">
        <f t="shared" si="4"/>
        <v>1</v>
      </c>
      <c r="AC41" s="2065">
        <f t="shared" si="5"/>
        <v>1</v>
      </c>
    </row>
    <row r="42" spans="1:29" ht="15">
      <c r="A42" s="1768"/>
      <c r="B42" s="1692" t="s">
        <v>2367</v>
      </c>
      <c r="C42" s="1752"/>
      <c r="D42" s="1708">
        <v>100</v>
      </c>
      <c r="E42" s="1752"/>
      <c r="F42" s="1751">
        <f>SUMIF(122:122,E42,123:123)-SUMIF(122:122,C42,123:123)+100</f>
        <v>100</v>
      </c>
      <c r="G42" s="1752"/>
      <c r="H42" s="1708">
        <f>SUMIF(122:122,G42,123:123)-SUMIF(122:122,C42,123:123)+100</f>
        <v>100</v>
      </c>
      <c r="I42" s="1752"/>
      <c r="J42" s="1708">
        <f>SUMIF(122:122,I42,123:123)-SUMIF(122:122,C42,123:123)+100</f>
        <v>100</v>
      </c>
      <c r="K42" s="1988"/>
      <c r="L42" s="2995"/>
      <c r="M42" s="2991"/>
      <c r="N42" s="2991"/>
      <c r="O42" s="2991"/>
      <c r="P42" s="3439"/>
      <c r="Q42" s="2067" t="str">
        <f t="shared" si="11"/>
        <v>内部装修</v>
      </c>
      <c r="R42" s="1722" t="s">
        <v>25</v>
      </c>
      <c r="S42" s="1723">
        <f t="shared" si="12"/>
        <v>100</v>
      </c>
      <c r="T42" s="1722" t="s">
        <v>25</v>
      </c>
      <c r="U42" s="1723">
        <f t="shared" si="13"/>
        <v>100</v>
      </c>
      <c r="V42" s="1722" t="s">
        <v>25</v>
      </c>
      <c r="W42" s="1723">
        <f t="shared" si="14"/>
        <v>100</v>
      </c>
      <c r="X42" s="2070"/>
      <c r="Y42" s="3441"/>
      <c r="Z42" s="2074" t="str">
        <f t="shared" si="15"/>
        <v>内部装修</v>
      </c>
      <c r="AA42" s="2065">
        <f t="shared" si="3"/>
        <v>1</v>
      </c>
      <c r="AB42" s="2065">
        <f t="shared" si="4"/>
        <v>1</v>
      </c>
      <c r="AC42" s="2065">
        <f t="shared" si="5"/>
        <v>1</v>
      </c>
    </row>
    <row r="43" spans="1:29" ht="15">
      <c r="A43" s="1768"/>
      <c r="B43" s="1692" t="s">
        <v>2284</v>
      </c>
      <c r="C43" s="1752"/>
      <c r="D43" s="1708">
        <v>100</v>
      </c>
      <c r="E43" s="1752"/>
      <c r="F43" s="1751">
        <f>SUMIF(124:124,E43,125:125)-SUMIF(124:124,C43,125:125)+100</f>
        <v>100</v>
      </c>
      <c r="G43" s="1752"/>
      <c r="H43" s="1708">
        <f>SUMIF(124:124,G43,125:125)-SUMIF(124:124,C43,125:125)+100</f>
        <v>100</v>
      </c>
      <c r="I43" s="1752"/>
      <c r="J43" s="1708">
        <f>SUMIF(124:124,I43,125:125)-SUMIF(124:124,C43,125:125)+100</f>
        <v>100</v>
      </c>
      <c r="K43" s="1988"/>
      <c r="L43" s="2995"/>
      <c r="M43" s="2991"/>
      <c r="N43" s="2991"/>
      <c r="O43" s="2991"/>
      <c r="P43" s="3439"/>
      <c r="Q43" s="2067" t="str">
        <f t="shared" si="11"/>
        <v>内部装修维护情况</v>
      </c>
      <c r="R43" s="1722" t="s">
        <v>25</v>
      </c>
      <c r="S43" s="1723">
        <f t="shared" si="12"/>
        <v>100</v>
      </c>
      <c r="T43" s="1722" t="s">
        <v>25</v>
      </c>
      <c r="U43" s="1723">
        <f t="shared" si="13"/>
        <v>100</v>
      </c>
      <c r="V43" s="1722" t="s">
        <v>25</v>
      </c>
      <c r="W43" s="1723">
        <f t="shared" si="14"/>
        <v>100</v>
      </c>
      <c r="X43" s="2070"/>
      <c r="Y43" s="3441"/>
      <c r="Z43" s="2074" t="str">
        <f t="shared" si="15"/>
        <v>内部装修维护情况</v>
      </c>
      <c r="AA43" s="2065">
        <f t="shared" si="3"/>
        <v>1</v>
      </c>
      <c r="AB43" s="2065">
        <f t="shared" si="4"/>
        <v>1</v>
      </c>
      <c r="AC43" s="2065">
        <f t="shared" si="5"/>
        <v>1</v>
      </c>
    </row>
    <row r="44" spans="1:29" s="1682" customFormat="1" ht="15">
      <c r="A44" s="1771"/>
      <c r="B44" s="1757">
        <v>111</v>
      </c>
      <c r="C44" s="1761"/>
      <c r="D44" s="1694">
        <v>100</v>
      </c>
      <c r="E44" s="1707"/>
      <c r="F44" s="1696">
        <f>SUMIF(126:126,E44,127:127)-SUMIF(126:126,C44,127:127)+100</f>
        <v>100</v>
      </c>
      <c r="G44" s="1707"/>
      <c r="H44" s="1694">
        <f>SUMIF(126:126,G44,127:127)-SUMIF(126:126,C44,127:127)+100</f>
        <v>100</v>
      </c>
      <c r="I44" s="1707"/>
      <c r="J44" s="1694">
        <f>SUMIF(126:126,I44,127:127)-SUMIF(126:126,C44,127:127)+100</f>
        <v>100</v>
      </c>
      <c r="K44" s="1985"/>
      <c r="L44" s="2990"/>
      <c r="M44" s="2963"/>
      <c r="N44" s="2963"/>
      <c r="O44" s="2963"/>
      <c r="P44" s="3439"/>
      <c r="Q44" s="2061">
        <f t="shared" si="11"/>
        <v>111</v>
      </c>
      <c r="R44" s="1678" t="s">
        <v>25</v>
      </c>
      <c r="S44" s="1679">
        <f t="shared" si="12"/>
        <v>100</v>
      </c>
      <c r="T44" s="1678" t="s">
        <v>25</v>
      </c>
      <c r="U44" s="1679">
        <f t="shared" si="13"/>
        <v>100</v>
      </c>
      <c r="V44" s="1678" t="s">
        <v>25</v>
      </c>
      <c r="W44" s="1679">
        <f t="shared" si="14"/>
        <v>100</v>
      </c>
      <c r="X44" s="1680"/>
      <c r="Y44" s="3441"/>
      <c r="Z44" s="1690">
        <f t="shared" si="15"/>
        <v>111</v>
      </c>
      <c r="AA44" s="1681">
        <f t="shared" si="3"/>
        <v>1</v>
      </c>
      <c r="AB44" s="1681">
        <f t="shared" si="4"/>
        <v>1</v>
      </c>
      <c r="AC44" s="1681">
        <f t="shared" si="5"/>
        <v>1</v>
      </c>
    </row>
    <row r="45" spans="1:29" ht="15">
      <c r="A45" s="1768"/>
      <c r="B45" s="1757">
        <v>111</v>
      </c>
      <c r="C45" s="1707"/>
      <c r="D45" s="1708">
        <v>100</v>
      </c>
      <c r="E45" s="1707"/>
      <c r="F45" s="1751">
        <f>SUMIF(128:128,E45,129:129)-SUMIF(128:128,C45,129:129)+100</f>
        <v>100</v>
      </c>
      <c r="G45" s="1707"/>
      <c r="H45" s="1708">
        <f>SUMIF(128:128,G45,129:129)-SUMIF(128:128,C45,129:129)+100</f>
        <v>100</v>
      </c>
      <c r="I45" s="1707"/>
      <c r="J45" s="1708">
        <f>SUMIF(128:128,I45,129:129)-SUMIF(128:128,C45,129:129)+100</f>
        <v>100</v>
      </c>
      <c r="K45" s="1985"/>
      <c r="L45" s="2995"/>
      <c r="M45" s="2991"/>
      <c r="N45" s="2991"/>
      <c r="O45" s="2991"/>
      <c r="P45" s="3439"/>
      <c r="Q45" s="2067">
        <f t="shared" si="11"/>
        <v>111</v>
      </c>
      <c r="R45" s="1722" t="s">
        <v>25</v>
      </c>
      <c r="S45" s="1723">
        <f t="shared" si="12"/>
        <v>100</v>
      </c>
      <c r="T45" s="1722" t="s">
        <v>25</v>
      </c>
      <c r="U45" s="1723">
        <f t="shared" si="13"/>
        <v>100</v>
      </c>
      <c r="V45" s="1722" t="s">
        <v>25</v>
      </c>
      <c r="W45" s="1723">
        <f t="shared" si="14"/>
        <v>100</v>
      </c>
      <c r="X45" s="2070"/>
      <c r="Y45" s="3441"/>
      <c r="Z45" s="2074">
        <f t="shared" si="15"/>
        <v>111</v>
      </c>
      <c r="AA45" s="2065">
        <f t="shared" si="3"/>
        <v>1</v>
      </c>
      <c r="AB45" s="2065">
        <f t="shared" si="4"/>
        <v>1</v>
      </c>
      <c r="AC45" s="2065">
        <f t="shared" si="5"/>
        <v>1</v>
      </c>
    </row>
    <row r="46" spans="1:29" ht="15.75" thickBot="1">
      <c r="A46" s="1776"/>
      <c r="B46" s="1710">
        <v>111</v>
      </c>
      <c r="C46" s="1711"/>
      <c r="D46" s="1712">
        <v>100</v>
      </c>
      <c r="E46" s="1707"/>
      <c r="F46" s="1713">
        <f>SUMIF(130:130,E46,131:131)-SUMIF(130:130,C46,131:131)+100</f>
        <v>100</v>
      </c>
      <c r="G46" s="1707"/>
      <c r="H46" s="1712">
        <f>SUMIF(130:130,G46,131:131)-SUMIF(130:130,C46,131:131)+100</f>
        <v>100</v>
      </c>
      <c r="I46" s="1707"/>
      <c r="J46" s="1712">
        <f>SUMIF(130:130,I46,131:131)-SUMIF(130:130,C46,131:131)+100</f>
        <v>100</v>
      </c>
      <c r="K46" s="1985"/>
      <c r="L46" s="2995"/>
      <c r="M46" s="2991"/>
      <c r="N46" s="2991"/>
      <c r="O46" s="2991"/>
      <c r="P46" s="3440"/>
      <c r="Q46" s="2067">
        <f t="shared" si="11"/>
        <v>111</v>
      </c>
      <c r="R46" s="1722" t="s">
        <v>25</v>
      </c>
      <c r="S46" s="1723">
        <f t="shared" si="12"/>
        <v>100</v>
      </c>
      <c r="T46" s="1722" t="s">
        <v>25</v>
      </c>
      <c r="U46" s="1723">
        <f t="shared" si="13"/>
        <v>100</v>
      </c>
      <c r="V46" s="1722" t="s">
        <v>25</v>
      </c>
      <c r="W46" s="1723">
        <f t="shared" si="14"/>
        <v>100</v>
      </c>
      <c r="X46" s="2070"/>
      <c r="Y46" s="3442"/>
      <c r="Z46" s="2074">
        <f t="shared" si="15"/>
        <v>111</v>
      </c>
      <c r="AA46" s="2065">
        <f t="shared" si="3"/>
        <v>1</v>
      </c>
      <c r="AB46" s="2065">
        <f t="shared" si="4"/>
        <v>1</v>
      </c>
      <c r="AC46" s="2065">
        <f t="shared" si="5"/>
        <v>1</v>
      </c>
    </row>
    <row r="47" spans="1:29" ht="15">
      <c r="A47" s="1777" t="s">
        <v>2285</v>
      </c>
      <c r="B47" s="1778"/>
      <c r="C47" s="1779" t="s">
        <v>1</v>
      </c>
      <c r="D47" s="1780"/>
      <c r="E47" s="1781"/>
      <c r="F47" s="1782"/>
      <c r="G47" s="1783"/>
      <c r="H47" s="1784"/>
      <c r="I47" s="1781"/>
      <c r="J47" s="1784"/>
      <c r="K47" s="2009"/>
      <c r="L47" s="2996"/>
      <c r="N47" s="2991"/>
      <c r="P47" s="3447" t="str">
        <f>A47</f>
        <v>成交单价（元/平方米）</v>
      </c>
      <c r="Q47" s="3447"/>
      <c r="R47" s="3448">
        <f>E47</f>
        <v>0</v>
      </c>
      <c r="S47" s="3448"/>
      <c r="T47" s="3448">
        <f>G47</f>
        <v>0</v>
      </c>
      <c r="U47" s="3448"/>
      <c r="V47" s="3448">
        <f>I47</f>
        <v>0</v>
      </c>
      <c r="W47" s="3448"/>
      <c r="X47" s="1787"/>
      <c r="Y47" s="2069"/>
      <c r="Z47" s="1787"/>
      <c r="AA47" s="1787"/>
      <c r="AB47" s="1787"/>
      <c r="AC47" s="1787"/>
    </row>
    <row r="48" spans="1:29" ht="15.75" thickBot="1">
      <c r="A48" s="1789" t="s">
        <v>2368</v>
      </c>
      <c r="B48" s="1790"/>
      <c r="C48" s="1791" t="e">
        <f>R49</f>
        <v>#DIV/0!</v>
      </c>
      <c r="D48" s="1792" t="s">
        <v>2740</v>
      </c>
      <c r="E48" s="1793" t="e">
        <f>R48</f>
        <v>#DIV/0!</v>
      </c>
      <c r="F48" s="1794"/>
      <c r="G48" s="1791" t="e">
        <f>T48</f>
        <v>#DIV/0!</v>
      </c>
      <c r="H48" s="1794"/>
      <c r="I48" s="1793" t="e">
        <f>V48</f>
        <v>#DIV/0!</v>
      </c>
      <c r="J48" s="1794"/>
      <c r="K48" s="2506">
        <f>F48+H48+J48</f>
        <v>0</v>
      </c>
      <c r="L48" s="2996"/>
      <c r="N48" s="2991"/>
      <c r="P48" s="3447" t="str">
        <f>A48</f>
        <v>比较价值（元/平方米）</v>
      </c>
      <c r="Q48" s="3447"/>
      <c r="R48" s="3448" t="e">
        <f>IF(E1="售价",ROUND(PRODUCT(R47,AA7:AA46),0),ROUND(PRODUCT(R47,AA7:AA46),1))</f>
        <v>#DIV/0!</v>
      </c>
      <c r="S48" s="3448"/>
      <c r="T48" s="3448" t="e">
        <f>IF(E1="售价",ROUND(PRODUCT(T47,AB7:AB46),0),ROUND(PRODUCT(T47,AB7:AB46),1))</f>
        <v>#DIV/0!</v>
      </c>
      <c r="U48" s="3448"/>
      <c r="V48" s="3448" t="e">
        <f>IF(E1="售价",ROUND(PRODUCT(V47,AC7:AC46),0),ROUND(PRODUCT(V47,AC7:AC46),1))</f>
        <v>#DIV/0!</v>
      </c>
      <c r="W48" s="3448"/>
      <c r="X48" s="1787"/>
      <c r="Y48" s="1787"/>
      <c r="Z48" s="1787"/>
      <c r="AA48" s="1787"/>
      <c r="AB48" s="1787"/>
      <c r="AC48" s="1787"/>
    </row>
    <row r="49" spans="1:29" ht="15.75" thickBot="1">
      <c r="A49" s="1795" t="s">
        <v>2369</v>
      </c>
      <c r="B49" s="1796"/>
      <c r="C49" s="1798" t="e">
        <f>R49</f>
        <v>#DIV/0!</v>
      </c>
      <c r="D49" s="1798"/>
      <c r="E49" s="1798"/>
      <c r="F49" s="1798"/>
      <c r="G49" s="1798"/>
      <c r="H49" s="1798"/>
      <c r="I49" s="1798"/>
      <c r="J49" s="1798"/>
      <c r="K49" s="2014"/>
      <c r="L49" s="2996"/>
      <c r="N49" s="2991"/>
      <c r="P49" s="3453" t="str">
        <f>A49</f>
        <v>估价对象XX用房的比较价值（楼面单价，元/平方米）</v>
      </c>
      <c r="Q49" s="3454"/>
      <c r="R49" s="3455" t="e">
        <f>IF(E1="售价",ROUND(IF(D48="简单平均",AVERAGE(R48:V48),R48*F48+T48*H48+V48*J48),0),ROUND(IF(D48="简单平均",AVERAGE(R48:V48),R48*F48+T48*H48+V48*J48),1))</f>
        <v>#DIV/0!</v>
      </c>
      <c r="S49" s="3455"/>
      <c r="T49" s="3455"/>
      <c r="U49" s="3455"/>
      <c r="V49" s="3455"/>
      <c r="W49" s="3455"/>
      <c r="X49" s="1787"/>
      <c r="Y49" s="1787"/>
      <c r="Z49" s="1787"/>
      <c r="AA49" s="1787"/>
      <c r="AB49" s="1787"/>
      <c r="AC49" s="1787"/>
    </row>
    <row r="50" spans="1:29">
      <c r="G50" s="3000"/>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2370</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2371</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2372</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3"/>
      <c r="L54" s="2997"/>
      <c r="P54" s="2476"/>
      <c r="Q54" s="1807"/>
      <c r="R54" s="1807"/>
      <c r="S54" s="1807"/>
      <c r="T54" s="1807"/>
      <c r="U54" s="1807"/>
      <c r="V54" s="1807"/>
      <c r="W54" s="1807"/>
      <c r="X54" s="1807"/>
      <c r="Y54" s="1807"/>
      <c r="Z54" s="1807"/>
      <c r="AA54" s="1807"/>
      <c r="AB54" s="1807"/>
      <c r="AC54" s="1807"/>
    </row>
    <row r="55" spans="1:29" s="1809" customFormat="1">
      <c r="B55" s="3001"/>
      <c r="C55" s="3002"/>
      <c r="K55" s="3003"/>
      <c r="L55" s="2997"/>
      <c r="P55" s="2476"/>
      <c r="Q55" s="1807"/>
      <c r="R55" s="1807"/>
      <c r="S55" s="1807"/>
      <c r="T55" s="1807"/>
      <c r="U55" s="1807"/>
      <c r="V55" s="1807"/>
      <c r="W55" s="1807"/>
      <c r="X55" s="1807"/>
      <c r="Y55" s="1807"/>
      <c r="Z55" s="1807"/>
      <c r="AA55" s="1807"/>
      <c r="AB55" s="1807"/>
      <c r="AC55" s="1807"/>
    </row>
    <row r="56" spans="1:29">
      <c r="B56" s="3001"/>
      <c r="C56" s="3002"/>
      <c r="P56" s="2475"/>
      <c r="Q56" s="1786"/>
      <c r="R56" s="1786"/>
      <c r="S56" s="1786"/>
      <c r="T56" s="1786"/>
      <c r="U56" s="1786"/>
      <c r="V56" s="1786"/>
      <c r="W56" s="1786"/>
      <c r="X56" s="1786"/>
      <c r="Y56" s="1786"/>
      <c r="Z56" s="1786"/>
      <c r="AA56" s="1786"/>
      <c r="AB56" s="1786"/>
      <c r="AC56" s="1786"/>
    </row>
    <row r="57" spans="1:29" ht="21.75" thickBot="1">
      <c r="A57" s="1812" t="s">
        <v>2373</v>
      </c>
      <c r="B57" s="1787"/>
      <c r="C57" s="1813"/>
      <c r="D57" s="1813"/>
      <c r="E57" s="1813"/>
      <c r="F57" s="1813"/>
      <c r="G57" s="1813"/>
      <c r="H57" s="1813"/>
      <c r="I57" s="1813"/>
      <c r="J57" s="1813"/>
      <c r="K57" s="1814"/>
      <c r="L57" s="2040"/>
      <c r="M57" s="2038"/>
      <c r="N57" s="2999"/>
      <c r="O57" s="2999"/>
      <c r="P57" s="2477"/>
      <c r="Q57" s="2478"/>
      <c r="R57" s="1786"/>
      <c r="S57" s="1786"/>
      <c r="T57" s="1786"/>
      <c r="U57" s="1786"/>
      <c r="V57" s="1786"/>
      <c r="W57" s="1786"/>
      <c r="X57" s="1786"/>
      <c r="Y57" s="1786"/>
      <c r="Z57" s="1786"/>
      <c r="AA57" s="1786"/>
      <c r="AB57" s="1786"/>
      <c r="AC57" s="1786"/>
    </row>
    <row r="58" spans="1:29" s="1823" customFormat="1" ht="15">
      <c r="A58" s="1818" t="s">
        <v>2256</v>
      </c>
      <c r="B58" s="1819"/>
      <c r="C58" s="1820" t="str">
        <f>YEAR(C7)&amp;"-"&amp;MONTH(C7)</f>
        <v>2021-4</v>
      </c>
      <c r="D58" s="1821">
        <f>EDATE(C58,-1)</f>
        <v>44256</v>
      </c>
      <c r="E58" s="1821">
        <f t="shared" ref="E58:O58" si="16">EDATE(D58,-1)</f>
        <v>44228</v>
      </c>
      <c r="F58" s="1821">
        <f t="shared" si="16"/>
        <v>44197</v>
      </c>
      <c r="G58" s="1821">
        <f t="shared" si="16"/>
        <v>44166</v>
      </c>
      <c r="H58" s="1821">
        <f t="shared" si="16"/>
        <v>44136</v>
      </c>
      <c r="I58" s="1821">
        <f t="shared" si="16"/>
        <v>44105</v>
      </c>
      <c r="J58" s="1821">
        <f t="shared" si="16"/>
        <v>44075</v>
      </c>
      <c r="K58" s="1821">
        <f t="shared" si="16"/>
        <v>44044</v>
      </c>
      <c r="L58" s="1821">
        <f t="shared" si="16"/>
        <v>44013</v>
      </c>
      <c r="M58" s="1821">
        <f t="shared" si="16"/>
        <v>43983</v>
      </c>
      <c r="N58" s="1821">
        <f t="shared" si="16"/>
        <v>43952</v>
      </c>
      <c r="O58" s="1821">
        <f t="shared" si="16"/>
        <v>43922</v>
      </c>
      <c r="P58" s="1822"/>
    </row>
    <row r="59" spans="1:29" s="1682" customFormat="1" ht="15">
      <c r="A59" s="1824"/>
      <c r="B59" s="1825"/>
      <c r="C59" s="1826">
        <v>100</v>
      </c>
      <c r="D59" s="1827"/>
      <c r="E59" s="1827"/>
      <c r="F59" s="1827"/>
      <c r="G59" s="1827"/>
      <c r="H59" s="1827"/>
      <c r="I59" s="1827"/>
      <c r="J59" s="1827"/>
      <c r="K59" s="1827"/>
      <c r="L59" s="1827"/>
      <c r="M59" s="1828"/>
      <c r="N59" s="1827"/>
      <c r="O59" s="1828"/>
      <c r="P59" s="1829"/>
    </row>
    <row r="60" spans="1:29" s="1682" customFormat="1" ht="15.75" thickBot="1">
      <c r="A60" s="1830" t="s">
        <v>2293</v>
      </c>
      <c r="B60" s="1831"/>
      <c r="C60" s="1832"/>
      <c r="D60" s="1833"/>
      <c r="E60" s="1833"/>
      <c r="F60" s="1833"/>
      <c r="G60" s="1833"/>
      <c r="H60" s="1833"/>
      <c r="I60" s="1833"/>
      <c r="J60" s="1833"/>
      <c r="K60" s="1833"/>
      <c r="L60" s="1833"/>
      <c r="M60" s="1834"/>
      <c r="N60" s="1833"/>
      <c r="O60" s="1834"/>
      <c r="P60" s="1829"/>
      <c r="Q60" s="1817"/>
    </row>
    <row r="61" spans="1:29" s="1682" customFormat="1" ht="15">
      <c r="A61" s="1835" t="s">
        <v>2258</v>
      </c>
      <c r="B61" s="1825"/>
      <c r="C61" s="1836" t="s">
        <v>2259</v>
      </c>
      <c r="D61" s="409"/>
      <c r="E61" s="409"/>
      <c r="F61" s="409"/>
      <c r="G61" s="409"/>
      <c r="H61" s="409"/>
      <c r="I61" s="409"/>
      <c r="J61" s="409"/>
      <c r="K61" s="409"/>
      <c r="L61" s="409"/>
      <c r="M61" s="1837"/>
      <c r="N61" s="3008"/>
      <c r="O61" s="3008"/>
      <c r="P61" s="1839"/>
      <c r="Q61" s="1817"/>
    </row>
    <row r="62" spans="1:29" s="1682" customFormat="1" ht="15.75" thickBot="1">
      <c r="A62" s="1835"/>
      <c r="B62" s="1825"/>
      <c r="C62" s="1840">
        <v>100</v>
      </c>
      <c r="D62" s="1827"/>
      <c r="E62" s="1827"/>
      <c r="F62" s="1827"/>
      <c r="G62" s="1827"/>
      <c r="H62" s="1827"/>
      <c r="I62" s="1827"/>
      <c r="J62" s="1827"/>
      <c r="K62" s="1827"/>
      <c r="L62" s="1827"/>
      <c r="M62" s="1841"/>
      <c r="N62" s="3008"/>
      <c r="O62" s="3008"/>
      <c r="P62" s="1829"/>
      <c r="Q62" s="1817"/>
    </row>
    <row r="63" spans="1:29">
      <c r="A63" s="1842" t="s">
        <v>2296</v>
      </c>
      <c r="B63" s="1843" t="s">
        <v>2262</v>
      </c>
      <c r="C63" s="1844">
        <f>C9</f>
        <v>0</v>
      </c>
      <c r="D63" s="1845"/>
      <c r="E63" s="1845"/>
      <c r="F63" s="1845"/>
      <c r="G63" s="1845"/>
      <c r="H63" s="1845"/>
      <c r="I63" s="1845"/>
      <c r="J63" s="1845"/>
      <c r="K63" s="417"/>
      <c r="L63" s="417"/>
      <c r="M63" s="1846"/>
      <c r="N63" s="3009"/>
      <c r="O63" s="3009"/>
      <c r="P63" s="1848"/>
      <c r="Q63" s="1817"/>
    </row>
    <row r="64" spans="1:29" ht="15.75" thickBot="1">
      <c r="A64" s="1849"/>
      <c r="B64" s="1850"/>
      <c r="C64" s="1851">
        <v>100</v>
      </c>
      <c r="D64" s="1851"/>
      <c r="E64" s="1851"/>
      <c r="F64" s="1851"/>
      <c r="G64" s="1851"/>
      <c r="H64" s="1851"/>
      <c r="I64" s="1851"/>
      <c r="J64" s="1851"/>
      <c r="K64" s="1851"/>
      <c r="L64" s="1851"/>
      <c r="M64" s="1852"/>
      <c r="N64" s="3010"/>
      <c r="O64" s="3010"/>
      <c r="P64" s="1848"/>
      <c r="Q64" s="1817"/>
    </row>
    <row r="65" spans="1:17" ht="27.75" thickTop="1">
      <c r="A65" s="1849"/>
      <c r="B65" s="1854" t="s">
        <v>2265</v>
      </c>
      <c r="C65" s="1855" t="s">
        <v>2297</v>
      </c>
      <c r="D65" s="1855" t="s">
        <v>2298</v>
      </c>
      <c r="E65" s="1855" t="s">
        <v>2299</v>
      </c>
      <c r="F65" s="1855" t="s">
        <v>2300</v>
      </c>
      <c r="G65" s="1855" t="s">
        <v>2301</v>
      </c>
      <c r="H65" s="1855" t="s">
        <v>2302</v>
      </c>
      <c r="I65" s="1855" t="s">
        <v>2303</v>
      </c>
      <c r="J65" s="1855"/>
      <c r="K65" s="428"/>
      <c r="L65" s="428"/>
      <c r="M65" s="1856"/>
      <c r="N65" s="3009"/>
      <c r="O65" s="3009"/>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0"/>
      <c r="O66" s="3010"/>
      <c r="P66" s="1848"/>
      <c r="Q66" s="1817"/>
    </row>
    <row r="67" spans="1:17" ht="15.75" thickTop="1">
      <c r="A67" s="1849"/>
      <c r="B67" s="1860" t="s">
        <v>2266</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8" t="str">
        <f>M68&amp;"（含）"&amp;"-"&amp;P68</f>
        <v>（含）-</v>
      </c>
      <c r="N67" s="3010"/>
      <c r="O67" s="3010"/>
      <c r="P67" s="1848"/>
      <c r="Q67" s="1817"/>
    </row>
    <row r="68" spans="1:17" ht="15">
      <c r="A68" s="1849"/>
      <c r="B68" s="1862"/>
      <c r="C68" s="1863"/>
      <c r="D68" s="1863"/>
      <c r="E68" s="1863"/>
      <c r="F68" s="1863"/>
      <c r="G68" s="1863"/>
      <c r="H68" s="1863"/>
      <c r="I68" s="1863"/>
      <c r="J68" s="1863"/>
      <c r="K68" s="438"/>
      <c r="L68" s="438"/>
      <c r="M68" s="1864"/>
      <c r="N68" s="3009"/>
      <c r="O68" s="3009"/>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0"/>
      <c r="O69" s="3010"/>
      <c r="P69" s="1848"/>
      <c r="Q69" s="1817"/>
    </row>
    <row r="70" spans="1:17" s="1767" customFormat="1" ht="15.75" thickTop="1">
      <c r="A70" s="1865"/>
      <c r="B70" s="1854">
        <f>B12</f>
        <v>111</v>
      </c>
      <c r="C70" s="468"/>
      <c r="D70" s="468"/>
      <c r="E70" s="468"/>
      <c r="F70" s="468"/>
      <c r="G70" s="468"/>
      <c r="H70" s="443"/>
      <c r="I70" s="443"/>
      <c r="J70" s="443"/>
      <c r="K70" s="443"/>
      <c r="L70" s="443"/>
      <c r="M70" s="1866"/>
      <c r="N70" s="3011"/>
      <c r="O70" s="3011"/>
      <c r="P70" s="1868"/>
      <c r="Q70" s="1869"/>
    </row>
    <row r="71" spans="1:17" s="1767" customFormat="1" ht="15.75" thickBot="1">
      <c r="A71" s="1865"/>
      <c r="B71" s="1857"/>
      <c r="C71" s="1870"/>
      <c r="D71" s="1851"/>
      <c r="E71" s="1851"/>
      <c r="F71" s="1851"/>
      <c r="G71" s="1851"/>
      <c r="H71" s="1851"/>
      <c r="I71" s="1851"/>
      <c r="J71" s="1851"/>
      <c r="K71" s="1851"/>
      <c r="L71" s="1851"/>
      <c r="M71" s="1852"/>
      <c r="N71" s="3010"/>
      <c r="O71" s="3010"/>
      <c r="P71" s="1868"/>
      <c r="Q71" s="1869"/>
    </row>
    <row r="72" spans="1:17" s="1767" customFormat="1" ht="15.75" thickTop="1">
      <c r="A72" s="1865"/>
      <c r="B72" s="1854">
        <f>B13</f>
        <v>111</v>
      </c>
      <c r="C72" s="468"/>
      <c r="D72" s="468"/>
      <c r="E72" s="468"/>
      <c r="F72" s="468"/>
      <c r="G72" s="468"/>
      <c r="H72" s="443"/>
      <c r="I72" s="443"/>
      <c r="J72" s="443"/>
      <c r="K72" s="443"/>
      <c r="L72" s="443"/>
      <c r="M72" s="1866"/>
      <c r="N72" s="3011"/>
      <c r="O72" s="3011"/>
      <c r="P72" s="1871"/>
      <c r="Q72" s="1872"/>
    </row>
    <row r="73" spans="1:17" s="1767" customFormat="1" ht="15.75" thickBot="1">
      <c r="A73" s="1865"/>
      <c r="B73" s="1857"/>
      <c r="C73" s="1870"/>
      <c r="D73" s="1851"/>
      <c r="E73" s="1851"/>
      <c r="F73" s="1851"/>
      <c r="G73" s="1870"/>
      <c r="H73" s="1873"/>
      <c r="I73" s="1873"/>
      <c r="J73" s="1873"/>
      <c r="K73" s="1873"/>
      <c r="L73" s="1873"/>
      <c r="M73" s="1874"/>
      <c r="N73" s="3011"/>
      <c r="O73" s="3011"/>
      <c r="P73" s="1868"/>
      <c r="Q73" s="1869"/>
    </row>
    <row r="74" spans="1:17" s="1767" customFormat="1" ht="15.75" thickTop="1">
      <c r="A74" s="1865"/>
      <c r="B74" s="1860">
        <f>B14</f>
        <v>111</v>
      </c>
      <c r="C74" s="468"/>
      <c r="D74" s="468"/>
      <c r="E74" s="468"/>
      <c r="F74" s="468"/>
      <c r="G74" s="409"/>
      <c r="H74" s="453"/>
      <c r="I74" s="453"/>
      <c r="J74" s="453"/>
      <c r="K74" s="453"/>
      <c r="L74" s="453"/>
      <c r="M74" s="1875"/>
      <c r="N74" s="3011"/>
      <c r="O74" s="3011"/>
      <c r="P74" s="1868"/>
      <c r="Q74" s="1869"/>
    </row>
    <row r="75" spans="1:17" s="1767" customFormat="1" ht="15.75" thickBot="1">
      <c r="A75" s="1876"/>
      <c r="B75" s="1877"/>
      <c r="C75" s="1878"/>
      <c r="D75" s="1878"/>
      <c r="E75" s="1878"/>
      <c r="F75" s="1878"/>
      <c r="G75" s="1878"/>
      <c r="H75" s="1879"/>
      <c r="I75" s="1879"/>
      <c r="J75" s="1879"/>
      <c r="K75" s="1879"/>
      <c r="L75" s="1879"/>
      <c r="M75" s="1880"/>
      <c r="N75" s="3011"/>
      <c r="O75" s="3011"/>
      <c r="P75" s="1868"/>
      <c r="Q75" s="1869"/>
    </row>
    <row r="76" spans="1:17">
      <c r="A76" s="1842" t="s">
        <v>2267</v>
      </c>
      <c r="B76" s="1843" t="s">
        <v>2304</v>
      </c>
      <c r="C76" s="1881" t="s">
        <v>2305</v>
      </c>
      <c r="D76" s="1881" t="s">
        <v>2306</v>
      </c>
      <c r="E76" s="1881" t="s">
        <v>2307</v>
      </c>
      <c r="F76" s="1881" t="s">
        <v>2308</v>
      </c>
      <c r="G76" s="1881" t="s">
        <v>2309</v>
      </c>
      <c r="H76" s="1844"/>
      <c r="I76" s="1844"/>
      <c r="J76" s="1844"/>
      <c r="K76" s="463"/>
      <c r="L76" s="463"/>
      <c r="M76" s="1882"/>
      <c r="N76" s="3009"/>
      <c r="O76" s="3009"/>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0"/>
      <c r="O77" s="3010"/>
      <c r="P77" s="1848"/>
      <c r="Q77" s="1817"/>
    </row>
    <row r="78" spans="1:17" ht="15.75" thickTop="1">
      <c r="A78" s="1849"/>
      <c r="B78" s="1854" t="s">
        <v>2310</v>
      </c>
      <c r="C78" s="579" t="s">
        <v>2305</v>
      </c>
      <c r="D78" s="579" t="s">
        <v>2306</v>
      </c>
      <c r="E78" s="579" t="s">
        <v>2307</v>
      </c>
      <c r="F78" s="579" t="s">
        <v>2308</v>
      </c>
      <c r="G78" s="579" t="s">
        <v>2309</v>
      </c>
      <c r="H78" s="1855"/>
      <c r="I78" s="1855"/>
      <c r="J78" s="1855"/>
      <c r="K78" s="428"/>
      <c r="L78" s="428"/>
      <c r="M78" s="1856"/>
      <c r="N78" s="3009"/>
      <c r="O78" s="3009"/>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0"/>
      <c r="O79" s="3010"/>
      <c r="P79" s="1848"/>
      <c r="Q79" s="1817"/>
    </row>
    <row r="80" spans="1:17" ht="15.75" thickTop="1">
      <c r="A80" s="1849"/>
      <c r="B80" s="1854" t="s">
        <v>2311</v>
      </c>
      <c r="C80" s="579" t="s">
        <v>2305</v>
      </c>
      <c r="D80" s="579" t="s">
        <v>2306</v>
      </c>
      <c r="E80" s="579" t="s">
        <v>2307</v>
      </c>
      <c r="F80" s="579" t="s">
        <v>2308</v>
      </c>
      <c r="G80" s="579" t="s">
        <v>2309</v>
      </c>
      <c r="H80" s="1855"/>
      <c r="I80" s="1855"/>
      <c r="J80" s="1855"/>
      <c r="K80" s="428"/>
      <c r="L80" s="428"/>
      <c r="M80" s="1856"/>
      <c r="N80" s="3009"/>
      <c r="O80" s="3009"/>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0"/>
      <c r="O81" s="3010"/>
      <c r="P81" s="1848"/>
      <c r="Q81" s="1817"/>
    </row>
    <row r="82" spans="1:17" ht="15.75" thickTop="1">
      <c r="A82" s="1849"/>
      <c r="B82" s="1860" t="s">
        <v>2354</v>
      </c>
      <c r="C82" s="1855" t="s">
        <v>2312</v>
      </c>
      <c r="D82" s="1855" t="s">
        <v>2313</v>
      </c>
      <c r="E82" s="1855" t="s">
        <v>2314</v>
      </c>
      <c r="F82" s="1855" t="s">
        <v>2315</v>
      </c>
      <c r="G82" s="1855" t="s">
        <v>2316</v>
      </c>
      <c r="H82" s="1855"/>
      <c r="I82" s="1855"/>
      <c r="J82" s="1855"/>
      <c r="K82" s="1855"/>
      <c r="L82" s="1855"/>
      <c r="M82" s="1883"/>
      <c r="N82" s="3010"/>
      <c r="O82" s="3010"/>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2"/>
      <c r="N83" s="3010"/>
      <c r="O83" s="3010"/>
      <c r="P83" s="1848"/>
      <c r="Q83" s="1817"/>
    </row>
    <row r="84" spans="1:17" ht="15.75" thickTop="1">
      <c r="A84" s="1849"/>
      <c r="B84" s="1854" t="s">
        <v>2317</v>
      </c>
      <c r="C84" s="579" t="s">
        <v>2305</v>
      </c>
      <c r="D84" s="579" t="s">
        <v>2306</v>
      </c>
      <c r="E84" s="579" t="s">
        <v>2307</v>
      </c>
      <c r="F84" s="579" t="s">
        <v>2308</v>
      </c>
      <c r="G84" s="579" t="s">
        <v>2309</v>
      </c>
      <c r="H84" s="1855"/>
      <c r="I84" s="1855"/>
      <c r="J84" s="1855"/>
      <c r="K84" s="428"/>
      <c r="L84" s="428"/>
      <c r="M84" s="1856"/>
      <c r="N84" s="3009"/>
      <c r="O84" s="3009"/>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0"/>
      <c r="O85" s="3010"/>
      <c r="P85" s="1848"/>
      <c r="Q85" s="1817"/>
    </row>
    <row r="86" spans="1:17" s="1682" customFormat="1" ht="15.75" thickTop="1">
      <c r="A86" s="1885"/>
      <c r="B86" s="1854" t="s">
        <v>2374</v>
      </c>
      <c r="C86" s="468"/>
      <c r="D86" s="468"/>
      <c r="E86" s="468"/>
      <c r="F86" s="468"/>
      <c r="G86" s="468"/>
      <c r="H86" s="468"/>
      <c r="I86" s="468"/>
      <c r="J86" s="468"/>
      <c r="K86" s="468"/>
      <c r="L86" s="468"/>
      <c r="M86" s="1886"/>
      <c r="N86" s="3008"/>
      <c r="O86" s="3008"/>
      <c r="P86" s="1848"/>
      <c r="Q86" s="1817"/>
    </row>
    <row r="87" spans="1:17" s="1682"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0"/>
      <c r="O87" s="3010"/>
      <c r="P87" s="1848"/>
      <c r="Q87" s="1817"/>
    </row>
    <row r="88" spans="1:17" s="1682" customFormat="1" ht="15.75" thickTop="1">
      <c r="A88" s="1885"/>
      <c r="B88" s="1854" t="str">
        <f>B26</f>
        <v>平面位置/可视性</v>
      </c>
      <c r="C88" s="468"/>
      <c r="D88" s="468"/>
      <c r="E88" s="468"/>
      <c r="F88" s="1888"/>
      <c r="G88" s="468"/>
      <c r="H88" s="468"/>
      <c r="I88" s="468"/>
      <c r="J88" s="468"/>
      <c r="K88" s="468"/>
      <c r="L88" s="468"/>
      <c r="M88" s="1886"/>
      <c r="N88" s="3008"/>
      <c r="O88" s="3008"/>
      <c r="P88" s="1848"/>
      <c r="Q88" s="1817"/>
    </row>
    <row r="89" spans="1:17" s="1682" customFormat="1" ht="15.75" thickBot="1">
      <c r="A89" s="1885"/>
      <c r="B89" s="1857"/>
      <c r="C89" s="1870"/>
      <c r="D89" s="1851"/>
      <c r="E89" s="1851"/>
      <c r="F89" s="1851"/>
      <c r="G89" s="1851"/>
      <c r="H89" s="1851"/>
      <c r="I89" s="1851"/>
      <c r="J89" s="1851"/>
      <c r="K89" s="1851"/>
      <c r="L89" s="1851"/>
      <c r="M89" s="1851"/>
      <c r="N89" s="3010"/>
      <c r="O89" s="3010"/>
      <c r="P89" s="1848"/>
      <c r="Q89" s="1817"/>
    </row>
    <row r="90" spans="1:17" s="1767" customFormat="1" ht="15.75" thickTop="1">
      <c r="A90" s="1865"/>
      <c r="B90" s="1854" t="str">
        <f>B27</f>
        <v>人流量</v>
      </c>
      <c r="C90" s="468"/>
      <c r="D90" s="468"/>
      <c r="E90" s="468"/>
      <c r="F90" s="468"/>
      <c r="G90" s="468"/>
      <c r="H90" s="443"/>
      <c r="I90" s="443"/>
      <c r="J90" s="443"/>
      <c r="K90" s="443"/>
      <c r="L90" s="443"/>
      <c r="M90" s="1866"/>
      <c r="N90" s="3011"/>
      <c r="O90" s="3011"/>
      <c r="P90" s="1868"/>
      <c r="Q90" s="1869"/>
    </row>
    <row r="91" spans="1:17" s="1767"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1"/>
      <c r="O91" s="3011"/>
      <c r="P91" s="1868"/>
      <c r="Q91" s="1869"/>
    </row>
    <row r="92" spans="1:17" ht="15.75" thickTop="1">
      <c r="A92" s="1849"/>
      <c r="B92" s="1854" t="str">
        <f>B28</f>
        <v>楼层</v>
      </c>
      <c r="C92" s="468"/>
      <c r="D92" s="468"/>
      <c r="E92" s="468"/>
      <c r="F92" s="468"/>
      <c r="G92" s="468"/>
      <c r="H92" s="468"/>
      <c r="I92" s="468"/>
      <c r="J92" s="468"/>
      <c r="K92" s="468"/>
      <c r="L92" s="468"/>
      <c r="M92" s="1886"/>
      <c r="N92" s="3009"/>
      <c r="O92" s="3009"/>
      <c r="P92" s="1848"/>
      <c r="Q92" s="1817"/>
    </row>
    <row r="93" spans="1:17" ht="15.75" thickBot="1">
      <c r="A93" s="1849"/>
      <c r="B93" s="1857"/>
      <c r="C93" s="1851"/>
      <c r="D93" s="1851"/>
      <c r="E93" s="1851"/>
      <c r="F93" s="1851"/>
      <c r="G93" s="1851"/>
      <c r="H93" s="1851"/>
      <c r="I93" s="1851"/>
      <c r="J93" s="1851"/>
      <c r="K93" s="1851"/>
      <c r="L93" s="1851"/>
      <c r="M93" s="1852"/>
      <c r="N93" s="3010"/>
      <c r="O93" s="3010"/>
      <c r="P93" s="1848"/>
      <c r="Q93" s="1817"/>
    </row>
    <row r="94" spans="1:17" ht="15.75" thickTop="1">
      <c r="A94" s="1849"/>
      <c r="B94" s="1854">
        <f>B29</f>
        <v>111</v>
      </c>
      <c r="C94" s="468"/>
      <c r="D94" s="468"/>
      <c r="E94" s="468"/>
      <c r="F94" s="468"/>
      <c r="G94" s="1575"/>
      <c r="H94" s="1575"/>
      <c r="I94" s="1575"/>
      <c r="J94" s="1575"/>
      <c r="K94" s="473"/>
      <c r="L94" s="473"/>
      <c r="M94" s="1889"/>
      <c r="N94" s="3009"/>
      <c r="O94" s="3009"/>
      <c r="P94" s="1848"/>
      <c r="Q94" s="1817"/>
    </row>
    <row r="95" spans="1:17" ht="15.75" thickBot="1">
      <c r="A95" s="1849"/>
      <c r="B95" s="1857"/>
      <c r="C95" s="1870"/>
      <c r="D95" s="1851"/>
      <c r="E95" s="1851"/>
      <c r="F95" s="1851"/>
      <c r="G95" s="1851"/>
      <c r="H95" s="1851"/>
      <c r="I95" s="1851"/>
      <c r="J95" s="1851"/>
      <c r="K95" s="1851"/>
      <c r="L95" s="1851"/>
      <c r="M95" s="1852"/>
      <c r="N95" s="3010"/>
      <c r="O95" s="3010"/>
      <c r="P95" s="1848"/>
      <c r="Q95" s="1817"/>
    </row>
    <row r="96" spans="1:17" ht="15.75" thickTop="1">
      <c r="A96" s="1849"/>
      <c r="B96" s="1854">
        <f>B30</f>
        <v>111</v>
      </c>
      <c r="C96" s="468"/>
      <c r="D96" s="468"/>
      <c r="E96" s="468"/>
      <c r="F96" s="468"/>
      <c r="G96" s="1575"/>
      <c r="H96" s="1575"/>
      <c r="I96" s="1575"/>
      <c r="J96" s="1575"/>
      <c r="K96" s="473"/>
      <c r="L96" s="473"/>
      <c r="M96" s="1889"/>
      <c r="N96" s="3009"/>
      <c r="O96" s="3009"/>
      <c r="P96" s="1848"/>
      <c r="Q96" s="1817"/>
    </row>
    <row r="97" spans="1:17" ht="15.75" thickBot="1">
      <c r="A97" s="1849"/>
      <c r="B97" s="1857"/>
      <c r="C97" s="1870"/>
      <c r="D97" s="1851"/>
      <c r="E97" s="1851"/>
      <c r="F97" s="1851"/>
      <c r="G97" s="1851"/>
      <c r="H97" s="1851"/>
      <c r="I97" s="1851"/>
      <c r="J97" s="1851"/>
      <c r="K97" s="1851"/>
      <c r="L97" s="1851"/>
      <c r="M97" s="1852"/>
      <c r="N97" s="3010"/>
      <c r="O97" s="3010"/>
      <c r="P97" s="1848"/>
      <c r="Q97" s="1817"/>
    </row>
    <row r="98" spans="1:17" ht="15.75" thickTop="1">
      <c r="A98" s="1849"/>
      <c r="B98" s="1860">
        <f>B31</f>
        <v>111</v>
      </c>
      <c r="C98" s="468"/>
      <c r="D98" s="468"/>
      <c r="E98" s="468"/>
      <c r="F98" s="468"/>
      <c r="G98" s="1890"/>
      <c r="H98" s="1890"/>
      <c r="I98" s="1890"/>
      <c r="J98" s="1890"/>
      <c r="K98" s="477"/>
      <c r="L98" s="477"/>
      <c r="M98" s="1891"/>
      <c r="N98" s="3009"/>
      <c r="O98" s="3009"/>
      <c r="P98" s="1848"/>
      <c r="Q98" s="1817"/>
    </row>
    <row r="99" spans="1:17" ht="15.75" thickBot="1">
      <c r="A99" s="1892"/>
      <c r="B99" s="1877"/>
      <c r="C99" s="1878"/>
      <c r="D99" s="1878"/>
      <c r="E99" s="1878"/>
      <c r="F99" s="1878"/>
      <c r="G99" s="1893"/>
      <c r="H99" s="1893"/>
      <c r="I99" s="1893"/>
      <c r="J99" s="1893"/>
      <c r="K99" s="1893"/>
      <c r="L99" s="1893"/>
      <c r="M99" s="1894"/>
      <c r="N99" s="3010"/>
      <c r="O99" s="3010"/>
      <c r="P99" s="1848"/>
      <c r="Q99" s="1817"/>
    </row>
    <row r="100" spans="1:17">
      <c r="A100" s="1842" t="s">
        <v>2271</v>
      </c>
      <c r="B100" s="1843" t="s">
        <v>2375</v>
      </c>
      <c r="C100" s="1845"/>
      <c r="D100" s="1845"/>
      <c r="E100" s="1845"/>
      <c r="F100" s="1845"/>
      <c r="G100" s="1845"/>
      <c r="H100" s="1845"/>
      <c r="I100" s="1845"/>
      <c r="J100" s="1845"/>
      <c r="K100" s="417"/>
      <c r="L100" s="417"/>
      <c r="M100" s="1846"/>
      <c r="N100" s="3009"/>
      <c r="O100" s="3009"/>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0"/>
      <c r="O101" s="3010"/>
      <c r="P101" s="1848"/>
      <c r="Q101" s="1817"/>
    </row>
    <row r="102" spans="1:17" ht="15.75" thickTop="1">
      <c r="A102" s="1849"/>
      <c r="B102" s="1854" t="s">
        <v>2321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8"/>
      <c r="O102" s="3008"/>
      <c r="P102" s="1848"/>
      <c r="Q102" s="1817"/>
    </row>
    <row r="103" spans="1:17" s="1767" customFormat="1">
      <c r="A103" s="1895"/>
      <c r="B103" s="1896"/>
      <c r="C103" s="1897"/>
      <c r="D103" s="1897"/>
      <c r="E103" s="1897"/>
      <c r="F103" s="1897"/>
      <c r="G103" s="1897"/>
      <c r="H103" s="1897"/>
      <c r="I103" s="1897"/>
      <c r="J103" s="485"/>
      <c r="K103" s="485"/>
      <c r="L103" s="485"/>
      <c r="M103" s="1898"/>
      <c r="N103" s="3011"/>
      <c r="O103" s="3011"/>
      <c r="P103" s="1868"/>
      <c r="Q103" s="1869"/>
    </row>
    <row r="104" spans="1:17" s="1767" customFormat="1" ht="15.75" thickBot="1">
      <c r="A104" s="1865"/>
      <c r="B104" s="1857"/>
      <c r="C104" s="1870"/>
      <c r="D104" s="1851"/>
      <c r="E104" s="1851"/>
      <c r="F104" s="1851"/>
      <c r="G104" s="1851"/>
      <c r="H104" s="1851"/>
      <c r="I104" s="1851"/>
      <c r="J104" s="1851"/>
      <c r="K104" s="1851"/>
      <c r="L104" s="1851"/>
      <c r="M104" s="1852"/>
      <c r="N104" s="3010"/>
      <c r="O104" s="3010"/>
      <c r="P104" s="1868"/>
      <c r="Q104" s="1869"/>
    </row>
    <row r="105" spans="1:17" ht="15" thickTop="1">
      <c r="A105" s="1899"/>
      <c r="B105" s="1854" t="s">
        <v>2322</v>
      </c>
      <c r="C105" s="468"/>
      <c r="D105" s="468"/>
      <c r="E105" s="1575"/>
      <c r="F105" s="1575"/>
      <c r="G105" s="1575"/>
      <c r="H105" s="1575"/>
      <c r="I105" s="1575"/>
      <c r="J105" s="1575"/>
      <c r="K105" s="473"/>
      <c r="L105" s="473"/>
      <c r="M105" s="1889"/>
      <c r="N105" s="3009"/>
      <c r="O105" s="3009"/>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0"/>
      <c r="O106" s="3010"/>
      <c r="P106" s="1848"/>
      <c r="Q106" s="1817"/>
    </row>
    <row r="107" spans="1:17" ht="15" thickTop="1">
      <c r="A107" s="1899"/>
      <c r="B107" s="1854" t="s">
        <v>2324</v>
      </c>
      <c r="C107" s="468"/>
      <c r="D107" s="468"/>
      <c r="E107" s="468"/>
      <c r="F107" s="1575"/>
      <c r="G107" s="1575"/>
      <c r="H107" s="1575"/>
      <c r="I107" s="1575"/>
      <c r="J107" s="1575"/>
      <c r="K107" s="473"/>
      <c r="L107" s="473"/>
      <c r="M107" s="1889"/>
      <c r="N107" s="3009"/>
      <c r="O107" s="3009"/>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0"/>
      <c r="O108" s="3010"/>
      <c r="P108" s="1848"/>
      <c r="Q108" s="1817"/>
    </row>
    <row r="109" spans="1:17" ht="15" thickTop="1">
      <c r="A109" s="1899"/>
      <c r="B109" s="1854"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89"/>
      <c r="N109" s="3009"/>
      <c r="O109" s="3009"/>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09"/>
      <c r="O110" s="3009"/>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0"/>
      <c r="O111" s="3010"/>
      <c r="P111" s="1848"/>
      <c r="Q111" s="1817"/>
    </row>
    <row r="112" spans="1:17" s="1767" customFormat="1" ht="15" thickTop="1">
      <c r="A112" s="1895"/>
      <c r="B112" s="1854" t="s">
        <v>2327</v>
      </c>
      <c r="C112" s="468"/>
      <c r="D112" s="468"/>
      <c r="E112" s="468"/>
      <c r="F112" s="468"/>
      <c r="G112" s="468"/>
      <c r="H112" s="1575"/>
      <c r="I112" s="1575"/>
      <c r="J112" s="1575"/>
      <c r="K112" s="473"/>
      <c r="L112" s="473"/>
      <c r="M112" s="1889"/>
      <c r="N112" s="3011"/>
      <c r="O112" s="3011"/>
      <c r="P112" s="1868"/>
      <c r="Q112" s="1869"/>
    </row>
    <row r="113" spans="1:17" s="1767"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1"/>
      <c r="O113" s="3011"/>
      <c r="P113" s="1868"/>
      <c r="Q113" s="1869"/>
    </row>
    <row r="114" spans="1:17" ht="15" thickTop="1">
      <c r="A114" s="1899"/>
      <c r="B114" s="1854" t="s">
        <v>2376</v>
      </c>
      <c r="C114" s="468"/>
      <c r="D114" s="468"/>
      <c r="E114" s="1575"/>
      <c r="F114" s="1575"/>
      <c r="G114" s="1575"/>
      <c r="H114" s="1575"/>
      <c r="I114" s="1575"/>
      <c r="J114" s="1575"/>
      <c r="K114" s="473"/>
      <c r="L114" s="473"/>
      <c r="M114" s="1889"/>
      <c r="N114" s="3009"/>
      <c r="O114" s="3009"/>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0"/>
      <c r="O115" s="3010"/>
      <c r="P115" s="1848"/>
      <c r="Q115" s="1817"/>
    </row>
    <row r="116" spans="1:17" ht="15" thickTop="1">
      <c r="A116" s="1899"/>
      <c r="B116" s="1854" t="s">
        <v>2377</v>
      </c>
      <c r="C116" s="468"/>
      <c r="D116" s="468"/>
      <c r="E116" s="468"/>
      <c r="F116" s="468"/>
      <c r="G116" s="468"/>
      <c r="H116" s="1575"/>
      <c r="I116" s="1575"/>
      <c r="J116" s="1575"/>
      <c r="K116" s="473"/>
      <c r="L116" s="473"/>
      <c r="M116" s="1889"/>
      <c r="N116" s="3009"/>
      <c r="O116" s="3009"/>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0"/>
      <c r="O117" s="3010"/>
      <c r="P117" s="1848"/>
      <c r="Q117" s="1817"/>
    </row>
    <row r="118" spans="1:17" ht="15" thickTop="1">
      <c r="A118" s="1899"/>
      <c r="B118" s="1854" t="s">
        <v>2378</v>
      </c>
      <c r="C118" s="2481"/>
      <c r="D118" s="2481"/>
      <c r="E118" s="2481"/>
      <c r="F118" s="2481"/>
      <c r="G118" s="2481"/>
      <c r="H118" s="443"/>
      <c r="I118" s="443"/>
      <c r="J118" s="443"/>
      <c r="K118" s="443"/>
      <c r="L118" s="443"/>
      <c r="M118" s="1866"/>
      <c r="N118" s="3009"/>
      <c r="O118" s="3009"/>
      <c r="P118" s="1848"/>
      <c r="Q118" s="1817"/>
    </row>
    <row r="119" spans="1:17" ht="15.75" thickBot="1">
      <c r="A119" s="1849"/>
      <c r="B119" s="1857"/>
      <c r="C119" s="1870"/>
      <c r="D119" s="1851"/>
      <c r="E119" s="1851"/>
      <c r="F119" s="1851"/>
      <c r="G119" s="1851"/>
      <c r="H119" s="1851"/>
      <c r="I119" s="1851"/>
      <c r="J119" s="1851"/>
      <c r="K119" s="1851"/>
      <c r="L119" s="1851"/>
      <c r="M119" s="1852"/>
      <c r="N119" s="3010"/>
      <c r="O119" s="3010"/>
      <c r="P119" s="1848"/>
      <c r="Q119" s="1817"/>
    </row>
    <row r="120" spans="1:17" s="1767" customFormat="1" ht="15" thickTop="1">
      <c r="A120" s="1895"/>
      <c r="B120" s="1854" t="s">
        <v>2379</v>
      </c>
      <c r="C120" s="1575"/>
      <c r="D120" s="1575"/>
      <c r="E120" s="1575"/>
      <c r="F120" s="1575"/>
      <c r="G120" s="443"/>
      <c r="H120" s="443"/>
      <c r="I120" s="443"/>
      <c r="J120" s="443"/>
      <c r="K120" s="443"/>
      <c r="L120" s="443"/>
      <c r="M120" s="1866"/>
      <c r="N120" s="3011"/>
      <c r="O120" s="3011"/>
      <c r="P120" s="1868"/>
      <c r="Q120" s="1869"/>
    </row>
    <row r="121" spans="1:17" s="1767"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1"/>
      <c r="O121" s="3011"/>
      <c r="P121" s="1868"/>
      <c r="Q121" s="1869"/>
    </row>
    <row r="122" spans="1:17" ht="15" thickTop="1">
      <c r="A122" s="1899"/>
      <c r="B122" s="1854" t="s">
        <v>2329</v>
      </c>
      <c r="C122" s="468"/>
      <c r="D122" s="468"/>
      <c r="E122" s="468"/>
      <c r="F122" s="1575"/>
      <c r="G122" s="1575"/>
      <c r="H122" s="1575"/>
      <c r="I122" s="1575"/>
      <c r="J122" s="1575"/>
      <c r="K122" s="473"/>
      <c r="L122" s="473"/>
      <c r="M122" s="1889"/>
      <c r="N122" s="3009"/>
      <c r="O122" s="3009"/>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0"/>
      <c r="O123" s="3010"/>
      <c r="P123" s="1848"/>
      <c r="Q123" s="1817"/>
    </row>
    <row r="124" spans="1:17" ht="15" thickTop="1">
      <c r="A124" s="1899"/>
      <c r="B124" s="1854" t="s">
        <v>2330</v>
      </c>
      <c r="C124" s="579" t="s">
        <v>2305</v>
      </c>
      <c r="D124" s="579" t="s">
        <v>2306</v>
      </c>
      <c r="E124" s="579" t="s">
        <v>2307</v>
      </c>
      <c r="F124" s="579" t="s">
        <v>2308</v>
      </c>
      <c r="G124" s="579" t="s">
        <v>2309</v>
      </c>
      <c r="H124" s="1855"/>
      <c r="I124" s="1855"/>
      <c r="J124" s="1855"/>
      <c r="K124" s="428"/>
      <c r="L124" s="428"/>
      <c r="M124" s="1856"/>
      <c r="N124" s="3009"/>
      <c r="O124" s="3009"/>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0"/>
      <c r="O125" s="3010"/>
      <c r="P125" s="1848"/>
      <c r="Q125" s="1817"/>
    </row>
    <row r="126" spans="1:17" s="1767" customFormat="1" ht="15" thickTop="1">
      <c r="A126" s="1895"/>
      <c r="B126" s="1854">
        <f>B44</f>
        <v>111</v>
      </c>
      <c r="C126" s="468"/>
      <c r="D126" s="468"/>
      <c r="E126" s="468"/>
      <c r="F126" s="468"/>
      <c r="G126" s="468"/>
      <c r="H126" s="443"/>
      <c r="I126" s="443"/>
      <c r="J126" s="443"/>
      <c r="K126" s="443"/>
      <c r="L126" s="443"/>
      <c r="M126" s="1866"/>
      <c r="N126" s="3011"/>
      <c r="O126" s="3011"/>
      <c r="P126" s="1868"/>
      <c r="Q126" s="1869"/>
    </row>
    <row r="127" spans="1:17" s="1767" customFormat="1" ht="15.75" thickBot="1">
      <c r="A127" s="1865"/>
      <c r="B127" s="1857"/>
      <c r="C127" s="1870"/>
      <c r="D127" s="1851"/>
      <c r="E127" s="1851"/>
      <c r="F127" s="1851"/>
      <c r="G127" s="1870"/>
      <c r="H127" s="1873"/>
      <c r="I127" s="1873"/>
      <c r="J127" s="1873"/>
      <c r="K127" s="1873"/>
      <c r="L127" s="1873"/>
      <c r="M127" s="1874"/>
      <c r="N127" s="3011"/>
      <c r="O127" s="3011"/>
      <c r="P127" s="1868"/>
      <c r="Q127" s="1869"/>
    </row>
    <row r="128" spans="1:17" ht="15" thickTop="1">
      <c r="A128" s="1899"/>
      <c r="B128" s="1854">
        <f>B45</f>
        <v>111</v>
      </c>
      <c r="C128" s="468"/>
      <c r="D128" s="468"/>
      <c r="E128" s="468"/>
      <c r="F128" s="468"/>
      <c r="G128" s="1575"/>
      <c r="H128" s="1575"/>
      <c r="I128" s="1575"/>
      <c r="J128" s="1575"/>
      <c r="K128" s="473"/>
      <c r="L128" s="473"/>
      <c r="M128" s="1889"/>
      <c r="N128" s="3009"/>
      <c r="O128" s="3009"/>
      <c r="P128" s="1848"/>
      <c r="Q128" s="1817"/>
    </row>
    <row r="129" spans="1:17" ht="15.75" thickBot="1">
      <c r="A129" s="1849"/>
      <c r="B129" s="1857"/>
      <c r="C129" s="1870"/>
      <c r="D129" s="1851"/>
      <c r="E129" s="1851"/>
      <c r="F129" s="1851"/>
      <c r="G129" s="1851"/>
      <c r="H129" s="1851"/>
      <c r="I129" s="1851"/>
      <c r="J129" s="1851"/>
      <c r="K129" s="1851"/>
      <c r="L129" s="1851"/>
      <c r="M129" s="1852"/>
      <c r="N129" s="3010"/>
      <c r="O129" s="3010"/>
      <c r="P129" s="1848"/>
      <c r="Q129" s="1817"/>
    </row>
    <row r="130" spans="1:17" ht="15" thickTop="1">
      <c r="A130" s="1899"/>
      <c r="B130" s="1860">
        <f>B46</f>
        <v>111</v>
      </c>
      <c r="C130" s="468"/>
      <c r="D130" s="468"/>
      <c r="E130" s="468"/>
      <c r="F130" s="468"/>
      <c r="G130" s="1890"/>
      <c r="H130" s="1890"/>
      <c r="I130" s="1890"/>
      <c r="J130" s="1890"/>
      <c r="K130" s="409"/>
      <c r="L130" s="409"/>
      <c r="M130" s="1891"/>
      <c r="N130" s="3009"/>
      <c r="O130" s="3009"/>
      <c r="P130" s="1848"/>
      <c r="Q130" s="1817"/>
    </row>
    <row r="131" spans="1:17" ht="15.75" thickBot="1">
      <c r="A131" s="1892"/>
      <c r="B131" s="1877"/>
      <c r="C131" s="1878"/>
      <c r="D131" s="1878"/>
      <c r="E131" s="1878"/>
      <c r="F131" s="1878"/>
      <c r="G131" s="1893"/>
      <c r="H131" s="1893"/>
      <c r="I131" s="1893"/>
      <c r="J131" s="1893"/>
      <c r="K131" s="1893"/>
      <c r="L131" s="1893"/>
      <c r="M131" s="1894"/>
      <c r="N131" s="3010"/>
      <c r="O131" s="3010"/>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2380</v>
      </c>
      <c r="C1" s="1636"/>
      <c r="D1" s="1635"/>
      <c r="E1" s="1638"/>
      <c r="F1" s="1639" t="s">
        <v>2241</v>
      </c>
      <c r="G1" s="1635"/>
      <c r="H1" s="1635"/>
      <c r="I1" s="1635"/>
      <c r="J1" s="1635"/>
      <c r="K1" s="1640"/>
      <c r="L1" s="1641"/>
      <c r="M1" s="1635"/>
      <c r="N1" s="1635"/>
      <c r="O1" s="1635"/>
      <c r="P1" s="1635"/>
      <c r="Q1" s="1635"/>
      <c r="R1" s="1635"/>
      <c r="S1" s="1635"/>
      <c r="T1" s="1635"/>
      <c r="U1" s="1635"/>
      <c r="V1" s="1635"/>
      <c r="W1" s="1635"/>
      <c r="X1" s="1635"/>
      <c r="Y1" s="1635"/>
      <c r="Z1" s="1635"/>
      <c r="AA1" s="1635"/>
      <c r="AB1" s="2482"/>
      <c r="AC1" s="1644"/>
    </row>
    <row r="2" spans="1:29" s="1955" customFormat="1" ht="28.5" customHeight="1" thickTop="1">
      <c r="A2" s="1646" t="s">
        <v>1914</v>
      </c>
      <c r="B2" s="1647" t="e">
        <f ca="1">IF(D2="——",IF(C2="元",ROUND(C50*D3,0),ROUND(C50*D3/10000,0)),IF(C2="元",ROUND(C50*D3,0),ROUND(C50*D3/10000,0))-E2)</f>
        <v>#DIV/0!</v>
      </c>
      <c r="C2" s="1648" t="str">
        <f>'数据-取费表'!B3</f>
        <v>元</v>
      </c>
      <c r="D2" s="1649"/>
      <c r="E2" s="2483" t="e">
        <f ca="1">SUMIF(INDIRECT("'"&amp;G2&amp;"'"&amp;"!A:A"),"承租人权益价值",INDIRECT("'"&amp;G2&amp;"'"&amp;"!c:c"))</f>
        <v>#REF!</v>
      </c>
      <c r="F2" s="1651" t="str">
        <f>C2</f>
        <v>元</v>
      </c>
      <c r="G2" s="1652"/>
      <c r="H2" s="3005"/>
      <c r="I2" s="3005"/>
      <c r="J2" s="3005"/>
      <c r="K2" s="3005"/>
      <c r="L2" s="3007"/>
      <c r="M2" s="3005"/>
      <c r="N2" s="3005"/>
      <c r="O2" s="3005"/>
      <c r="P2" s="1952"/>
      <c r="Q2" s="1952"/>
      <c r="R2" s="1952"/>
      <c r="S2" s="1952"/>
      <c r="T2" s="1952"/>
      <c r="U2" s="1952"/>
      <c r="V2" s="1952"/>
      <c r="W2" s="1952"/>
      <c r="X2" s="1952"/>
      <c r="Y2" s="1952"/>
      <c r="Z2" s="1952"/>
      <c r="AA2" s="1952"/>
      <c r="AB2" s="2484"/>
      <c r="AC2" s="1960"/>
    </row>
    <row r="3" spans="1:29" s="1955" customFormat="1" ht="28.5" customHeight="1" thickBot="1">
      <c r="A3" s="1656" t="s">
        <v>1915</v>
      </c>
      <c r="B3" s="1958" t="e">
        <f ca="1">ROUND(IF(D2="——",C50,IF(C2="万元",B2*10000/D3,B2/D3)),0)</f>
        <v>#DIV/0!</v>
      </c>
      <c r="C3" s="1657" t="s">
        <v>2242</v>
      </c>
      <c r="D3" s="1657">
        <f>IF(C1="仅计算典型户型",'数据-取费表'!E5,'数据-取费表'!B5)</f>
        <v>82.35</v>
      </c>
      <c r="F3" s="3004"/>
      <c r="G3" s="3005"/>
      <c r="H3" s="3005"/>
      <c r="I3" s="3005"/>
      <c r="J3" s="3005"/>
      <c r="K3" s="3006"/>
      <c r="L3" s="3007"/>
      <c r="M3" s="3005"/>
      <c r="N3" s="3005"/>
      <c r="O3" s="3005"/>
      <c r="P3" s="3012"/>
      <c r="Q3" s="1947"/>
      <c r="R3" s="1947"/>
      <c r="S3" s="1947"/>
      <c r="T3" s="1947"/>
      <c r="U3" s="1947"/>
      <c r="V3" s="1947"/>
      <c r="W3" s="1947"/>
      <c r="X3" s="1952"/>
      <c r="Y3" s="1947"/>
      <c r="Z3" s="1947"/>
      <c r="AA3" s="1947"/>
      <c r="AB3" s="2485"/>
      <c r="AC3" s="1960"/>
    </row>
    <row r="4" spans="1:29" ht="15">
      <c r="A4" s="1660" t="s">
        <v>2243</v>
      </c>
      <c r="B4" s="1661"/>
      <c r="C4" s="3410" t="s">
        <v>2244</v>
      </c>
      <c r="D4" s="3411"/>
      <c r="E4" s="3412" t="s">
        <v>2245</v>
      </c>
      <c r="F4" s="3413"/>
      <c r="G4" s="3410" t="s">
        <v>2246</v>
      </c>
      <c r="H4" s="3411"/>
      <c r="I4" s="3410" t="s">
        <v>2247</v>
      </c>
      <c r="J4" s="3411"/>
      <c r="K4" s="1961" t="s">
        <v>2248</v>
      </c>
      <c r="L4" s="2990"/>
      <c r="M4" s="2991"/>
      <c r="N4" s="2991"/>
      <c r="O4" s="2991"/>
      <c r="P4" s="3414" t="s">
        <v>2249</v>
      </c>
      <c r="Q4" s="3415"/>
      <c r="R4" s="3420" t="s">
        <v>2245</v>
      </c>
      <c r="S4" s="3421"/>
      <c r="T4" s="3420" t="s">
        <v>2246</v>
      </c>
      <c r="U4" s="3421"/>
      <c r="V4" s="3426" t="s">
        <v>2247</v>
      </c>
      <c r="W4" s="3426"/>
      <c r="X4" s="2070"/>
      <c r="Y4" s="3420" t="s">
        <v>2249</v>
      </c>
      <c r="Z4" s="3421"/>
      <c r="AA4" s="3407" t="s">
        <v>2245</v>
      </c>
      <c r="AB4" s="3407" t="s">
        <v>2246</v>
      </c>
      <c r="AC4" s="3407" t="s">
        <v>2247</v>
      </c>
    </row>
    <row r="5" spans="1:29" ht="15">
      <c r="A5" s="1665"/>
      <c r="B5" s="1666"/>
      <c r="C5" s="3433" t="s">
        <v>2250</v>
      </c>
      <c r="D5" s="3430"/>
      <c r="E5" s="3427" t="s">
        <v>2251</v>
      </c>
      <c r="F5" s="3428"/>
      <c r="G5" s="3433" t="s">
        <v>2252</v>
      </c>
      <c r="H5" s="3430"/>
      <c r="I5" s="3433" t="s">
        <v>2253</v>
      </c>
      <c r="J5" s="3430"/>
      <c r="K5" s="1961"/>
      <c r="L5" s="2990"/>
      <c r="M5" s="2991"/>
      <c r="N5" s="2991"/>
      <c r="O5" s="2991"/>
      <c r="P5" s="3416"/>
      <c r="Q5" s="3417"/>
      <c r="R5" s="3422"/>
      <c r="S5" s="3423"/>
      <c r="T5" s="3422"/>
      <c r="U5" s="3423"/>
      <c r="V5" s="3426"/>
      <c r="W5" s="3426"/>
      <c r="X5" s="2070"/>
      <c r="Y5" s="3422"/>
      <c r="Z5" s="3423"/>
      <c r="AA5" s="3408"/>
      <c r="AB5" s="3408"/>
      <c r="AC5" s="3408"/>
    </row>
    <row r="6" spans="1:29" ht="15.75" thickBot="1">
      <c r="A6" s="1668"/>
      <c r="B6" s="1669"/>
      <c r="C6" s="3431" t="s">
        <v>2254</v>
      </c>
      <c r="D6" s="3432"/>
      <c r="E6" s="3434" t="s">
        <v>2254</v>
      </c>
      <c r="F6" s="3435"/>
      <c r="G6" s="3431" t="s">
        <v>2254</v>
      </c>
      <c r="H6" s="3432"/>
      <c r="I6" s="3431" t="s">
        <v>2254</v>
      </c>
      <c r="J6" s="3432"/>
      <c r="K6" s="1961" t="s">
        <v>2255</v>
      </c>
      <c r="L6" s="2990"/>
      <c r="M6" s="2991"/>
      <c r="N6" s="2991"/>
      <c r="O6" s="2991"/>
      <c r="P6" s="3418"/>
      <c r="Q6" s="3419"/>
      <c r="R6" s="3422"/>
      <c r="S6" s="3423"/>
      <c r="T6" s="3424"/>
      <c r="U6" s="3425"/>
      <c r="V6" s="3426"/>
      <c r="W6" s="3426"/>
      <c r="X6" s="2070"/>
      <c r="Y6" s="3424"/>
      <c r="Z6" s="3425"/>
      <c r="AA6" s="3409"/>
      <c r="AB6" s="3409"/>
      <c r="AC6" s="3409"/>
    </row>
    <row r="7" spans="1:29" s="1682" customFormat="1" ht="15.75" thickBot="1">
      <c r="A7" s="1670" t="s">
        <v>2256</v>
      </c>
      <c r="B7" s="1671"/>
      <c r="C7" s="1672">
        <f>'数据-取费表'!B2</f>
        <v>44296</v>
      </c>
      <c r="D7" s="1673">
        <v>100</v>
      </c>
      <c r="E7" s="1674"/>
      <c r="F7" s="1675">
        <f>SUMIF(59:59,YEAR(E7)&amp;"-"&amp;MONTH(E7),60:60)</f>
        <v>0</v>
      </c>
      <c r="G7" s="1962"/>
      <c r="H7" s="1673">
        <f>SUMIF(59:59,YEAR(G7)&amp;"-"&amp;MONTH(G7),60:60)</f>
        <v>0</v>
      </c>
      <c r="I7" s="1962"/>
      <c r="J7" s="1673">
        <f>SUMIF(59:59,YEAR(I7)&amp;"-"&amp;MONTH(I7),60:60)</f>
        <v>0</v>
      </c>
      <c r="K7" s="1963"/>
      <c r="L7" s="2990"/>
      <c r="M7" s="2963"/>
      <c r="N7" s="2963"/>
      <c r="O7" s="2963"/>
      <c r="P7" s="3443" t="s">
        <v>2257</v>
      </c>
      <c r="Q7" s="3445"/>
      <c r="R7" s="1678" t="s">
        <v>25</v>
      </c>
      <c r="S7" s="1679">
        <f t="shared" ref="S7:S15" si="0">F7</f>
        <v>0</v>
      </c>
      <c r="T7" s="1678" t="s">
        <v>25</v>
      </c>
      <c r="U7" s="1679">
        <f t="shared" ref="U7:U15" si="1">H7</f>
        <v>0</v>
      </c>
      <c r="V7" s="1678" t="s">
        <v>25</v>
      </c>
      <c r="W7" s="1679">
        <f t="shared" ref="W7:W15" si="2">J7</f>
        <v>0</v>
      </c>
      <c r="X7" s="1680"/>
      <c r="Y7" s="3443" t="s">
        <v>2257</v>
      </c>
      <c r="Z7" s="3444"/>
      <c r="AA7" s="1681" t="e">
        <f>D7/F7</f>
        <v>#DIV/0!</v>
      </c>
      <c r="AB7" s="1681" t="e">
        <f>D7/H7</f>
        <v>#DIV/0!</v>
      </c>
      <c r="AC7" s="1681" t="e">
        <f>D7/J7</f>
        <v>#DIV/0!</v>
      </c>
    </row>
    <row r="8" spans="1:29" s="1682" customFormat="1" ht="15.75" thickBot="1">
      <c r="A8" s="1670" t="s">
        <v>2258</v>
      </c>
      <c r="B8" s="1671"/>
      <c r="C8" s="1683" t="s">
        <v>2259</v>
      </c>
      <c r="D8" s="1673">
        <v>100</v>
      </c>
      <c r="E8" s="1683"/>
      <c r="F8" s="1675">
        <f>SUMIF(62:62,E8,63:63)-SUMIF(62:62,C8,63:63)+100</f>
        <v>0</v>
      </c>
      <c r="G8" s="1683"/>
      <c r="H8" s="1673">
        <f>SUMIF(62:62,G8,63:63)-SUMIF(62:62,C8,63:63)+100</f>
        <v>0</v>
      </c>
      <c r="I8" s="1683"/>
      <c r="J8" s="1673">
        <f>SUMIF(62:62,I8,63:63)-SUMIF(62:62,C8,63:63)+100</f>
        <v>0</v>
      </c>
      <c r="K8" s="1963"/>
      <c r="L8" s="2990"/>
      <c r="M8" s="2963"/>
      <c r="N8" s="2963"/>
      <c r="O8" s="2963"/>
      <c r="P8" s="3443" t="s">
        <v>2260</v>
      </c>
      <c r="Q8" s="3444"/>
      <c r="R8" s="1678" t="s">
        <v>25</v>
      </c>
      <c r="S8" s="1679">
        <f t="shared" si="0"/>
        <v>0</v>
      </c>
      <c r="T8" s="1678" t="s">
        <v>25</v>
      </c>
      <c r="U8" s="1679">
        <f t="shared" si="1"/>
        <v>0</v>
      </c>
      <c r="V8" s="1678" t="s">
        <v>25</v>
      </c>
      <c r="W8" s="1679">
        <f t="shared" si="2"/>
        <v>0</v>
      </c>
      <c r="X8" s="1680"/>
      <c r="Y8" s="3443" t="s">
        <v>2260</v>
      </c>
      <c r="Z8" s="3444"/>
      <c r="AA8" s="1681" t="e">
        <f t="shared" ref="AA8:AA47" si="3">D8/F8</f>
        <v>#DIV/0!</v>
      </c>
      <c r="AB8" s="1681" t="e">
        <f t="shared" ref="AB8:AB47" si="4">D8/H8</f>
        <v>#DIV/0!</v>
      </c>
      <c r="AC8" s="1681" t="e">
        <f t="shared" ref="AC8:AC47" si="5">D8/J8</f>
        <v>#DIV/0!</v>
      </c>
    </row>
    <row r="9" spans="1:29" s="1682" customFormat="1">
      <c r="A9" s="2062" t="s">
        <v>2261</v>
      </c>
      <c r="B9" s="1684" t="s">
        <v>2262</v>
      </c>
      <c r="C9" s="1685"/>
      <c r="D9" s="1686">
        <v>100</v>
      </c>
      <c r="E9" s="1689"/>
      <c r="F9" s="1686">
        <f>SUMIF(64:64,E9,65:65)-SUMIF(64:64,C9,65:65)+100</f>
        <v>100</v>
      </c>
      <c r="G9" s="1687"/>
      <c r="H9" s="1686">
        <f>SUMIF(64:64,G9,65:65)-SUMIF(64:64,C9,65:65)+100</f>
        <v>100</v>
      </c>
      <c r="I9" s="1687"/>
      <c r="J9" s="1686">
        <f>SUMIF(64:64,I9,65:65)-SUMIF(64:64,C9,65:65)+100</f>
        <v>100</v>
      </c>
      <c r="K9" s="1963"/>
      <c r="L9" s="2990"/>
      <c r="M9" s="2963"/>
      <c r="N9" s="2963"/>
      <c r="O9" s="2963"/>
      <c r="P9" s="3447" t="s">
        <v>2263</v>
      </c>
      <c r="Q9" s="2908" t="str">
        <f t="shared" ref="Q9:Q15" si="6">B9</f>
        <v>用途</v>
      </c>
      <c r="R9" s="1678" t="s">
        <v>25</v>
      </c>
      <c r="S9" s="1679">
        <f t="shared" si="0"/>
        <v>100</v>
      </c>
      <c r="T9" s="1678" t="s">
        <v>25</v>
      </c>
      <c r="U9" s="1679">
        <f t="shared" si="1"/>
        <v>100</v>
      </c>
      <c r="V9" s="1678" t="s">
        <v>25</v>
      </c>
      <c r="W9" s="1679">
        <f t="shared" si="2"/>
        <v>100</v>
      </c>
      <c r="X9" s="1680"/>
      <c r="Y9" s="3337" t="s">
        <v>2264</v>
      </c>
      <c r="Z9" s="1690" t="str">
        <f t="shared" ref="Z9:Z15" si="7">Q9</f>
        <v>用途</v>
      </c>
      <c r="AA9" s="1681">
        <f t="shared" si="3"/>
        <v>1</v>
      </c>
      <c r="AB9" s="1681">
        <f t="shared" si="4"/>
        <v>1</v>
      </c>
      <c r="AC9" s="1681">
        <f t="shared" si="5"/>
        <v>1</v>
      </c>
    </row>
    <row r="10" spans="1:29" s="1698" customFormat="1" ht="27">
      <c r="A10" s="1691"/>
      <c r="B10" s="1692" t="s">
        <v>2265</v>
      </c>
      <c r="C10" s="1693"/>
      <c r="D10" s="1694">
        <v>100</v>
      </c>
      <c r="E10" s="1693"/>
      <c r="F10" s="1694">
        <f>SUMIF(66:66,E10,67:67)-SUMIF(66:66,C10,67:67)+100</f>
        <v>100</v>
      </c>
      <c r="G10" s="1695"/>
      <c r="H10" s="1694">
        <f>SUMIF(66:66,G10,67:67)-SUMIF(66:66,C10,67:67)+100</f>
        <v>100</v>
      </c>
      <c r="I10" s="1693"/>
      <c r="J10" s="1694">
        <f>SUMIF(66:66,I10,67:67)-SUMIF(66:66,C10,67:67)+100</f>
        <v>100</v>
      </c>
      <c r="K10" s="1988"/>
      <c r="L10" s="2992"/>
      <c r="M10" s="2993"/>
      <c r="N10" s="2993"/>
      <c r="O10" s="2993"/>
      <c r="P10" s="3447"/>
      <c r="Q10" s="2908" t="str">
        <f t="shared" si="6"/>
        <v>土地使用年限（年）</v>
      </c>
      <c r="R10" s="1678" t="s">
        <v>25</v>
      </c>
      <c r="S10" s="1679">
        <f t="shared" si="0"/>
        <v>100</v>
      </c>
      <c r="T10" s="1678" t="s">
        <v>25</v>
      </c>
      <c r="U10" s="1679">
        <f t="shared" si="1"/>
        <v>100</v>
      </c>
      <c r="V10" s="1678" t="s">
        <v>25</v>
      </c>
      <c r="W10" s="1679">
        <f t="shared" si="2"/>
        <v>100</v>
      </c>
      <c r="X10" s="1680"/>
      <c r="Y10" s="3337"/>
      <c r="Z10" s="1690" t="str">
        <f t="shared" si="7"/>
        <v>土地使用年限（年）</v>
      </c>
      <c r="AA10" s="1681">
        <f t="shared" si="3"/>
        <v>1</v>
      </c>
      <c r="AB10" s="1681">
        <f t="shared" si="4"/>
        <v>1</v>
      </c>
      <c r="AC10" s="1681">
        <f t="shared" si="5"/>
        <v>1</v>
      </c>
    </row>
    <row r="11" spans="1:29" ht="15">
      <c r="A11" s="1699"/>
      <c r="B11" s="1692" t="s">
        <v>2266</v>
      </c>
      <c r="C11" s="1700"/>
      <c r="D11" s="1694">
        <v>100</v>
      </c>
      <c r="E11" s="1700"/>
      <c r="F11" s="1694" t="e">
        <f>LOOKUP(E11,69:69,70:70)-LOOKUP(C11,69:69,70:70)+100</f>
        <v>#N/A</v>
      </c>
      <c r="G11" s="1701"/>
      <c r="H11" s="1694" t="e">
        <f>LOOKUP(G11,69:69,70:70)-LOOKUP(C11,69:69,70:70)+100</f>
        <v>#N/A</v>
      </c>
      <c r="I11" s="1700"/>
      <c r="J11" s="1694" t="e">
        <f>LOOKUP(I11,69:69,70:70)-LOOKUP(C11,69:69,70:70)+100</f>
        <v>#N/A</v>
      </c>
      <c r="K11" s="1988"/>
      <c r="L11" s="2994"/>
      <c r="M11" s="2991"/>
      <c r="N11" s="2991"/>
      <c r="O11" s="2991"/>
      <c r="P11" s="3447"/>
      <c r="Q11" s="2908" t="str">
        <f t="shared" si="6"/>
        <v>容积率</v>
      </c>
      <c r="R11" s="1678" t="s">
        <v>25</v>
      </c>
      <c r="S11" s="1679" t="e">
        <f t="shared" si="0"/>
        <v>#N/A</v>
      </c>
      <c r="T11" s="1678" t="s">
        <v>25</v>
      </c>
      <c r="U11" s="1679" t="e">
        <f t="shared" si="1"/>
        <v>#N/A</v>
      </c>
      <c r="V11" s="1678" t="s">
        <v>25</v>
      </c>
      <c r="W11" s="1679" t="e">
        <f t="shared" si="2"/>
        <v>#N/A</v>
      </c>
      <c r="X11" s="1680"/>
      <c r="Y11" s="3337"/>
      <c r="Z11" s="1690" t="str">
        <f t="shared" si="7"/>
        <v>容积率</v>
      </c>
      <c r="AA11" s="1681" t="e">
        <f t="shared" si="3"/>
        <v>#N/A</v>
      </c>
      <c r="AB11" s="1681" t="e">
        <f t="shared" si="4"/>
        <v>#N/A</v>
      </c>
      <c r="AC11" s="1681" t="e">
        <f t="shared" si="5"/>
        <v>#N/A</v>
      </c>
    </row>
    <row r="12" spans="1:29" s="1682" customFormat="1" ht="15">
      <c r="A12" s="1702"/>
      <c r="B12" s="1703">
        <v>111</v>
      </c>
      <c r="C12" s="1704"/>
      <c r="D12" s="1705">
        <v>100</v>
      </c>
      <c r="E12" s="1704"/>
      <c r="F12" s="1694">
        <f>SUMIF(71:71,E12,72:72)-SUMIF(71:71,C12,72:72)+100</f>
        <v>100</v>
      </c>
      <c r="G12" s="2486"/>
      <c r="H12" s="1694">
        <f>SUMIF(71:71,G12,72:72)-SUMIF(71:71,C12,72:72)+100</f>
        <v>100</v>
      </c>
      <c r="I12" s="1704"/>
      <c r="J12" s="1694">
        <f>SUMIF(71:71,I12,72:72)-SUMIF(71:71,C12,72:72)+100</f>
        <v>100</v>
      </c>
      <c r="K12" s="1985"/>
      <c r="L12" s="2990"/>
      <c r="M12" s="2963"/>
      <c r="N12" s="2963"/>
      <c r="O12" s="2963"/>
      <c r="P12" s="3447"/>
      <c r="Q12" s="2908">
        <f t="shared" si="6"/>
        <v>111</v>
      </c>
      <c r="R12" s="1678" t="s">
        <v>25</v>
      </c>
      <c r="S12" s="1679">
        <f t="shared" si="0"/>
        <v>100</v>
      </c>
      <c r="T12" s="1678" t="s">
        <v>25</v>
      </c>
      <c r="U12" s="1679">
        <f t="shared" si="1"/>
        <v>100</v>
      </c>
      <c r="V12" s="1678" t="s">
        <v>25</v>
      </c>
      <c r="W12" s="1679">
        <f t="shared" si="2"/>
        <v>100</v>
      </c>
      <c r="X12" s="1680"/>
      <c r="Y12" s="3337"/>
      <c r="Z12" s="1690">
        <f t="shared" si="7"/>
        <v>111</v>
      </c>
      <c r="AA12" s="1681">
        <f>D12/F12</f>
        <v>1</v>
      </c>
      <c r="AB12" s="1681">
        <f>D12/H12</f>
        <v>1</v>
      </c>
      <c r="AC12" s="1681">
        <f>D12/J12</f>
        <v>1</v>
      </c>
    </row>
    <row r="13" spans="1:29" ht="15">
      <c r="A13" s="1699"/>
      <c r="B13" s="1703">
        <v>111</v>
      </c>
      <c r="C13" s="1707"/>
      <c r="D13" s="1708">
        <v>100</v>
      </c>
      <c r="E13" s="1704"/>
      <c r="F13" s="1694">
        <f>SUMIF(73:73,E13,74:74)-SUMIF(73:73,C13,74:74)+100</f>
        <v>100</v>
      </c>
      <c r="G13" s="2486"/>
      <c r="H13" s="1708">
        <f>SUMIF(73:73,G13,74:74)-SUMIF(73:73,C13,74:74)+100</f>
        <v>100</v>
      </c>
      <c r="I13" s="1704"/>
      <c r="J13" s="1708">
        <f>SUMIF(73:73,I13,74:74)-SUMIF(73:73,C13,74:74)+100</f>
        <v>100</v>
      </c>
      <c r="K13" s="1985"/>
      <c r="L13" s="2995"/>
      <c r="M13" s="2991"/>
      <c r="N13" s="2991"/>
      <c r="O13" s="2991"/>
      <c r="P13" s="3447"/>
      <c r="Q13" s="2908">
        <f t="shared" si="6"/>
        <v>111</v>
      </c>
      <c r="R13" s="1678" t="s">
        <v>25</v>
      </c>
      <c r="S13" s="1679">
        <f t="shared" si="0"/>
        <v>100</v>
      </c>
      <c r="T13" s="1678" t="s">
        <v>25</v>
      </c>
      <c r="U13" s="1679">
        <f t="shared" si="1"/>
        <v>100</v>
      </c>
      <c r="V13" s="1678" t="s">
        <v>25</v>
      </c>
      <c r="W13" s="1679">
        <f t="shared" si="2"/>
        <v>100</v>
      </c>
      <c r="X13" s="1680"/>
      <c r="Y13" s="3337"/>
      <c r="Z13" s="1690">
        <f t="shared" si="7"/>
        <v>111</v>
      </c>
      <c r="AA13" s="1681">
        <f t="shared" si="3"/>
        <v>1</v>
      </c>
      <c r="AB13" s="1681">
        <f t="shared" si="4"/>
        <v>1</v>
      </c>
      <c r="AC13" s="1681">
        <f t="shared" si="5"/>
        <v>1</v>
      </c>
    </row>
    <row r="14" spans="1:29" ht="15.75" thickBot="1">
      <c r="A14" s="1709"/>
      <c r="B14" s="1710">
        <v>111</v>
      </c>
      <c r="C14" s="1711"/>
      <c r="D14" s="1712">
        <v>100</v>
      </c>
      <c r="E14" s="2487"/>
      <c r="F14" s="1712">
        <f>SUMIF(75:75,E14,76:76)-SUMIF(75:75,C14,76:76)+100</f>
        <v>100</v>
      </c>
      <c r="G14" s="2486"/>
      <c r="H14" s="1712">
        <f>SUMIF(75:75,G14,76:76)-SUMIF(75:75,C14,76:76)+100</f>
        <v>100</v>
      </c>
      <c r="I14" s="1704"/>
      <c r="J14" s="1712">
        <f>SUMIF(75:75,I14,76:76)-SUMIF(75:75,C14,76:76)+100</f>
        <v>100</v>
      </c>
      <c r="K14" s="1985"/>
      <c r="L14" s="2995"/>
      <c r="M14" s="2991"/>
      <c r="N14" s="2991"/>
      <c r="O14" s="2991"/>
      <c r="P14" s="3447"/>
      <c r="Q14" s="2908">
        <f t="shared" si="6"/>
        <v>111</v>
      </c>
      <c r="R14" s="1678" t="s">
        <v>25</v>
      </c>
      <c r="S14" s="1679">
        <f t="shared" si="0"/>
        <v>100</v>
      </c>
      <c r="T14" s="1678" t="s">
        <v>25</v>
      </c>
      <c r="U14" s="1679">
        <f t="shared" si="1"/>
        <v>100</v>
      </c>
      <c r="V14" s="1678" t="s">
        <v>25</v>
      </c>
      <c r="W14" s="1679">
        <f t="shared" si="2"/>
        <v>100</v>
      </c>
      <c r="X14" s="1680"/>
      <c r="Y14" s="3337"/>
      <c r="Z14" s="1690">
        <f t="shared" si="7"/>
        <v>111</v>
      </c>
      <c r="AA14" s="1681">
        <f t="shared" si="3"/>
        <v>1</v>
      </c>
      <c r="AB14" s="1681">
        <f t="shared" si="4"/>
        <v>1</v>
      </c>
      <c r="AC14" s="1681">
        <f t="shared" si="5"/>
        <v>1</v>
      </c>
    </row>
    <row r="15" spans="1:29" ht="71.25">
      <c r="A15" s="1714" t="s">
        <v>2267</v>
      </c>
      <c r="B15" s="2488" t="s">
        <v>2381</v>
      </c>
      <c r="C15" s="1969" t="str">
        <f>估价对象房地状况!C5</f>
        <v>估价对象位于XX商圈，周边办公楼项目较多，入驻率高，办公集聚程度较好</v>
      </c>
      <c r="D15" s="1717">
        <v>100</v>
      </c>
      <c r="E15" s="1720"/>
      <c r="F15" s="1717">
        <f>SUMIF(77:77,E16,78:78)-SUMIF(77:77,C16,78:78)+100</f>
        <v>100</v>
      </c>
      <c r="G15" s="1718"/>
      <c r="H15" s="1717">
        <f>SUMIF(77:77,G16,78:78)-SUMIF(77:77,C16,78:78)+100</f>
        <v>100</v>
      </c>
      <c r="I15" s="1718"/>
      <c r="J15" s="1717">
        <f>SUMIF(77:77,I16,78:78)-SUMIF(77:77,C16,78:78)+100</f>
        <v>100</v>
      </c>
      <c r="K15" s="2468"/>
      <c r="L15" s="2995"/>
      <c r="M15" s="2991"/>
      <c r="N15" s="2991"/>
      <c r="O15" s="2991"/>
      <c r="P15" s="3436" t="s">
        <v>2268</v>
      </c>
      <c r="Q15" s="2909" t="str">
        <f t="shared" si="6"/>
        <v>办公集聚程度</v>
      </c>
      <c r="R15" s="1722" t="s">
        <v>25</v>
      </c>
      <c r="S15" s="1723">
        <f t="shared" si="0"/>
        <v>100</v>
      </c>
      <c r="T15" s="1722" t="s">
        <v>25</v>
      </c>
      <c r="U15" s="1723">
        <f t="shared" si="1"/>
        <v>100</v>
      </c>
      <c r="V15" s="1722" t="s">
        <v>25</v>
      </c>
      <c r="W15" s="1723">
        <f t="shared" si="2"/>
        <v>100</v>
      </c>
      <c r="X15" s="2070"/>
      <c r="Y15" s="3436" t="s">
        <v>2268</v>
      </c>
      <c r="Z15" s="2074" t="str">
        <f t="shared" si="7"/>
        <v>办公集聚程度</v>
      </c>
      <c r="AA15" s="2065">
        <f t="shared" si="3"/>
        <v>1</v>
      </c>
      <c r="AB15" s="2065">
        <f t="shared" si="4"/>
        <v>1</v>
      </c>
      <c r="AC15" s="2065">
        <f t="shared" si="5"/>
        <v>1</v>
      </c>
    </row>
    <row r="16" spans="1:29" ht="15">
      <c r="A16" s="1699"/>
      <c r="B16" s="2489"/>
      <c r="C16" s="1971"/>
      <c r="D16" s="1728"/>
      <c r="E16" s="1727"/>
      <c r="F16" s="1728"/>
      <c r="G16" s="1971"/>
      <c r="H16" s="1732"/>
      <c r="I16" s="1727"/>
      <c r="J16" s="1728"/>
      <c r="K16" s="2469"/>
      <c r="L16" s="2995"/>
      <c r="M16" s="2991"/>
      <c r="N16" s="2991"/>
      <c r="O16" s="2991"/>
      <c r="P16" s="3437"/>
      <c r="Q16" s="2909"/>
      <c r="R16" s="1722"/>
      <c r="S16" s="1723"/>
      <c r="T16" s="1722"/>
      <c r="U16" s="1723"/>
      <c r="V16" s="1722"/>
      <c r="W16" s="1723"/>
      <c r="X16" s="2070"/>
      <c r="Y16" s="3437"/>
      <c r="Z16" s="2074"/>
      <c r="AA16" s="2065">
        <v>1</v>
      </c>
      <c r="AB16" s="2065">
        <v>1</v>
      </c>
      <c r="AC16" s="2065">
        <v>1</v>
      </c>
    </row>
    <row r="17" spans="1:29" ht="15">
      <c r="A17" s="1699"/>
      <c r="B17" s="2490" t="s">
        <v>1706</v>
      </c>
      <c r="C17" s="1976" t="str">
        <f>估价对象房地状况!C6</f>
        <v>较好</v>
      </c>
      <c r="D17" s="1732">
        <v>100</v>
      </c>
      <c r="E17" s="1738"/>
      <c r="F17" s="1732">
        <f>SUMIF(79:79,E18,80:80)-SUMIF(79:79,C18,80:80)+100</f>
        <v>100</v>
      </c>
      <c r="G17" s="1736"/>
      <c r="H17" s="1739">
        <f>SUMIF(79:79,G18,80:80)-SUMIF(79:79,C18,80:80)+100</f>
        <v>100</v>
      </c>
      <c r="I17" s="1736"/>
      <c r="J17" s="1739">
        <f>SUMIF(79:79,I18,80:80)-SUMIF(79:79,C18,80:80)+100</f>
        <v>100</v>
      </c>
      <c r="K17" s="2468"/>
      <c r="L17" s="2995"/>
      <c r="M17" s="2991"/>
      <c r="N17" s="2991"/>
      <c r="O17" s="2991"/>
      <c r="P17" s="3437"/>
      <c r="Q17" s="2909" t="str">
        <f>B17</f>
        <v>交通便捷度</v>
      </c>
      <c r="R17" s="1722" t="s">
        <v>25</v>
      </c>
      <c r="S17" s="1723">
        <f>F17</f>
        <v>100</v>
      </c>
      <c r="T17" s="1722" t="s">
        <v>25</v>
      </c>
      <c r="U17" s="1723">
        <f>H17</f>
        <v>100</v>
      </c>
      <c r="V17" s="1722" t="s">
        <v>25</v>
      </c>
      <c r="W17" s="1723">
        <f>J17</f>
        <v>100</v>
      </c>
      <c r="X17" s="2070"/>
      <c r="Y17" s="3437"/>
      <c r="Z17" s="2074" t="str">
        <f>Q17</f>
        <v>交通便捷度</v>
      </c>
      <c r="AA17" s="2065">
        <f t="shared" si="3"/>
        <v>1</v>
      </c>
      <c r="AB17" s="2065">
        <f t="shared" si="4"/>
        <v>1</v>
      </c>
      <c r="AC17" s="2065">
        <f t="shared" si="5"/>
        <v>1</v>
      </c>
    </row>
    <row r="18" spans="1:29" ht="15">
      <c r="A18" s="1699"/>
      <c r="B18" s="2491"/>
      <c r="C18" s="1975"/>
      <c r="D18" s="1732"/>
      <c r="E18" s="1743"/>
      <c r="F18" s="1732"/>
      <c r="G18" s="1742"/>
      <c r="H18" s="1728"/>
      <c r="I18" s="1742"/>
      <c r="J18" s="1728"/>
      <c r="K18" s="2469"/>
      <c r="L18" s="2995"/>
      <c r="M18" s="2991"/>
      <c r="N18" s="2991"/>
      <c r="O18" s="2991"/>
      <c r="P18" s="3437"/>
      <c r="Q18" s="2909"/>
      <c r="R18" s="1722"/>
      <c r="S18" s="1723"/>
      <c r="T18" s="1722"/>
      <c r="U18" s="1723"/>
      <c r="V18" s="1722"/>
      <c r="W18" s="1723"/>
      <c r="X18" s="2070"/>
      <c r="Y18" s="3437"/>
      <c r="Z18" s="2074"/>
      <c r="AA18" s="2065">
        <v>1</v>
      </c>
      <c r="AB18" s="2065">
        <v>1</v>
      </c>
      <c r="AC18" s="2065">
        <v>1</v>
      </c>
    </row>
    <row r="19" spans="1:29" ht="15">
      <c r="A19" s="1699"/>
      <c r="B19" s="2490" t="s">
        <v>2382</v>
      </c>
      <c r="C19" s="1976" t="str">
        <f>估价对象房地状况!C7</f>
        <v>较好</v>
      </c>
      <c r="D19" s="1739">
        <v>100</v>
      </c>
      <c r="E19" s="1746"/>
      <c r="F19" s="1739">
        <f>SUMIF(81:81,E20,82:82)-SUMIF(81:81,C20,82:82)+100</f>
        <v>100</v>
      </c>
      <c r="G19" s="1744"/>
      <c r="H19" s="1732">
        <f>SUMIF(81:81,G20,82:82)-SUMIF(81:81,C20,82:82)+100</f>
        <v>100</v>
      </c>
      <c r="I19" s="1744"/>
      <c r="J19" s="1732">
        <f>SUMIF(81:81,I20,82:82)-SUMIF(81:81,C20,82:82)+100</f>
        <v>100</v>
      </c>
      <c r="K19" s="2468"/>
      <c r="L19" s="2995"/>
      <c r="M19" s="2991"/>
      <c r="N19" s="2991"/>
      <c r="O19" s="2991"/>
      <c r="P19" s="3437"/>
      <c r="Q19" s="2909" t="str">
        <f>B19</f>
        <v>公共配套设施</v>
      </c>
      <c r="R19" s="1722" t="s">
        <v>25</v>
      </c>
      <c r="S19" s="1723">
        <f>F19</f>
        <v>100</v>
      </c>
      <c r="T19" s="1722" t="s">
        <v>25</v>
      </c>
      <c r="U19" s="1723">
        <f>H19</f>
        <v>100</v>
      </c>
      <c r="V19" s="1722" t="s">
        <v>25</v>
      </c>
      <c r="W19" s="1723">
        <f>J19</f>
        <v>100</v>
      </c>
      <c r="X19" s="2070"/>
      <c r="Y19" s="3437"/>
      <c r="Z19" s="2074" t="str">
        <f>Q19</f>
        <v>公共配套设施</v>
      </c>
      <c r="AA19" s="2065">
        <f t="shared" si="3"/>
        <v>1</v>
      </c>
      <c r="AB19" s="2065">
        <f t="shared" si="4"/>
        <v>1</v>
      </c>
      <c r="AC19" s="2065">
        <f t="shared" si="5"/>
        <v>1</v>
      </c>
    </row>
    <row r="20" spans="1:29" ht="15">
      <c r="A20" s="1699"/>
      <c r="B20" s="2491"/>
      <c r="C20" s="1971"/>
      <c r="D20" s="1728"/>
      <c r="E20" s="1731"/>
      <c r="F20" s="1728"/>
      <c r="G20" s="1729"/>
      <c r="H20" s="1728"/>
      <c r="I20" s="1729"/>
      <c r="J20" s="1728"/>
      <c r="K20" s="2469"/>
      <c r="L20" s="2995"/>
      <c r="M20" s="2991"/>
      <c r="N20" s="2991"/>
      <c r="O20" s="2991"/>
      <c r="P20" s="3437"/>
      <c r="Q20" s="2909"/>
      <c r="R20" s="1722"/>
      <c r="S20" s="1723"/>
      <c r="T20" s="1722"/>
      <c r="U20" s="1723"/>
      <c r="V20" s="1722"/>
      <c r="W20" s="1723"/>
      <c r="X20" s="2070"/>
      <c r="Y20" s="3437"/>
      <c r="Z20" s="2074"/>
      <c r="AA20" s="2065">
        <v>1</v>
      </c>
      <c r="AB20" s="2065">
        <v>1</v>
      </c>
      <c r="AC20" s="2065">
        <v>1</v>
      </c>
    </row>
    <row r="21" spans="1:29" ht="15">
      <c r="A21" s="1699"/>
      <c r="B21" s="2492" t="s">
        <v>2383</v>
      </c>
      <c r="C21" s="1976" t="str">
        <f>估价对象房地状况!C8</f>
        <v>七通</v>
      </c>
      <c r="D21" s="1739">
        <v>100</v>
      </c>
      <c r="E21" s="1746"/>
      <c r="F21" s="1739">
        <f>SUMIF(83:83,E22,84:84)-SUMIF(83:83,C22,84:84)+100</f>
        <v>100</v>
      </c>
      <c r="G21" s="1744"/>
      <c r="H21" s="1732">
        <f>SUMIF(83:83,G22,84:84)-SUMIF(83:83,C22,84:84)+100</f>
        <v>100</v>
      </c>
      <c r="I21" s="1744"/>
      <c r="J21" s="1732">
        <f>SUMIF(83:83,I22,84:84)-SUMIF(83:83,C22,84:84)+100</f>
        <v>100</v>
      </c>
      <c r="K21" s="2468"/>
      <c r="L21" s="2995"/>
      <c r="M21" s="2991"/>
      <c r="N21" s="2991"/>
      <c r="O21" s="2991"/>
      <c r="P21" s="3437"/>
      <c r="Q21" s="2909" t="str">
        <f>B21</f>
        <v>基础设施水平</v>
      </c>
      <c r="R21" s="1722" t="s">
        <v>25</v>
      </c>
      <c r="S21" s="1723">
        <f>F21</f>
        <v>100</v>
      </c>
      <c r="T21" s="1722" t="s">
        <v>25</v>
      </c>
      <c r="U21" s="1723">
        <f>H21</f>
        <v>100</v>
      </c>
      <c r="V21" s="1722" t="s">
        <v>25</v>
      </c>
      <c r="W21" s="1723">
        <f>J21</f>
        <v>100</v>
      </c>
      <c r="X21" s="2070"/>
      <c r="Y21" s="3437"/>
      <c r="Z21" s="2074" t="str">
        <f>Q21</f>
        <v>基础设施水平</v>
      </c>
      <c r="AA21" s="2065">
        <f t="shared" ref="AA21" si="8">D21/F21</f>
        <v>1</v>
      </c>
      <c r="AB21" s="2065">
        <f t="shared" ref="AB21" si="9">D21/H21</f>
        <v>1</v>
      </c>
      <c r="AC21" s="2065">
        <f t="shared" ref="AC21" si="10">D21/J21</f>
        <v>1</v>
      </c>
    </row>
    <row r="22" spans="1:29" ht="15">
      <c r="A22" s="1699"/>
      <c r="B22" s="2492"/>
      <c r="C22" s="1975"/>
      <c r="D22" s="1728"/>
      <c r="E22" s="1727"/>
      <c r="F22" s="1728"/>
      <c r="G22" s="1971"/>
      <c r="H22" s="1728"/>
      <c r="I22" s="1971"/>
      <c r="J22" s="1728"/>
      <c r="K22" s="2470"/>
      <c r="L22" s="2995"/>
      <c r="M22" s="2991"/>
      <c r="N22" s="2991"/>
      <c r="O22" s="2991"/>
      <c r="P22" s="3437"/>
      <c r="Q22" s="2909"/>
      <c r="R22" s="1722"/>
      <c r="S22" s="1723"/>
      <c r="T22" s="1722"/>
      <c r="U22" s="1723"/>
      <c r="V22" s="1722"/>
      <c r="W22" s="1723"/>
      <c r="X22" s="2070"/>
      <c r="Y22" s="3437"/>
      <c r="Z22" s="2074"/>
      <c r="AA22" s="2065">
        <v>1</v>
      </c>
      <c r="AB22" s="2065">
        <v>1</v>
      </c>
      <c r="AC22" s="2065">
        <v>1</v>
      </c>
    </row>
    <row r="23" spans="1:29" ht="15">
      <c r="A23" s="1699"/>
      <c r="B23" s="2490" t="s">
        <v>2384</v>
      </c>
      <c r="C23" s="1976" t="str">
        <f>估价对象房地状况!C9</f>
        <v>较好</v>
      </c>
      <c r="D23" s="1732">
        <v>100</v>
      </c>
      <c r="E23" s="1738"/>
      <c r="F23" s="1732">
        <f>SUMIF(85:85,E24,86:86)-SUMIF(85:85,C24,86:86)+100</f>
        <v>100</v>
      </c>
      <c r="G23" s="1736"/>
      <c r="H23" s="1732">
        <f>SUMIF(85:85,G24,86:86)-SUMIF(85:85,C24,86:86)+100</f>
        <v>100</v>
      </c>
      <c r="I23" s="1736"/>
      <c r="J23" s="1732">
        <f>SUMIF(85:85,I24,86:86)-SUMIF(85:85,C24,86:86)+100</f>
        <v>100</v>
      </c>
      <c r="K23" s="2468"/>
      <c r="L23" s="2995"/>
      <c r="M23" s="2991"/>
      <c r="N23" s="2991"/>
      <c r="O23" s="2991"/>
      <c r="P23" s="3437"/>
      <c r="Q23" s="2909" t="str">
        <f>B23</f>
        <v>环境质量</v>
      </c>
      <c r="R23" s="1722" t="s">
        <v>25</v>
      </c>
      <c r="S23" s="1723">
        <f>F23</f>
        <v>100</v>
      </c>
      <c r="T23" s="1722" t="s">
        <v>25</v>
      </c>
      <c r="U23" s="1723">
        <f>H23</f>
        <v>100</v>
      </c>
      <c r="V23" s="1722" t="s">
        <v>25</v>
      </c>
      <c r="W23" s="1723">
        <f>J23</f>
        <v>100</v>
      </c>
      <c r="X23" s="2070"/>
      <c r="Y23" s="3437"/>
      <c r="Z23" s="2074" t="str">
        <f>Q23</f>
        <v>环境质量</v>
      </c>
      <c r="AA23" s="2065">
        <f t="shared" si="3"/>
        <v>1</v>
      </c>
      <c r="AB23" s="2065">
        <f t="shared" si="4"/>
        <v>1</v>
      </c>
      <c r="AC23" s="2065">
        <f t="shared" si="5"/>
        <v>1</v>
      </c>
    </row>
    <row r="24" spans="1:29" ht="15">
      <c r="A24" s="1699"/>
      <c r="B24" s="2492"/>
      <c r="C24" s="1971"/>
      <c r="D24" s="1728"/>
      <c r="E24" s="1731"/>
      <c r="F24" s="1728"/>
      <c r="G24" s="1729"/>
      <c r="H24" s="1728"/>
      <c r="I24" s="1729"/>
      <c r="J24" s="1728"/>
      <c r="K24" s="2469"/>
      <c r="L24" s="2995"/>
      <c r="M24" s="2991"/>
      <c r="N24" s="2991"/>
      <c r="O24" s="2991"/>
      <c r="P24" s="3437"/>
      <c r="Q24" s="2909"/>
      <c r="R24" s="1722"/>
      <c r="S24" s="1723"/>
      <c r="T24" s="1722"/>
      <c r="U24" s="1723"/>
      <c r="V24" s="1722"/>
      <c r="W24" s="1723"/>
      <c r="X24" s="2070"/>
      <c r="Y24" s="3437"/>
      <c r="Z24" s="2074"/>
      <c r="AA24" s="2065">
        <v>1</v>
      </c>
      <c r="AB24" s="2065">
        <v>1</v>
      </c>
      <c r="AC24" s="2065">
        <v>1</v>
      </c>
    </row>
    <row r="25" spans="1:29" ht="27">
      <c r="A25" s="1665"/>
      <c r="B25" s="2490" t="s">
        <v>2385</v>
      </c>
      <c r="C25" s="2493"/>
      <c r="D25" s="1708">
        <v>100</v>
      </c>
      <c r="E25" s="1707"/>
      <c r="F25" s="1708">
        <f>SUMIF(87:87,E26,88:88)-SUMIF(87:87,C26,88:88)+100</f>
        <v>100</v>
      </c>
      <c r="G25" s="2493"/>
      <c r="H25" s="1708">
        <f>SUMIF(87:87,G26,88:88)-SUMIF(87:87,C26,88:88)+100</f>
        <v>100</v>
      </c>
      <c r="I25" s="1707"/>
      <c r="J25" s="1708">
        <f>SUMIF(87:87,I26,88:88)-SUMIF(87:87,C26,88:88)+100</f>
        <v>100</v>
      </c>
      <c r="K25" s="2468"/>
      <c r="L25" s="2995"/>
      <c r="M25" s="2991"/>
      <c r="N25" s="2991"/>
      <c r="O25" s="2991"/>
      <c r="P25" s="3437"/>
      <c r="Q25" s="2909" t="str">
        <f>B25</f>
        <v>毗邻道路的类型与等级</v>
      </c>
      <c r="R25" s="1722" t="s">
        <v>25</v>
      </c>
      <c r="S25" s="1723">
        <f>F25</f>
        <v>100</v>
      </c>
      <c r="T25" s="1722" t="s">
        <v>25</v>
      </c>
      <c r="U25" s="1723">
        <f>H25</f>
        <v>100</v>
      </c>
      <c r="V25" s="1722" t="s">
        <v>25</v>
      </c>
      <c r="W25" s="1723">
        <f>J25</f>
        <v>100</v>
      </c>
      <c r="X25" s="2070"/>
      <c r="Y25" s="3437"/>
      <c r="Z25" s="2074" t="str">
        <f>Q25</f>
        <v>毗邻道路的类型与等级</v>
      </c>
      <c r="AA25" s="2065">
        <f t="shared" si="3"/>
        <v>1</v>
      </c>
      <c r="AB25" s="2065">
        <f t="shared" si="4"/>
        <v>1</v>
      </c>
      <c r="AC25" s="2065">
        <f t="shared" si="5"/>
        <v>1</v>
      </c>
    </row>
    <row r="26" spans="1:29" ht="15">
      <c r="A26" s="1665"/>
      <c r="B26" s="2491"/>
      <c r="C26" s="1979"/>
      <c r="D26" s="1708"/>
      <c r="E26" s="1987"/>
      <c r="F26" s="1708"/>
      <c r="G26" s="1979"/>
      <c r="H26" s="1708"/>
      <c r="I26" s="1987"/>
      <c r="J26" s="1708"/>
      <c r="K26" s="2469"/>
      <c r="L26" s="2995"/>
      <c r="M26" s="2991"/>
      <c r="N26" s="2991"/>
      <c r="O26" s="2991"/>
      <c r="P26" s="3437"/>
      <c r="Q26" s="2909"/>
      <c r="R26" s="1722"/>
      <c r="S26" s="1723"/>
      <c r="T26" s="1722"/>
      <c r="U26" s="1723"/>
      <c r="V26" s="1722"/>
      <c r="W26" s="1723"/>
      <c r="X26" s="2070"/>
      <c r="Y26" s="3437"/>
      <c r="Z26" s="2074"/>
      <c r="AA26" s="2065">
        <v>1</v>
      </c>
      <c r="AB26" s="2065">
        <v>1</v>
      </c>
      <c r="AC26" s="2065">
        <v>1</v>
      </c>
    </row>
    <row r="27" spans="1:29" ht="15">
      <c r="A27" s="1699"/>
      <c r="B27" s="2491" t="s">
        <v>2358</v>
      </c>
      <c r="C27" s="1979"/>
      <c r="D27" s="1708">
        <v>100</v>
      </c>
      <c r="E27" s="1987"/>
      <c r="F27" s="1708">
        <f>SUMIF(89:89,E27,90:90)-SUMIF(89:89,C27,90:90)+100</f>
        <v>100</v>
      </c>
      <c r="G27" s="1979"/>
      <c r="H27" s="1708">
        <f>SUMIF(89:89,G27,90:90)-SUMIF(89:89,C27,90:90)+100</f>
        <v>100</v>
      </c>
      <c r="I27" s="1987"/>
      <c r="J27" s="1708">
        <f>SUMIF(89:89,I27,90:90)-SUMIF(89:89,C27,90:90)+100</f>
        <v>100</v>
      </c>
      <c r="K27" s="1988"/>
      <c r="L27" s="2995"/>
      <c r="M27" s="2991"/>
      <c r="N27" s="2991"/>
      <c r="O27" s="2991"/>
      <c r="P27" s="3437"/>
      <c r="Q27" s="2909" t="str">
        <f t="shared" ref="Q27:Q47" si="11">B27</f>
        <v>楼层</v>
      </c>
      <c r="R27" s="1722" t="s">
        <v>25</v>
      </c>
      <c r="S27" s="1723">
        <f>F27</f>
        <v>100</v>
      </c>
      <c r="T27" s="1722" t="s">
        <v>25</v>
      </c>
      <c r="U27" s="1723">
        <f>H27</f>
        <v>100</v>
      </c>
      <c r="V27" s="1722" t="s">
        <v>25</v>
      </c>
      <c r="W27" s="1723">
        <f>J27</f>
        <v>100</v>
      </c>
      <c r="X27" s="2070"/>
      <c r="Y27" s="3437"/>
      <c r="Z27" s="2074" t="str">
        <f>Q27</f>
        <v>楼层</v>
      </c>
      <c r="AA27" s="2065">
        <f t="shared" si="3"/>
        <v>1</v>
      </c>
      <c r="AB27" s="2065">
        <f t="shared" si="4"/>
        <v>1</v>
      </c>
      <c r="AC27" s="2065">
        <f t="shared" si="5"/>
        <v>1</v>
      </c>
    </row>
    <row r="28" spans="1:29" s="1682" customFormat="1" ht="15">
      <c r="A28" s="1702"/>
      <c r="B28" s="2490" t="s">
        <v>2386</v>
      </c>
      <c r="C28" s="2494"/>
      <c r="D28" s="1753">
        <v>100</v>
      </c>
      <c r="E28" s="2472"/>
      <c r="F28" s="1753">
        <f>SUMIF(91:91,E28,92:92)-SUMIF(91:91,C28,92:92)+100</f>
        <v>100</v>
      </c>
      <c r="G28" s="2494"/>
      <c r="H28" s="1753">
        <f>SUMIF(91:91,G28,92:92)-SUMIF(91:91,C28,92:92)+100</f>
        <v>100</v>
      </c>
      <c r="I28" s="2472"/>
      <c r="J28" s="1753">
        <f>SUMIF(91:91,I28,92:92)-SUMIF(91:91,C28,92:92)+100</f>
        <v>100</v>
      </c>
      <c r="K28" s="1988"/>
      <c r="L28" s="2990"/>
      <c r="M28" s="2963"/>
      <c r="N28" s="2963"/>
      <c r="O28" s="2963"/>
      <c r="P28" s="3437"/>
      <c r="Q28" s="2908" t="str">
        <f t="shared" si="11"/>
        <v>朝向</v>
      </c>
      <c r="R28" s="1678" t="s">
        <v>25</v>
      </c>
      <c r="S28" s="1679">
        <f>F28</f>
        <v>100</v>
      </c>
      <c r="T28" s="1678" t="s">
        <v>25</v>
      </c>
      <c r="U28" s="1679">
        <f>H28</f>
        <v>100</v>
      </c>
      <c r="V28" s="1678" t="s">
        <v>25</v>
      </c>
      <c r="W28" s="1679">
        <f>J28</f>
        <v>100</v>
      </c>
      <c r="X28" s="1680"/>
      <c r="Y28" s="3437"/>
      <c r="Z28" s="1690" t="str">
        <f>Q28</f>
        <v>朝向</v>
      </c>
      <c r="AA28" s="2065">
        <f>D28/F28</f>
        <v>1</v>
      </c>
      <c r="AB28" s="2065">
        <f>D28/H28</f>
        <v>1</v>
      </c>
      <c r="AC28" s="2065">
        <f>D28/J28</f>
        <v>1</v>
      </c>
    </row>
    <row r="29" spans="1:29" ht="15">
      <c r="A29" s="1699"/>
      <c r="B29" s="2495">
        <v>111</v>
      </c>
      <c r="C29" s="2493"/>
      <c r="D29" s="1708">
        <v>100</v>
      </c>
      <c r="E29" s="1704"/>
      <c r="F29" s="1708">
        <f>SUMIF(93:93,E29,94:94)-SUMIF(93:93,C29,94:94)+100</f>
        <v>100</v>
      </c>
      <c r="G29" s="2486"/>
      <c r="H29" s="1708">
        <f>SUMIF(93:93,G29,94:94)-SUMIF(93:93,C29,94:94)+100</f>
        <v>100</v>
      </c>
      <c r="I29" s="1704"/>
      <c r="J29" s="1708">
        <f>SUMIF(93:93,I29,94:94)-SUMIF(93:93,C29,94:94)+100</f>
        <v>100</v>
      </c>
      <c r="K29" s="1985"/>
      <c r="L29" s="2995"/>
      <c r="M29" s="2991"/>
      <c r="N29" s="2991"/>
      <c r="O29" s="2991"/>
      <c r="P29" s="3437"/>
      <c r="Q29" s="2909">
        <f t="shared" si="11"/>
        <v>111</v>
      </c>
      <c r="R29" s="1722" t="s">
        <v>25</v>
      </c>
      <c r="S29" s="1723">
        <f t="shared" ref="S29:S47" si="12">F29</f>
        <v>100</v>
      </c>
      <c r="T29" s="1722" t="s">
        <v>25</v>
      </c>
      <c r="U29" s="1723">
        <f t="shared" ref="U29:U47" si="13">H29</f>
        <v>100</v>
      </c>
      <c r="V29" s="1722" t="s">
        <v>25</v>
      </c>
      <c r="W29" s="1723">
        <f t="shared" ref="W29:W47" si="14">J29</f>
        <v>100</v>
      </c>
      <c r="X29" s="2070"/>
      <c r="Y29" s="3437"/>
      <c r="Z29" s="2074">
        <f t="shared" ref="Z29:Z47" si="15">Q29</f>
        <v>111</v>
      </c>
      <c r="AA29" s="2065">
        <f t="shared" si="3"/>
        <v>1</v>
      </c>
      <c r="AB29" s="2065">
        <f t="shared" si="4"/>
        <v>1</v>
      </c>
      <c r="AC29" s="2065">
        <f t="shared" si="5"/>
        <v>1</v>
      </c>
    </row>
    <row r="30" spans="1:29" ht="15">
      <c r="A30" s="1699"/>
      <c r="B30" s="2495">
        <v>111</v>
      </c>
      <c r="C30" s="2493"/>
      <c r="D30" s="1708">
        <v>100</v>
      </c>
      <c r="E30" s="1704"/>
      <c r="F30" s="1708">
        <f>SUMIF(95:95,E30,96:96)-SUMIF(95:95,C30,96:96)+100</f>
        <v>100</v>
      </c>
      <c r="G30" s="2486"/>
      <c r="H30" s="1708">
        <f>SUMIF(95:95,G30,96:96)-SUMIF(95:95,C30,96:96)+100</f>
        <v>100</v>
      </c>
      <c r="I30" s="1704"/>
      <c r="J30" s="1708">
        <f>SUMIF(95:95,I30,96:96)-SUMIF(95:95,C30,96:96)+100</f>
        <v>100</v>
      </c>
      <c r="K30" s="1985"/>
      <c r="L30" s="2995"/>
      <c r="M30" s="2991"/>
      <c r="N30" s="2991"/>
      <c r="O30" s="2991"/>
      <c r="P30" s="3437"/>
      <c r="Q30" s="2909">
        <f t="shared" si="11"/>
        <v>111</v>
      </c>
      <c r="R30" s="1722" t="s">
        <v>25</v>
      </c>
      <c r="S30" s="1723">
        <f t="shared" si="12"/>
        <v>100</v>
      </c>
      <c r="T30" s="1722" t="s">
        <v>25</v>
      </c>
      <c r="U30" s="1723">
        <f t="shared" si="13"/>
        <v>100</v>
      </c>
      <c r="V30" s="1722" t="s">
        <v>25</v>
      </c>
      <c r="W30" s="1723">
        <f t="shared" si="14"/>
        <v>100</v>
      </c>
      <c r="X30" s="2070"/>
      <c r="Y30" s="3437"/>
      <c r="Z30" s="2074">
        <f t="shared" si="15"/>
        <v>111</v>
      </c>
      <c r="AA30" s="2065">
        <f t="shared" si="3"/>
        <v>1</v>
      </c>
      <c r="AB30" s="2065">
        <f t="shared" si="4"/>
        <v>1</v>
      </c>
      <c r="AC30" s="2065">
        <f t="shared" si="5"/>
        <v>1</v>
      </c>
    </row>
    <row r="31" spans="1:29" ht="15">
      <c r="A31" s="1699"/>
      <c r="B31" s="2495">
        <v>111</v>
      </c>
      <c r="C31" s="2493"/>
      <c r="D31" s="1708">
        <v>100</v>
      </c>
      <c r="E31" s="1704"/>
      <c r="F31" s="1708">
        <f>SUMIF(97:97,E31,98:98)-SUMIF(97:97,C31,98:98)+100</f>
        <v>100</v>
      </c>
      <c r="G31" s="2486"/>
      <c r="H31" s="1708">
        <f>SUMIF(97:97,G31,98:98)-SUMIF(97:97,C31,98:98)+100</f>
        <v>100</v>
      </c>
      <c r="I31" s="1704"/>
      <c r="J31" s="1708">
        <f>SUMIF(97:97,I31,98:98)-SUMIF(97:97,C31,98:98)+100</f>
        <v>100</v>
      </c>
      <c r="K31" s="1985"/>
      <c r="L31" s="2995"/>
      <c r="M31" s="2991"/>
      <c r="N31" s="2991"/>
      <c r="O31" s="2991"/>
      <c r="P31" s="3437"/>
      <c r="Q31" s="2909">
        <f t="shared" si="11"/>
        <v>111</v>
      </c>
      <c r="R31" s="1722" t="s">
        <v>25</v>
      </c>
      <c r="S31" s="1723">
        <f t="shared" si="12"/>
        <v>100</v>
      </c>
      <c r="T31" s="1722" t="s">
        <v>25</v>
      </c>
      <c r="U31" s="1723">
        <f t="shared" si="13"/>
        <v>100</v>
      </c>
      <c r="V31" s="1722" t="s">
        <v>25</v>
      </c>
      <c r="W31" s="1723">
        <f t="shared" si="14"/>
        <v>100</v>
      </c>
      <c r="X31" s="2070"/>
      <c r="Y31" s="3437"/>
      <c r="Z31" s="2074">
        <f t="shared" si="15"/>
        <v>111</v>
      </c>
      <c r="AA31" s="2065">
        <f t="shared" si="3"/>
        <v>1</v>
      </c>
      <c r="AB31" s="2065">
        <f t="shared" si="4"/>
        <v>1</v>
      </c>
      <c r="AC31" s="2065">
        <f t="shared" si="5"/>
        <v>1</v>
      </c>
    </row>
    <row r="32" spans="1:29" ht="15.75" thickBot="1">
      <c r="A32" s="1709"/>
      <c r="B32" s="2496">
        <v>111</v>
      </c>
      <c r="C32" s="2497"/>
      <c r="D32" s="1712">
        <v>100</v>
      </c>
      <c r="E32" s="2487"/>
      <c r="F32" s="1712">
        <f>SUMIF(99:99,E32,100:100)-SUMIF(99:99,C32,100:100)+100</f>
        <v>100</v>
      </c>
      <c r="G32" s="2486"/>
      <c r="H32" s="1712">
        <f>SUMIF(99:99,G32,100:100)-SUMIF(99:99,C32,100:100)+100</f>
        <v>100</v>
      </c>
      <c r="I32" s="1704"/>
      <c r="J32" s="1712">
        <f>SUMIF(99:99,I32,100:100)-SUMIF(99:99,C32,100:100)+100</f>
        <v>100</v>
      </c>
      <c r="K32" s="1985"/>
      <c r="L32" s="2995"/>
      <c r="M32" s="2991"/>
      <c r="N32" s="2991"/>
      <c r="O32" s="2991"/>
      <c r="P32" s="3437"/>
      <c r="Q32" s="2909">
        <f t="shared" si="11"/>
        <v>111</v>
      </c>
      <c r="R32" s="1722" t="s">
        <v>25</v>
      </c>
      <c r="S32" s="1723">
        <f t="shared" si="12"/>
        <v>100</v>
      </c>
      <c r="T32" s="1722" t="s">
        <v>25</v>
      </c>
      <c r="U32" s="1723">
        <f t="shared" si="13"/>
        <v>100</v>
      </c>
      <c r="V32" s="1722" t="s">
        <v>25</v>
      </c>
      <c r="W32" s="1723">
        <f t="shared" si="14"/>
        <v>100</v>
      </c>
      <c r="X32" s="2070"/>
      <c r="Y32" s="3437"/>
      <c r="Z32" s="2074">
        <f t="shared" si="15"/>
        <v>111</v>
      </c>
      <c r="AA32" s="2065">
        <f t="shared" si="3"/>
        <v>1</v>
      </c>
      <c r="AB32" s="2065">
        <f t="shared" si="4"/>
        <v>1</v>
      </c>
      <c r="AC32" s="2065">
        <f t="shared" si="5"/>
        <v>1</v>
      </c>
    </row>
    <row r="33" spans="1:29" ht="15">
      <c r="A33" s="1714" t="s">
        <v>2271</v>
      </c>
      <c r="B33" s="1684" t="s">
        <v>2387</v>
      </c>
      <c r="C33" s="2498"/>
      <c r="D33" s="1759">
        <v>100</v>
      </c>
      <c r="E33" s="2498"/>
      <c r="F33" s="1751">
        <f>SUMIF(101:101,E33,102:102)-SUMIF(101:101,C33,102:102)+100</f>
        <v>100</v>
      </c>
      <c r="G33" s="2498"/>
      <c r="H33" s="1708">
        <f>SUMIF(101:101,G33,102:102)-SUMIF(101:101,C33,102:102)+100</f>
        <v>100</v>
      </c>
      <c r="I33" s="2498"/>
      <c r="J33" s="1759">
        <f>SUMIF(101:101,I33,102:102)-SUMIF(101:101,C33,102:102)+100</f>
        <v>100</v>
      </c>
      <c r="K33" s="1988"/>
      <c r="L33" s="2995"/>
      <c r="M33" s="2991"/>
      <c r="N33" s="2991"/>
      <c r="O33" s="2991"/>
      <c r="P33" s="3485" t="s">
        <v>2273</v>
      </c>
      <c r="Q33" s="2909" t="str">
        <f t="shared" si="11"/>
        <v>建筑类型</v>
      </c>
      <c r="R33" s="1722" t="s">
        <v>25</v>
      </c>
      <c r="S33" s="1723">
        <f t="shared" si="12"/>
        <v>100</v>
      </c>
      <c r="T33" s="1722" t="s">
        <v>25</v>
      </c>
      <c r="U33" s="1723">
        <f t="shared" si="13"/>
        <v>100</v>
      </c>
      <c r="V33" s="1722" t="s">
        <v>25</v>
      </c>
      <c r="W33" s="1723">
        <f t="shared" si="14"/>
        <v>100</v>
      </c>
      <c r="X33" s="2070"/>
      <c r="Y33" s="3441" t="s">
        <v>2273</v>
      </c>
      <c r="Z33" s="2074" t="str">
        <f t="shared" si="15"/>
        <v>建筑类型</v>
      </c>
      <c r="AA33" s="2065">
        <f t="shared" si="3"/>
        <v>1</v>
      </c>
      <c r="AB33" s="2065">
        <f t="shared" si="4"/>
        <v>1</v>
      </c>
      <c r="AC33" s="2065">
        <f t="shared" si="5"/>
        <v>1</v>
      </c>
    </row>
    <row r="34" spans="1:29" s="1767" customFormat="1" ht="15">
      <c r="A34" s="1760"/>
      <c r="B34" s="1692" t="s">
        <v>2274</v>
      </c>
      <c r="C34" s="1761"/>
      <c r="D34" s="1694">
        <v>100</v>
      </c>
      <c r="E34" s="1701"/>
      <c r="F34" s="1696" t="e">
        <f>LOOKUP(E34,104:104,105:105)-LOOKUP(C34,104:104,105:105)+100</f>
        <v>#N/A</v>
      </c>
      <c r="G34" s="1700"/>
      <c r="H34" s="1694" t="e">
        <f>LOOKUP(G34,104:104,105:105)-LOOKUP(C34,104:104,105:105)+100</f>
        <v>#N/A</v>
      </c>
      <c r="I34" s="1700"/>
      <c r="J34" s="1694" t="e">
        <f>LOOKUP(I34,104:104,105:105)-LOOKUP(C34,104:104,105:105)+100</f>
        <v>#N/A</v>
      </c>
      <c r="K34" s="1985"/>
      <c r="L34" s="2994"/>
      <c r="M34" s="2055"/>
      <c r="N34" s="2055"/>
      <c r="O34" s="2055"/>
      <c r="P34" s="3441"/>
      <c r="Q34" s="1762" t="str">
        <f t="shared" si="11"/>
        <v>项目建筑规模</v>
      </c>
      <c r="R34" s="1763" t="s">
        <v>25</v>
      </c>
      <c r="S34" s="1764" t="e">
        <f t="shared" si="12"/>
        <v>#N/A</v>
      </c>
      <c r="T34" s="1763" t="s">
        <v>25</v>
      </c>
      <c r="U34" s="1764" t="e">
        <f t="shared" si="13"/>
        <v>#N/A</v>
      </c>
      <c r="V34" s="1763" t="s">
        <v>25</v>
      </c>
      <c r="W34" s="1764" t="e">
        <f t="shared" si="14"/>
        <v>#N/A</v>
      </c>
      <c r="X34" s="1765"/>
      <c r="Y34" s="3441"/>
      <c r="Z34" s="1766" t="str">
        <f t="shared" si="15"/>
        <v>项目建筑规模</v>
      </c>
      <c r="AA34" s="2065" t="e">
        <f t="shared" si="3"/>
        <v>#N/A</v>
      </c>
      <c r="AB34" s="2065" t="e">
        <f t="shared" si="4"/>
        <v>#N/A</v>
      </c>
      <c r="AC34" s="2065" t="e">
        <f t="shared" si="5"/>
        <v>#N/A</v>
      </c>
    </row>
    <row r="35" spans="1:29" ht="15">
      <c r="A35" s="1768"/>
      <c r="B35" s="1692" t="s">
        <v>2275</v>
      </c>
      <c r="C35" s="1749"/>
      <c r="D35" s="1708">
        <v>100</v>
      </c>
      <c r="E35" s="1749"/>
      <c r="F35" s="1751">
        <f>SUMIF(106:106,E35,107:107)-SUMIF(106:106,C35,107:107)+100</f>
        <v>100</v>
      </c>
      <c r="G35" s="1749"/>
      <c r="H35" s="1708">
        <f>SUMIF(106:106,G35,107:107)-SUMIF(106:106,C35,107:107)+100</f>
        <v>100</v>
      </c>
      <c r="I35" s="1749"/>
      <c r="J35" s="1708">
        <f>SUMIF(106:106,I35,107:107)-SUMIF(106:106,C35,107:107)+100</f>
        <v>100</v>
      </c>
      <c r="K35" s="1988"/>
      <c r="L35" s="2995"/>
      <c r="M35" s="2991"/>
      <c r="N35" s="2991"/>
      <c r="O35" s="2991"/>
      <c r="P35" s="3441"/>
      <c r="Q35" s="2909" t="str">
        <f t="shared" si="11"/>
        <v>建筑结构</v>
      </c>
      <c r="R35" s="1722" t="s">
        <v>25</v>
      </c>
      <c r="S35" s="1723">
        <f t="shared" si="12"/>
        <v>100</v>
      </c>
      <c r="T35" s="1722" t="s">
        <v>25</v>
      </c>
      <c r="U35" s="1723">
        <f t="shared" si="13"/>
        <v>100</v>
      </c>
      <c r="V35" s="1722" t="s">
        <v>25</v>
      </c>
      <c r="W35" s="1723">
        <f t="shared" si="14"/>
        <v>100</v>
      </c>
      <c r="X35" s="2070"/>
      <c r="Y35" s="3441"/>
      <c r="Z35" s="2074" t="str">
        <f t="shared" si="15"/>
        <v>建筑结构</v>
      </c>
      <c r="AA35" s="2065">
        <f t="shared" si="3"/>
        <v>1</v>
      </c>
      <c r="AB35" s="2065">
        <f t="shared" si="4"/>
        <v>1</v>
      </c>
      <c r="AC35" s="2065">
        <f t="shared" si="5"/>
        <v>1</v>
      </c>
    </row>
    <row r="36" spans="1:29" ht="15">
      <c r="A36" s="1768"/>
      <c r="B36" s="1692" t="s">
        <v>2360</v>
      </c>
      <c r="C36" s="1749"/>
      <c r="D36" s="1708">
        <v>100</v>
      </c>
      <c r="E36" s="1749"/>
      <c r="F36" s="1751">
        <f>SUMIF(108:108,E36,109:109)-SUMIF(108:108,C36,109:109)+100</f>
        <v>100</v>
      </c>
      <c r="G36" s="1749"/>
      <c r="H36" s="1708">
        <f>SUMIF(108:108,G36,109:109)-SUMIF(108:108,C36,109:109)+100</f>
        <v>100</v>
      </c>
      <c r="I36" s="1749"/>
      <c r="J36" s="1708">
        <f>SUMIF(108:108,I36,109:109)-SUMIF(108:108,C36,109:109)+100</f>
        <v>100</v>
      </c>
      <c r="K36" s="1988"/>
      <c r="L36" s="2995"/>
      <c r="M36" s="2991"/>
      <c r="N36" s="2991"/>
      <c r="O36" s="2991"/>
      <c r="P36" s="3441"/>
      <c r="Q36" s="2909" t="str">
        <f t="shared" si="11"/>
        <v>公共部分装修</v>
      </c>
      <c r="R36" s="1722" t="s">
        <v>25</v>
      </c>
      <c r="S36" s="1723">
        <f t="shared" si="12"/>
        <v>100</v>
      </c>
      <c r="T36" s="1722" t="s">
        <v>25</v>
      </c>
      <c r="U36" s="1723">
        <f t="shared" si="13"/>
        <v>100</v>
      </c>
      <c r="V36" s="1722" t="s">
        <v>25</v>
      </c>
      <c r="W36" s="1723">
        <f t="shared" si="14"/>
        <v>100</v>
      </c>
      <c r="X36" s="2070"/>
      <c r="Y36" s="3441"/>
      <c r="Z36" s="2074" t="str">
        <f t="shared" si="15"/>
        <v>公共部分装修</v>
      </c>
      <c r="AA36" s="2065">
        <f t="shared" si="3"/>
        <v>1</v>
      </c>
      <c r="AB36" s="2065">
        <f t="shared" si="4"/>
        <v>1</v>
      </c>
      <c r="AC36" s="2065">
        <f t="shared" si="5"/>
        <v>1</v>
      </c>
    </row>
    <row r="37" spans="1:29" ht="15">
      <c r="A37" s="1768"/>
      <c r="B37" s="1692" t="s">
        <v>2361</v>
      </c>
      <c r="C37" s="1772"/>
      <c r="D37" s="1708">
        <v>100</v>
      </c>
      <c r="E37" s="1772"/>
      <c r="F37" s="1751" t="e">
        <f>LOOKUP(E37,111:111,112:112)-LOOKUP(C37,111:111,112:112)+100</f>
        <v>#N/A</v>
      </c>
      <c r="G37" s="1772"/>
      <c r="H37" s="1751" t="e">
        <f>LOOKUP(G37,111:111,112:112)-LOOKUP(C37,111:111,112:112)+100</f>
        <v>#N/A</v>
      </c>
      <c r="I37" s="1772"/>
      <c r="J37" s="1708" t="e">
        <f>LOOKUP(I37,111:111,112:112)-LOOKUP(C37,111:111,112:112)+100</f>
        <v>#N/A</v>
      </c>
      <c r="K37" s="1988"/>
      <c r="L37" s="2995"/>
      <c r="M37" s="2991"/>
      <c r="N37" s="2991"/>
      <c r="O37" s="2991"/>
      <c r="P37" s="3441"/>
      <c r="Q37" s="2909" t="str">
        <f t="shared" si="11"/>
        <v>成新度</v>
      </c>
      <c r="R37" s="1722" t="s">
        <v>25</v>
      </c>
      <c r="S37" s="1723" t="e">
        <f t="shared" si="12"/>
        <v>#N/A</v>
      </c>
      <c r="T37" s="1722" t="s">
        <v>25</v>
      </c>
      <c r="U37" s="1723" t="e">
        <f t="shared" si="13"/>
        <v>#N/A</v>
      </c>
      <c r="V37" s="1722" t="s">
        <v>25</v>
      </c>
      <c r="W37" s="1723" t="e">
        <f t="shared" si="14"/>
        <v>#N/A</v>
      </c>
      <c r="X37" s="2070"/>
      <c r="Y37" s="3441"/>
      <c r="Z37" s="2074" t="str">
        <f t="shared" si="15"/>
        <v>成新度</v>
      </c>
      <c r="AA37" s="2065" t="e">
        <f t="shared" si="3"/>
        <v>#N/A</v>
      </c>
      <c r="AB37" s="2065" t="e">
        <f t="shared" si="4"/>
        <v>#N/A</v>
      </c>
      <c r="AC37" s="2065" t="e">
        <f t="shared" si="5"/>
        <v>#N/A</v>
      </c>
    </row>
    <row r="38" spans="1:29" s="1682" customFormat="1" ht="15">
      <c r="A38" s="1771"/>
      <c r="B38" s="1692" t="s">
        <v>2388</v>
      </c>
      <c r="C38" s="1749"/>
      <c r="D38" s="1694">
        <v>100</v>
      </c>
      <c r="E38" s="1749"/>
      <c r="F38" s="1751">
        <f>SUMIF(113:113,E38,114:114)-SUMIF(113:113,C38,114:114)+100</f>
        <v>100</v>
      </c>
      <c r="G38" s="1749"/>
      <c r="H38" s="1708">
        <f>SUMIF(113:113,G38,114:114)-SUMIF(113:113,C38,114:114)+100</f>
        <v>100</v>
      </c>
      <c r="I38" s="1749"/>
      <c r="J38" s="1708">
        <f>SUMIF(113:113,I38,114:114)-SUMIF(113:113,C38,114:114)+100</f>
        <v>100</v>
      </c>
      <c r="K38" s="1988"/>
      <c r="L38" s="2990"/>
      <c r="M38" s="2963"/>
      <c r="N38" s="2963"/>
      <c r="O38" s="2963"/>
      <c r="P38" s="3441"/>
      <c r="Q38" s="2908" t="str">
        <f t="shared" si="11"/>
        <v>写字楼等级</v>
      </c>
      <c r="R38" s="1678" t="s">
        <v>25</v>
      </c>
      <c r="S38" s="1679">
        <f t="shared" si="12"/>
        <v>100</v>
      </c>
      <c r="T38" s="1678" t="s">
        <v>25</v>
      </c>
      <c r="U38" s="1679">
        <f t="shared" si="13"/>
        <v>100</v>
      </c>
      <c r="V38" s="1678" t="s">
        <v>25</v>
      </c>
      <c r="W38" s="1679">
        <f t="shared" si="14"/>
        <v>100</v>
      </c>
      <c r="X38" s="1680"/>
      <c r="Y38" s="3441"/>
      <c r="Z38" s="1690" t="str">
        <f t="shared" si="15"/>
        <v>写字楼等级</v>
      </c>
      <c r="AA38" s="1681">
        <f t="shared" si="3"/>
        <v>1</v>
      </c>
      <c r="AB38" s="1681">
        <f t="shared" si="4"/>
        <v>1</v>
      </c>
      <c r="AC38" s="1681">
        <f t="shared" si="5"/>
        <v>1</v>
      </c>
    </row>
    <row r="39" spans="1:29" ht="15">
      <c r="A39" s="1768"/>
      <c r="B39" s="1692" t="s">
        <v>2389</v>
      </c>
      <c r="C39" s="1749"/>
      <c r="D39" s="1708">
        <v>100</v>
      </c>
      <c r="E39" s="1749"/>
      <c r="F39" s="1751">
        <f>SUMIF(115:115,E39,116:116)-SUMIF(115:115,C39,116:116)+100</f>
        <v>100</v>
      </c>
      <c r="G39" s="1749"/>
      <c r="H39" s="1708">
        <f>SUMIF(115:115,G39,116:116)-SUMIF(115:115,C39,116:116)+100</f>
        <v>100</v>
      </c>
      <c r="I39" s="1749"/>
      <c r="J39" s="1708">
        <f>SUMIF(115:115,I39,116:116)-SUMIF(115:115,C39,116:116)+100</f>
        <v>100</v>
      </c>
      <c r="K39" s="1988"/>
      <c r="L39" s="2995"/>
      <c r="M39" s="2991"/>
      <c r="N39" s="2991"/>
      <c r="O39" s="2991"/>
      <c r="P39" s="3441" t="s">
        <v>2273</v>
      </c>
      <c r="Q39" s="2909" t="str">
        <f t="shared" si="11"/>
        <v>物业管理</v>
      </c>
      <c r="R39" s="1722" t="s">
        <v>25</v>
      </c>
      <c r="S39" s="1723">
        <f t="shared" si="12"/>
        <v>100</v>
      </c>
      <c r="T39" s="1722" t="s">
        <v>25</v>
      </c>
      <c r="U39" s="1723">
        <f t="shared" si="13"/>
        <v>100</v>
      </c>
      <c r="V39" s="1722" t="s">
        <v>25</v>
      </c>
      <c r="W39" s="1723">
        <f t="shared" si="14"/>
        <v>100</v>
      </c>
      <c r="X39" s="2070"/>
      <c r="Y39" s="3441" t="s">
        <v>2273</v>
      </c>
      <c r="Z39" s="2074" t="str">
        <f t="shared" si="15"/>
        <v>物业管理</v>
      </c>
      <c r="AA39" s="2065">
        <f t="shared" si="3"/>
        <v>1</v>
      </c>
      <c r="AB39" s="2065">
        <f t="shared" si="4"/>
        <v>1</v>
      </c>
      <c r="AC39" s="2065">
        <f t="shared" si="5"/>
        <v>1</v>
      </c>
    </row>
    <row r="40" spans="1:29" ht="15">
      <c r="A40" s="1768"/>
      <c r="B40" s="1692" t="s">
        <v>2362</v>
      </c>
      <c r="C40" s="1749"/>
      <c r="D40" s="1708">
        <v>100</v>
      </c>
      <c r="E40" s="1749"/>
      <c r="F40" s="1751">
        <f>SUMIF(117:117,E40,118:118)-SUMIF(117:117,C40,118:118)+100</f>
        <v>100</v>
      </c>
      <c r="G40" s="1749"/>
      <c r="H40" s="1708">
        <f>SUMIF(117:117,G40,118:118)-SUMIF(117:117,C40,118:118)+100</f>
        <v>100</v>
      </c>
      <c r="I40" s="1749"/>
      <c r="J40" s="1708">
        <f>SUMIF(117:117,I40,118:118)-SUMIF(117:117,C40,118:118)+100</f>
        <v>100</v>
      </c>
      <c r="K40" s="1988"/>
      <c r="L40" s="2995"/>
      <c r="M40" s="2991"/>
      <c r="N40" s="2991"/>
      <c r="O40" s="2991"/>
      <c r="P40" s="3441"/>
      <c r="Q40" s="2909" t="str">
        <f t="shared" si="11"/>
        <v>市政基础设施</v>
      </c>
      <c r="R40" s="1722" t="s">
        <v>25</v>
      </c>
      <c r="S40" s="1723">
        <f t="shared" si="12"/>
        <v>100</v>
      </c>
      <c r="T40" s="1722" t="s">
        <v>25</v>
      </c>
      <c r="U40" s="1723">
        <f t="shared" si="13"/>
        <v>100</v>
      </c>
      <c r="V40" s="1722" t="s">
        <v>25</v>
      </c>
      <c r="W40" s="1723">
        <f t="shared" si="14"/>
        <v>100</v>
      </c>
      <c r="X40" s="2070"/>
      <c r="Y40" s="3441"/>
      <c r="Z40" s="2074" t="str">
        <f t="shared" si="15"/>
        <v>市政基础设施</v>
      </c>
      <c r="AA40" s="2065">
        <f t="shared" si="3"/>
        <v>1</v>
      </c>
      <c r="AB40" s="2065">
        <f t="shared" si="4"/>
        <v>1</v>
      </c>
      <c r="AC40" s="2065">
        <f t="shared" si="5"/>
        <v>1</v>
      </c>
    </row>
    <row r="41" spans="1:29" ht="15">
      <c r="A41" s="1768"/>
      <c r="B41" s="1692" t="s">
        <v>2364</v>
      </c>
      <c r="C41" s="1987"/>
      <c r="D41" s="1708">
        <v>100</v>
      </c>
      <c r="E41" s="1987"/>
      <c r="F41" s="1751">
        <f>SUMIF(119:119,E41,120:120)-SUMIF(119:119,C41,120:120)+100</f>
        <v>100</v>
      </c>
      <c r="G41" s="1987"/>
      <c r="H41" s="1708">
        <f>SUMIF(119:119,G41,120:120)-SUMIF(119:119,C41,120:120)+100</f>
        <v>100</v>
      </c>
      <c r="I41" s="1987"/>
      <c r="J41" s="1708">
        <f>SUMIF(119:119,I41,120:120)-SUMIF(119:119,C41,120:120)+100</f>
        <v>100</v>
      </c>
      <c r="K41" s="1988"/>
      <c r="L41" s="2995"/>
      <c r="M41" s="2991"/>
      <c r="N41" s="2991"/>
      <c r="O41" s="2991"/>
      <c r="P41" s="3441"/>
      <c r="Q41" s="2909" t="str">
        <f t="shared" si="11"/>
        <v>层高</v>
      </c>
      <c r="R41" s="1722" t="s">
        <v>25</v>
      </c>
      <c r="S41" s="1723">
        <f t="shared" si="12"/>
        <v>100</v>
      </c>
      <c r="T41" s="1722" t="s">
        <v>25</v>
      </c>
      <c r="U41" s="1723">
        <f t="shared" si="13"/>
        <v>100</v>
      </c>
      <c r="V41" s="1722" t="s">
        <v>25</v>
      </c>
      <c r="W41" s="1723">
        <f t="shared" si="14"/>
        <v>100</v>
      </c>
      <c r="X41" s="2070"/>
      <c r="Y41" s="3441"/>
      <c r="Z41" s="2074" t="str">
        <f t="shared" si="15"/>
        <v>层高</v>
      </c>
      <c r="AA41" s="2065">
        <f t="shared" si="3"/>
        <v>1</v>
      </c>
      <c r="AB41" s="2065">
        <f t="shared" si="4"/>
        <v>1</v>
      </c>
      <c r="AC41" s="2065">
        <f t="shared" si="5"/>
        <v>1</v>
      </c>
    </row>
    <row r="42" spans="1:29" s="1767" customFormat="1" ht="15">
      <c r="A42" s="1760"/>
      <c r="B42" s="2066" t="s">
        <v>2390</v>
      </c>
      <c r="C42" s="1707"/>
      <c r="D42" s="1708">
        <v>100</v>
      </c>
      <c r="E42" s="1707"/>
      <c r="F42" s="1751">
        <f>SUMIF(121:121,E42,122:122)-SUMIF(121:121,C42,122:122)+100</f>
        <v>100</v>
      </c>
      <c r="G42" s="1707"/>
      <c r="H42" s="1708">
        <f>SUMIF(121:121,G42,122:122)-SUMIF(121:121,C42,122:122)+100</f>
        <v>100</v>
      </c>
      <c r="I42" s="1707"/>
      <c r="J42" s="1708">
        <f>SUMIF(121:121,I42,122:122)-SUMIF(121:121,C42,122:122)+100</f>
        <v>100</v>
      </c>
      <c r="K42" s="1985"/>
      <c r="L42" s="2994"/>
      <c r="M42" s="2055"/>
      <c r="N42" s="2055"/>
      <c r="O42" s="2055"/>
      <c r="P42" s="3441"/>
      <c r="Q42" s="1762" t="str">
        <f t="shared" si="11"/>
        <v>单套建筑面积</v>
      </c>
      <c r="R42" s="1763" t="s">
        <v>25</v>
      </c>
      <c r="S42" s="1764">
        <f t="shared" si="12"/>
        <v>100</v>
      </c>
      <c r="T42" s="1763" t="s">
        <v>25</v>
      </c>
      <c r="U42" s="1764">
        <f t="shared" si="13"/>
        <v>100</v>
      </c>
      <c r="V42" s="1763" t="s">
        <v>25</v>
      </c>
      <c r="W42" s="1764">
        <f t="shared" si="14"/>
        <v>100</v>
      </c>
      <c r="X42" s="1765"/>
      <c r="Y42" s="3441"/>
      <c r="Z42" s="1766" t="str">
        <f t="shared" si="15"/>
        <v>单套建筑面积</v>
      </c>
      <c r="AA42" s="2065">
        <f t="shared" si="3"/>
        <v>1</v>
      </c>
      <c r="AB42" s="2065">
        <f t="shared" si="4"/>
        <v>1</v>
      </c>
      <c r="AC42" s="2065">
        <f t="shared" si="5"/>
        <v>1</v>
      </c>
    </row>
    <row r="43" spans="1:29" ht="15">
      <c r="A43" s="1768"/>
      <c r="B43" s="1692" t="s">
        <v>2367</v>
      </c>
      <c r="C43" s="1749"/>
      <c r="D43" s="1708">
        <v>100</v>
      </c>
      <c r="E43" s="1749"/>
      <c r="F43" s="1751">
        <f>SUMIF(123:123,E43,124:124)-SUMIF(123:123,C43,124:124)+100</f>
        <v>100</v>
      </c>
      <c r="G43" s="1749"/>
      <c r="H43" s="1708">
        <f>SUMIF(123:123,G43,124:124)-SUMIF(123:123,C43,124:124)+100</f>
        <v>100</v>
      </c>
      <c r="I43" s="1749"/>
      <c r="J43" s="1708">
        <f>SUMIF(123:123,I43,124:124)-SUMIF(123:123,C43,124:124)+100</f>
        <v>100</v>
      </c>
      <c r="K43" s="1988"/>
      <c r="L43" s="2995"/>
      <c r="M43" s="2991"/>
      <c r="N43" s="2991"/>
      <c r="O43" s="2991"/>
      <c r="P43" s="3441"/>
      <c r="Q43" s="2909" t="str">
        <f t="shared" si="11"/>
        <v>内部装修</v>
      </c>
      <c r="R43" s="1722" t="s">
        <v>25</v>
      </c>
      <c r="S43" s="1723">
        <f t="shared" si="12"/>
        <v>100</v>
      </c>
      <c r="T43" s="1722" t="s">
        <v>25</v>
      </c>
      <c r="U43" s="1723">
        <f t="shared" si="13"/>
        <v>100</v>
      </c>
      <c r="V43" s="1722" t="s">
        <v>25</v>
      </c>
      <c r="W43" s="1723">
        <f t="shared" si="14"/>
        <v>100</v>
      </c>
      <c r="X43" s="2070"/>
      <c r="Y43" s="3441"/>
      <c r="Z43" s="2074" t="str">
        <f t="shared" si="15"/>
        <v>内部装修</v>
      </c>
      <c r="AA43" s="2065">
        <f t="shared" si="3"/>
        <v>1</v>
      </c>
      <c r="AB43" s="2065">
        <f t="shared" si="4"/>
        <v>1</v>
      </c>
      <c r="AC43" s="2065">
        <f t="shared" si="5"/>
        <v>1</v>
      </c>
    </row>
    <row r="44" spans="1:29" ht="15">
      <c r="A44" s="1768"/>
      <c r="B44" s="1692" t="s">
        <v>2284</v>
      </c>
      <c r="C44" s="1749"/>
      <c r="D44" s="1708">
        <v>100</v>
      </c>
      <c r="E44" s="1752"/>
      <c r="F44" s="1751">
        <f>SUMIF(125:125,E44,126:126)-SUMIF(125:125,C44,126:126)+100</f>
        <v>100</v>
      </c>
      <c r="G44" s="1752"/>
      <c r="H44" s="1708">
        <f>SUMIF(125:125,G44,126:126)-SUMIF(125:125,C44,126:126)+100</f>
        <v>100</v>
      </c>
      <c r="I44" s="1752"/>
      <c r="J44" s="1708">
        <f>SUMIF(125:125,I44,126:126)-SUMIF(125:125,C44,126:126)+100</f>
        <v>100</v>
      </c>
      <c r="K44" s="1988"/>
      <c r="L44" s="2995"/>
      <c r="M44" s="2991"/>
      <c r="N44" s="2991"/>
      <c r="O44" s="2991"/>
      <c r="P44" s="3441"/>
      <c r="Q44" s="2909" t="str">
        <f t="shared" si="11"/>
        <v>内部装修维护情况</v>
      </c>
      <c r="R44" s="1722" t="s">
        <v>25</v>
      </c>
      <c r="S44" s="1723">
        <f t="shared" si="12"/>
        <v>100</v>
      </c>
      <c r="T44" s="1722" t="s">
        <v>25</v>
      </c>
      <c r="U44" s="1723">
        <f t="shared" si="13"/>
        <v>100</v>
      </c>
      <c r="V44" s="1722" t="s">
        <v>25</v>
      </c>
      <c r="W44" s="1723">
        <f t="shared" si="14"/>
        <v>100</v>
      </c>
      <c r="X44" s="2070"/>
      <c r="Y44" s="3441"/>
      <c r="Z44" s="2074" t="str">
        <f t="shared" si="15"/>
        <v>内部装修维护情况</v>
      </c>
      <c r="AA44" s="2065">
        <f t="shared" si="3"/>
        <v>1</v>
      </c>
      <c r="AB44" s="2065">
        <f t="shared" si="4"/>
        <v>1</v>
      </c>
      <c r="AC44" s="2065">
        <f t="shared" si="5"/>
        <v>1</v>
      </c>
    </row>
    <row r="45" spans="1:29" s="1682" customFormat="1" ht="15">
      <c r="A45" s="1771"/>
      <c r="B45" s="1757">
        <v>111</v>
      </c>
      <c r="C45" s="1761"/>
      <c r="D45" s="1694">
        <v>100</v>
      </c>
      <c r="E45" s="1704"/>
      <c r="F45" s="1696">
        <f>SUMIF(127:127,E45,128:128)-SUMIF(127:127,C45,128:128)+100</f>
        <v>100</v>
      </c>
      <c r="G45" s="1704"/>
      <c r="H45" s="1694">
        <f>SUMIF(127:127,G45,128:128)-SUMIF(127:127,C45,128:128)+100</f>
        <v>100</v>
      </c>
      <c r="I45" s="1704"/>
      <c r="J45" s="1694">
        <f>SUMIF(127:127,I45,128:128)-SUMIF(127:127,C45,128:128)+100</f>
        <v>100</v>
      </c>
      <c r="K45" s="1985"/>
      <c r="L45" s="2990"/>
      <c r="M45" s="2963"/>
      <c r="N45" s="2963"/>
      <c r="O45" s="2963"/>
      <c r="P45" s="3441"/>
      <c r="Q45" s="2908">
        <f t="shared" si="11"/>
        <v>111</v>
      </c>
      <c r="R45" s="1678" t="s">
        <v>25</v>
      </c>
      <c r="S45" s="1679">
        <f t="shared" si="12"/>
        <v>100</v>
      </c>
      <c r="T45" s="1678" t="s">
        <v>25</v>
      </c>
      <c r="U45" s="1679">
        <f t="shared" si="13"/>
        <v>100</v>
      </c>
      <c r="V45" s="1678" t="s">
        <v>25</v>
      </c>
      <c r="W45" s="1679">
        <f t="shared" si="14"/>
        <v>100</v>
      </c>
      <c r="X45" s="1680"/>
      <c r="Y45" s="3441"/>
      <c r="Z45" s="1690">
        <f t="shared" si="15"/>
        <v>111</v>
      </c>
      <c r="AA45" s="1681">
        <f t="shared" si="3"/>
        <v>1</v>
      </c>
      <c r="AB45" s="1681">
        <f t="shared" si="4"/>
        <v>1</v>
      </c>
      <c r="AC45" s="1681">
        <f t="shared" si="5"/>
        <v>1</v>
      </c>
    </row>
    <row r="46" spans="1:29" ht="15">
      <c r="A46" s="1768"/>
      <c r="B46" s="1757">
        <v>111</v>
      </c>
      <c r="C46" s="1707"/>
      <c r="D46" s="1708">
        <v>100</v>
      </c>
      <c r="E46" s="1704"/>
      <c r="F46" s="1751">
        <f>SUMIF(129:129,E46,130:130)-SUMIF(129:129,C46,130:130)+100</f>
        <v>100</v>
      </c>
      <c r="G46" s="1704"/>
      <c r="H46" s="1708">
        <f>SUMIF(129:129,G46,130:130)-SUMIF(129:129,C46,130:130)+100</f>
        <v>100</v>
      </c>
      <c r="I46" s="1704"/>
      <c r="J46" s="1708">
        <f>SUMIF(129:129,I46,130:130)-SUMIF(129:129,C46,130:130)+100</f>
        <v>100</v>
      </c>
      <c r="K46" s="1985"/>
      <c r="L46" s="2995"/>
      <c r="M46" s="2991"/>
      <c r="N46" s="2991"/>
      <c r="O46" s="2991"/>
      <c r="P46" s="3441"/>
      <c r="Q46" s="2909">
        <f t="shared" si="11"/>
        <v>111</v>
      </c>
      <c r="R46" s="1722" t="s">
        <v>25</v>
      </c>
      <c r="S46" s="1723">
        <f t="shared" si="12"/>
        <v>100</v>
      </c>
      <c r="T46" s="1722" t="s">
        <v>25</v>
      </c>
      <c r="U46" s="1723">
        <f t="shared" si="13"/>
        <v>100</v>
      </c>
      <c r="V46" s="1722" t="s">
        <v>25</v>
      </c>
      <c r="W46" s="1723">
        <f t="shared" si="14"/>
        <v>100</v>
      </c>
      <c r="X46" s="2070"/>
      <c r="Y46" s="3441"/>
      <c r="Z46" s="2074">
        <f t="shared" si="15"/>
        <v>111</v>
      </c>
      <c r="AA46" s="2065">
        <f t="shared" si="3"/>
        <v>1</v>
      </c>
      <c r="AB46" s="2065">
        <f t="shared" si="4"/>
        <v>1</v>
      </c>
      <c r="AC46" s="2065">
        <f t="shared" si="5"/>
        <v>1</v>
      </c>
    </row>
    <row r="47" spans="1:29" ht="15.75" thickBot="1">
      <c r="A47" s="1776"/>
      <c r="B47" s="1710">
        <v>111</v>
      </c>
      <c r="C47" s="1711"/>
      <c r="D47" s="1712">
        <v>100</v>
      </c>
      <c r="E47" s="1704"/>
      <c r="F47" s="1713">
        <f>SUMIF(131:131,E47,132:132)-SUMIF(131:131,C47,132:132)+100</f>
        <v>100</v>
      </c>
      <c r="G47" s="1704"/>
      <c r="H47" s="1712">
        <f>SUMIF(131:131,G47,132:132)-SUMIF(131:131,C47,132:132)+100</f>
        <v>100</v>
      </c>
      <c r="I47" s="1704"/>
      <c r="J47" s="1712">
        <f>SUMIF(131:131,I47,132:132)-SUMIF(131:131,C47,132:132)+100</f>
        <v>100</v>
      </c>
      <c r="K47" s="1985"/>
      <c r="L47" s="2995"/>
      <c r="M47" s="2991"/>
      <c r="N47" s="2991"/>
      <c r="O47" s="2991"/>
      <c r="P47" s="3442"/>
      <c r="Q47" s="2909">
        <f t="shared" si="11"/>
        <v>111</v>
      </c>
      <c r="R47" s="1722" t="s">
        <v>25</v>
      </c>
      <c r="S47" s="1723">
        <f t="shared" si="12"/>
        <v>100</v>
      </c>
      <c r="T47" s="1722" t="s">
        <v>25</v>
      </c>
      <c r="U47" s="1723">
        <f t="shared" si="13"/>
        <v>100</v>
      </c>
      <c r="V47" s="1722" t="s">
        <v>25</v>
      </c>
      <c r="W47" s="1723">
        <f t="shared" si="14"/>
        <v>100</v>
      </c>
      <c r="X47" s="2070"/>
      <c r="Y47" s="3442"/>
      <c r="Z47" s="2074">
        <f t="shared" si="15"/>
        <v>111</v>
      </c>
      <c r="AA47" s="2065">
        <f t="shared" si="3"/>
        <v>1</v>
      </c>
      <c r="AB47" s="2065">
        <f t="shared" si="4"/>
        <v>1</v>
      </c>
      <c r="AC47" s="2065">
        <f t="shared" si="5"/>
        <v>1</v>
      </c>
    </row>
    <row r="48" spans="1:29" ht="15">
      <c r="A48" s="1777" t="s">
        <v>2285</v>
      </c>
      <c r="B48" s="1778"/>
      <c r="C48" s="1779" t="s">
        <v>1</v>
      </c>
      <c r="D48" s="1780"/>
      <c r="E48" s="1781"/>
      <c r="F48" s="1782"/>
      <c r="G48" s="1783"/>
      <c r="H48" s="1784"/>
      <c r="I48" s="1781"/>
      <c r="J48" s="1784"/>
      <c r="K48" s="2009"/>
      <c r="L48" s="2996"/>
      <c r="M48" s="2991"/>
      <c r="N48" s="2991"/>
      <c r="O48" s="2991"/>
      <c r="P48" s="3447" t="str">
        <f>A48</f>
        <v>成交单价（元/平方米）</v>
      </c>
      <c r="Q48" s="3447"/>
      <c r="R48" s="3448">
        <f>E48</f>
        <v>0</v>
      </c>
      <c r="S48" s="3448"/>
      <c r="T48" s="3448">
        <f>G48</f>
        <v>0</v>
      </c>
      <c r="U48" s="3448"/>
      <c r="V48" s="3448">
        <f>I48</f>
        <v>0</v>
      </c>
      <c r="W48" s="3448"/>
      <c r="X48" s="1787"/>
      <c r="Y48" s="2069"/>
      <c r="Z48" s="1787"/>
      <c r="AA48" s="1787"/>
      <c r="AB48" s="1787"/>
      <c r="AC48" s="1787"/>
    </row>
    <row r="49" spans="1:29" ht="15.75" thickBot="1">
      <c r="A49" s="1789" t="s">
        <v>2368</v>
      </c>
      <c r="B49" s="1790"/>
      <c r="C49" s="1791" t="e">
        <f>R50</f>
        <v>#DIV/0!</v>
      </c>
      <c r="D49" s="1792" t="s">
        <v>2740</v>
      </c>
      <c r="E49" s="1793" t="e">
        <f>R49</f>
        <v>#DIV/0!</v>
      </c>
      <c r="F49" s="1794"/>
      <c r="G49" s="1791" t="e">
        <f>T49</f>
        <v>#DIV/0!</v>
      </c>
      <c r="H49" s="1794"/>
      <c r="I49" s="1793" t="e">
        <f>V49</f>
        <v>#DIV/0!</v>
      </c>
      <c r="J49" s="1794"/>
      <c r="K49" s="2506">
        <f>F49+H49+J49</f>
        <v>0</v>
      </c>
      <c r="L49" s="2996"/>
      <c r="M49" s="2991"/>
      <c r="N49" s="2991"/>
      <c r="O49" s="2991"/>
      <c r="P49" s="3447" t="str">
        <f>A49</f>
        <v>比较价值（元/平方米）</v>
      </c>
      <c r="Q49" s="3447"/>
      <c r="R49" s="3448" t="e">
        <f>IF(E1="售价",ROUND(PRODUCT(R48,AA7:AA47),0),ROUND(PRODUCT(R48,AA7:AA47),1))</f>
        <v>#DIV/0!</v>
      </c>
      <c r="S49" s="3448"/>
      <c r="T49" s="3448" t="e">
        <f>IF(E1="售价",ROUND(PRODUCT(T48,AB7:AB47),0),ROUND(PRODUCT(T48,AB7:AB47),1))</f>
        <v>#DIV/0!</v>
      </c>
      <c r="U49" s="3448"/>
      <c r="V49" s="3448" t="e">
        <f>IF(E1="售价",ROUND(PRODUCT(V48,AC7:AC47),0),ROUND(PRODUCT(V48,AC7:AC47),1))</f>
        <v>#DIV/0!</v>
      </c>
      <c r="W49" s="3448"/>
      <c r="X49" s="1787"/>
      <c r="Y49" s="1787"/>
      <c r="Z49" s="1787"/>
      <c r="AA49" s="1787"/>
      <c r="AB49" s="1787"/>
      <c r="AC49" s="1787"/>
    </row>
    <row r="50" spans="1:29" ht="15.75" thickBot="1">
      <c r="A50" s="1795" t="s">
        <v>2391</v>
      </c>
      <c r="B50" s="1796"/>
      <c r="C50" s="1798" t="e">
        <f>R50</f>
        <v>#DIV/0!</v>
      </c>
      <c r="D50" s="1798"/>
      <c r="E50" s="1798"/>
      <c r="F50" s="1798"/>
      <c r="G50" s="1798"/>
      <c r="H50" s="1798"/>
      <c r="I50" s="1798"/>
      <c r="J50" s="1798"/>
      <c r="K50" s="2014"/>
      <c r="L50" s="2996"/>
      <c r="M50" s="2991"/>
      <c r="N50" s="2991"/>
      <c r="O50" s="2991"/>
      <c r="P50" s="3453" t="str">
        <f>A50</f>
        <v>估价对象XX用房的比较价值（楼面单价，元/平方米）</v>
      </c>
      <c r="Q50" s="3454"/>
      <c r="R50" s="3455" t="e">
        <f>IF(E1="售价",ROUND(IF(D49="简单平均",AVERAGE(R49:V49),R49*F49+T49*H49+V49*J49),0),ROUND(IF(D49="简单平均",AVERAGE(R49:V49),R49*F49+T49*H49+V49*J49),1))</f>
        <v>#DIV/0!</v>
      </c>
      <c r="S50" s="3455"/>
      <c r="T50" s="3455"/>
      <c r="U50" s="3455"/>
      <c r="V50" s="3455"/>
      <c r="W50" s="3455"/>
      <c r="X50" s="1787"/>
      <c r="Y50" s="1787"/>
      <c r="Z50" s="1787"/>
      <c r="AA50" s="1787"/>
      <c r="AB50" s="1787"/>
      <c r="AC50" s="1787"/>
    </row>
    <row r="51" spans="1:29">
      <c r="G51" s="3000"/>
    </row>
    <row r="53" spans="1:29" ht="13.5" customHeight="1">
      <c r="C53" s="383" t="s">
        <v>2370</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2371</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2372</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3"/>
      <c r="L55" s="2997"/>
    </row>
    <row r="56" spans="1:29" s="1809" customFormat="1">
      <c r="B56" s="3001"/>
      <c r="C56" s="3002"/>
      <c r="K56" s="3003"/>
      <c r="L56" s="2997"/>
    </row>
    <row r="57" spans="1:29">
      <c r="B57" s="3001"/>
      <c r="C57" s="3002"/>
    </row>
    <row r="58" spans="1:29" ht="21.75" thickBot="1">
      <c r="A58" s="1812" t="s">
        <v>2373</v>
      </c>
      <c r="B58" s="1787"/>
      <c r="C58" s="1813"/>
      <c r="D58" s="1813"/>
      <c r="E58" s="1813"/>
      <c r="F58" s="1813"/>
      <c r="G58" s="1813"/>
      <c r="H58" s="1813"/>
      <c r="I58" s="1813"/>
      <c r="J58" s="1813"/>
      <c r="K58" s="1814"/>
      <c r="L58" s="1815"/>
      <c r="M58" s="1813"/>
      <c r="N58" s="2999"/>
      <c r="O58" s="2999"/>
      <c r="P58" s="2041"/>
      <c r="Q58" s="1817"/>
    </row>
    <row r="59" spans="1:29" s="1823" customFormat="1" ht="15">
      <c r="A59" s="1818" t="s">
        <v>2256</v>
      </c>
      <c r="B59" s="1819"/>
      <c r="C59" s="1820" t="str">
        <f>YEAR(C7)&amp;"-"&amp;MONTH(C7)</f>
        <v>2021-4</v>
      </c>
      <c r="D59" s="1821">
        <f>EDATE(C59,-1)</f>
        <v>44256</v>
      </c>
      <c r="E59" s="1821">
        <f t="shared" ref="E59:O59" si="16">EDATE(D59,-1)</f>
        <v>44228</v>
      </c>
      <c r="F59" s="1821">
        <f t="shared" si="16"/>
        <v>44197</v>
      </c>
      <c r="G59" s="1821">
        <f t="shared" si="16"/>
        <v>44166</v>
      </c>
      <c r="H59" s="1821">
        <f t="shared" si="16"/>
        <v>44136</v>
      </c>
      <c r="I59" s="1821">
        <f t="shared" si="16"/>
        <v>44105</v>
      </c>
      <c r="J59" s="1821">
        <f t="shared" si="16"/>
        <v>44075</v>
      </c>
      <c r="K59" s="1821">
        <f t="shared" si="16"/>
        <v>44044</v>
      </c>
      <c r="L59" s="1821">
        <f t="shared" si="16"/>
        <v>44013</v>
      </c>
      <c r="M59" s="1821">
        <f t="shared" si="16"/>
        <v>43983</v>
      </c>
      <c r="N59" s="1821">
        <f t="shared" si="16"/>
        <v>43952</v>
      </c>
      <c r="O59" s="1821">
        <f t="shared" si="16"/>
        <v>43922</v>
      </c>
      <c r="P59" s="2499"/>
    </row>
    <row r="60" spans="1:29" s="1682" customFormat="1" ht="15">
      <c r="A60" s="1824"/>
      <c r="B60" s="1825"/>
      <c r="C60" s="1826">
        <v>100</v>
      </c>
      <c r="D60" s="1827"/>
      <c r="E60" s="1827"/>
      <c r="F60" s="1827"/>
      <c r="G60" s="1827"/>
      <c r="H60" s="1827"/>
      <c r="I60" s="1827"/>
      <c r="J60" s="1827"/>
      <c r="K60" s="1827"/>
      <c r="L60" s="1827"/>
      <c r="M60" s="1828"/>
      <c r="N60" s="1827"/>
      <c r="O60" s="1841"/>
      <c r="P60" s="1817"/>
    </row>
    <row r="61" spans="1:29" s="1682" customFormat="1" ht="15.75" thickBot="1">
      <c r="A61" s="1830" t="s">
        <v>2293</v>
      </c>
      <c r="B61" s="1831"/>
      <c r="C61" s="1832"/>
      <c r="D61" s="1833"/>
      <c r="E61" s="1833"/>
      <c r="F61" s="1833"/>
      <c r="G61" s="1833"/>
      <c r="H61" s="1833"/>
      <c r="I61" s="1833"/>
      <c r="J61" s="1833"/>
      <c r="K61" s="1833"/>
      <c r="L61" s="1833"/>
      <c r="M61" s="1834"/>
      <c r="N61" s="1833"/>
      <c r="O61" s="2500"/>
      <c r="P61" s="1817"/>
      <c r="Q61" s="1817"/>
    </row>
    <row r="62" spans="1:29" s="1682" customFormat="1" ht="15">
      <c r="A62" s="1835" t="s">
        <v>2258</v>
      </c>
      <c r="B62" s="1825"/>
      <c r="C62" s="1836" t="s">
        <v>2259</v>
      </c>
      <c r="D62" s="409"/>
      <c r="E62" s="409"/>
      <c r="F62" s="409"/>
      <c r="G62" s="409"/>
      <c r="H62" s="409"/>
      <c r="I62" s="409"/>
      <c r="J62" s="409"/>
      <c r="K62" s="409"/>
      <c r="L62" s="409"/>
      <c r="M62" s="1837"/>
      <c r="N62" s="3008"/>
      <c r="O62" s="3008"/>
      <c r="P62" s="2052"/>
      <c r="Q62" s="1817"/>
    </row>
    <row r="63" spans="1:29" s="1682" customFormat="1" ht="15.75" thickBot="1">
      <c r="A63" s="1835"/>
      <c r="B63" s="1825"/>
      <c r="C63" s="1840">
        <v>100</v>
      </c>
      <c r="D63" s="1827"/>
      <c r="E63" s="1827"/>
      <c r="F63" s="1827"/>
      <c r="G63" s="1827"/>
      <c r="H63" s="1827"/>
      <c r="I63" s="1827"/>
      <c r="J63" s="1827"/>
      <c r="K63" s="1827"/>
      <c r="L63" s="1827"/>
      <c r="M63" s="1841"/>
      <c r="N63" s="3008"/>
      <c r="O63" s="3008"/>
      <c r="P63" s="1817"/>
      <c r="Q63" s="1817"/>
    </row>
    <row r="64" spans="1:29">
      <c r="A64" s="1842" t="s">
        <v>2296</v>
      </c>
      <c r="B64" s="1843" t="s">
        <v>2262</v>
      </c>
      <c r="C64" s="1844">
        <f>C9</f>
        <v>0</v>
      </c>
      <c r="D64" s="1845"/>
      <c r="E64" s="1845"/>
      <c r="F64" s="1845"/>
      <c r="G64" s="1845"/>
      <c r="H64" s="1845"/>
      <c r="I64" s="1845"/>
      <c r="J64" s="1845"/>
      <c r="K64" s="417"/>
      <c r="L64" s="417"/>
      <c r="M64" s="1846"/>
      <c r="N64" s="3009"/>
      <c r="O64" s="3009"/>
      <c r="P64" s="2053"/>
      <c r="Q64" s="1817"/>
    </row>
    <row r="65" spans="1:17" ht="15.75" thickBot="1">
      <c r="A65" s="1849"/>
      <c r="B65" s="1850"/>
      <c r="C65" s="1851">
        <v>100</v>
      </c>
      <c r="D65" s="1851"/>
      <c r="E65" s="1851"/>
      <c r="F65" s="1851"/>
      <c r="G65" s="1851"/>
      <c r="H65" s="1851"/>
      <c r="I65" s="1851"/>
      <c r="J65" s="1851"/>
      <c r="K65" s="1851"/>
      <c r="L65" s="1851"/>
      <c r="M65" s="1852"/>
      <c r="N65" s="3010"/>
      <c r="O65" s="3010"/>
      <c r="P65" s="2053"/>
      <c r="Q65" s="1817"/>
    </row>
    <row r="66" spans="1:17" ht="27.75" thickTop="1">
      <c r="A66" s="1849"/>
      <c r="B66" s="1854" t="s">
        <v>2265</v>
      </c>
      <c r="C66" s="1855" t="s">
        <v>2297</v>
      </c>
      <c r="D66" s="1855" t="s">
        <v>2298</v>
      </c>
      <c r="E66" s="1855" t="s">
        <v>2299</v>
      </c>
      <c r="F66" s="1855" t="s">
        <v>2300</v>
      </c>
      <c r="G66" s="1855" t="s">
        <v>2301</v>
      </c>
      <c r="H66" s="1855" t="s">
        <v>2302</v>
      </c>
      <c r="I66" s="1855" t="s">
        <v>2303</v>
      </c>
      <c r="J66" s="1855"/>
      <c r="K66" s="428"/>
      <c r="L66" s="428"/>
      <c r="M66" s="1856"/>
      <c r="N66" s="3009"/>
      <c r="O66" s="3009"/>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0"/>
      <c r="O67" s="3010"/>
      <c r="P67" s="2053"/>
      <c r="Q67" s="1817"/>
    </row>
    <row r="68" spans="1:17" ht="15.75" thickTop="1">
      <c r="A68" s="1849"/>
      <c r="B68" s="1860" t="s">
        <v>2266</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8" t="str">
        <f>M69&amp;"（含）"&amp;"-"&amp;P69</f>
        <v>（含）-</v>
      </c>
      <c r="N68" s="3010"/>
      <c r="O68" s="3010"/>
      <c r="P68" s="2053"/>
      <c r="Q68" s="1817"/>
    </row>
    <row r="69" spans="1:17" ht="15">
      <c r="A69" s="1849"/>
      <c r="B69" s="1862"/>
      <c r="C69" s="1863"/>
      <c r="D69" s="1863"/>
      <c r="E69" s="1863"/>
      <c r="F69" s="1863"/>
      <c r="G69" s="1863"/>
      <c r="H69" s="1863"/>
      <c r="I69" s="1863"/>
      <c r="J69" s="1863"/>
      <c r="K69" s="438"/>
      <c r="L69" s="438"/>
      <c r="M69" s="1864"/>
      <c r="N69" s="3009"/>
      <c r="O69" s="3009"/>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0"/>
      <c r="O70" s="3010"/>
      <c r="P70" s="2053"/>
      <c r="Q70" s="1817"/>
    </row>
    <row r="71" spans="1:17" s="1767" customFormat="1" ht="15.75" thickTop="1">
      <c r="A71" s="1865"/>
      <c r="B71" s="1854">
        <f>B12</f>
        <v>111</v>
      </c>
      <c r="C71" s="468"/>
      <c r="D71" s="468"/>
      <c r="E71" s="468"/>
      <c r="F71" s="468"/>
      <c r="G71" s="468"/>
      <c r="H71" s="443"/>
      <c r="I71" s="443"/>
      <c r="J71" s="443"/>
      <c r="K71" s="443"/>
      <c r="L71" s="443"/>
      <c r="M71" s="1866"/>
      <c r="N71" s="3011"/>
      <c r="O71" s="3011"/>
      <c r="P71" s="2054"/>
      <c r="Q71" s="1869"/>
    </row>
    <row r="72" spans="1:17" s="1767" customFormat="1" ht="15.75" thickBot="1">
      <c r="A72" s="1865"/>
      <c r="B72" s="1857"/>
      <c r="C72" s="1870"/>
      <c r="D72" s="1851"/>
      <c r="E72" s="1851"/>
      <c r="F72" s="1851"/>
      <c r="G72" s="1851"/>
      <c r="H72" s="1851"/>
      <c r="I72" s="1851"/>
      <c r="J72" s="1851"/>
      <c r="K72" s="1851"/>
      <c r="L72" s="1851"/>
      <c r="M72" s="1852"/>
      <c r="N72" s="3010"/>
      <c r="O72" s="3010"/>
      <c r="P72" s="2054"/>
      <c r="Q72" s="1869"/>
    </row>
    <row r="73" spans="1:17" s="1767" customFormat="1" ht="15.75" thickTop="1">
      <c r="A73" s="1865"/>
      <c r="B73" s="1854">
        <f>B13</f>
        <v>111</v>
      </c>
      <c r="C73" s="468"/>
      <c r="D73" s="468"/>
      <c r="E73" s="468"/>
      <c r="F73" s="468"/>
      <c r="G73" s="468"/>
      <c r="H73" s="443"/>
      <c r="I73" s="443"/>
      <c r="J73" s="443"/>
      <c r="K73" s="443"/>
      <c r="L73" s="443"/>
      <c r="M73" s="1866"/>
      <c r="N73" s="3011"/>
      <c r="O73" s="3011"/>
      <c r="P73" s="2055"/>
      <c r="Q73" s="1872"/>
    </row>
    <row r="74" spans="1:17" s="1767" customFormat="1" ht="15.75" thickBot="1">
      <c r="A74" s="1865"/>
      <c r="B74" s="1857"/>
      <c r="C74" s="1870"/>
      <c r="D74" s="1870"/>
      <c r="E74" s="1870"/>
      <c r="F74" s="1870"/>
      <c r="G74" s="1870"/>
      <c r="H74" s="1873"/>
      <c r="I74" s="1873"/>
      <c r="J74" s="1873"/>
      <c r="K74" s="1873"/>
      <c r="L74" s="1873"/>
      <c r="M74" s="1874"/>
      <c r="N74" s="3011"/>
      <c r="O74" s="3011"/>
      <c r="P74" s="2054"/>
      <c r="Q74" s="1869"/>
    </row>
    <row r="75" spans="1:17" s="1767" customFormat="1" ht="15.75" thickTop="1">
      <c r="A75" s="1865"/>
      <c r="B75" s="1860">
        <f>B14</f>
        <v>111</v>
      </c>
      <c r="C75" s="409"/>
      <c r="D75" s="409"/>
      <c r="E75" s="409"/>
      <c r="F75" s="409"/>
      <c r="G75" s="409"/>
      <c r="H75" s="453"/>
      <c r="I75" s="453"/>
      <c r="J75" s="453"/>
      <c r="K75" s="453"/>
      <c r="L75" s="453"/>
      <c r="M75" s="1875"/>
      <c r="N75" s="3011"/>
      <c r="O75" s="3011"/>
      <c r="P75" s="2054"/>
      <c r="Q75" s="1869"/>
    </row>
    <row r="76" spans="1:17" s="1767" customFormat="1" ht="15.75" thickBot="1">
      <c r="A76" s="1876"/>
      <c r="B76" s="1877"/>
      <c r="C76" s="1878"/>
      <c r="D76" s="1878"/>
      <c r="E76" s="1878"/>
      <c r="F76" s="1878"/>
      <c r="G76" s="1878"/>
      <c r="H76" s="1879"/>
      <c r="I76" s="1879"/>
      <c r="J76" s="1879"/>
      <c r="K76" s="1879"/>
      <c r="L76" s="1879"/>
      <c r="M76" s="1880"/>
      <c r="N76" s="3011"/>
      <c r="O76" s="3011"/>
      <c r="P76" s="2054"/>
      <c r="Q76" s="1869"/>
    </row>
    <row r="77" spans="1:17">
      <c r="A77" s="1842" t="s">
        <v>2267</v>
      </c>
      <c r="B77" s="1843" t="s">
        <v>2392</v>
      </c>
      <c r="C77" s="1881" t="s">
        <v>2305</v>
      </c>
      <c r="D77" s="1881" t="s">
        <v>2306</v>
      </c>
      <c r="E77" s="1881" t="s">
        <v>2307</v>
      </c>
      <c r="F77" s="1881" t="s">
        <v>2308</v>
      </c>
      <c r="G77" s="1881" t="s">
        <v>2309</v>
      </c>
      <c r="H77" s="1844"/>
      <c r="I77" s="1844"/>
      <c r="J77" s="1844"/>
      <c r="K77" s="463"/>
      <c r="L77" s="463"/>
      <c r="M77" s="1882"/>
      <c r="N77" s="3009"/>
      <c r="O77" s="3009"/>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0"/>
      <c r="O78" s="3010"/>
      <c r="P78" s="2053"/>
      <c r="Q78" s="1817"/>
    </row>
    <row r="79" spans="1:17" ht="15.75" thickTop="1">
      <c r="A79" s="1849"/>
      <c r="B79" s="1854" t="s">
        <v>2310</v>
      </c>
      <c r="C79" s="579" t="s">
        <v>2305</v>
      </c>
      <c r="D79" s="579" t="s">
        <v>2306</v>
      </c>
      <c r="E79" s="579" t="s">
        <v>2307</v>
      </c>
      <c r="F79" s="579" t="s">
        <v>2308</v>
      </c>
      <c r="G79" s="579" t="s">
        <v>2309</v>
      </c>
      <c r="H79" s="1855"/>
      <c r="I79" s="1855"/>
      <c r="J79" s="1855"/>
      <c r="K79" s="428"/>
      <c r="L79" s="428"/>
      <c r="M79" s="1856"/>
      <c r="N79" s="3009"/>
      <c r="O79" s="3009"/>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0"/>
      <c r="O80" s="3010"/>
      <c r="P80" s="2053"/>
      <c r="Q80" s="1817"/>
    </row>
    <row r="81" spans="1:17" ht="15.75" thickTop="1">
      <c r="A81" s="1849"/>
      <c r="B81" s="1854" t="s">
        <v>2311</v>
      </c>
      <c r="C81" s="579" t="s">
        <v>2305</v>
      </c>
      <c r="D81" s="579" t="s">
        <v>2306</v>
      </c>
      <c r="E81" s="579" t="s">
        <v>2307</v>
      </c>
      <c r="F81" s="579" t="s">
        <v>2308</v>
      </c>
      <c r="G81" s="579" t="s">
        <v>2309</v>
      </c>
      <c r="H81" s="1855"/>
      <c r="I81" s="1855"/>
      <c r="J81" s="1855"/>
      <c r="K81" s="428"/>
      <c r="L81" s="428"/>
      <c r="M81" s="1856"/>
      <c r="N81" s="3009"/>
      <c r="O81" s="3009"/>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0"/>
      <c r="O82" s="3010"/>
      <c r="P82" s="2053"/>
      <c r="Q82" s="1817"/>
    </row>
    <row r="83" spans="1:17" ht="15.75" thickTop="1">
      <c r="A83" s="1849"/>
      <c r="B83" s="1860" t="s">
        <v>2354</v>
      </c>
      <c r="C83" s="1855" t="s">
        <v>2312</v>
      </c>
      <c r="D83" s="1855" t="s">
        <v>2313</v>
      </c>
      <c r="E83" s="1855" t="s">
        <v>2314</v>
      </c>
      <c r="F83" s="1855" t="s">
        <v>2315</v>
      </c>
      <c r="G83" s="1855" t="s">
        <v>2316</v>
      </c>
      <c r="H83" s="1855"/>
      <c r="I83" s="1855"/>
      <c r="J83" s="1855"/>
      <c r="K83" s="1855"/>
      <c r="L83" s="1855"/>
      <c r="M83" s="1883"/>
      <c r="N83" s="3010"/>
      <c r="O83" s="3010"/>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2"/>
      <c r="N84" s="3010"/>
      <c r="O84" s="3010"/>
      <c r="P84" s="2053"/>
      <c r="Q84" s="1817"/>
    </row>
    <row r="85" spans="1:17" ht="15.75" thickTop="1">
      <c r="A85" s="1849"/>
      <c r="B85" s="1854" t="s">
        <v>2393</v>
      </c>
      <c r="C85" s="579" t="s">
        <v>2305</v>
      </c>
      <c r="D85" s="579" t="s">
        <v>2306</v>
      </c>
      <c r="E85" s="579" t="s">
        <v>2307</v>
      </c>
      <c r="F85" s="579" t="s">
        <v>2308</v>
      </c>
      <c r="G85" s="579" t="s">
        <v>2309</v>
      </c>
      <c r="H85" s="1855"/>
      <c r="I85" s="1855"/>
      <c r="J85" s="1855"/>
      <c r="K85" s="428"/>
      <c r="L85" s="428"/>
      <c r="M85" s="1856"/>
      <c r="N85" s="3009"/>
      <c r="O85" s="3009"/>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0"/>
      <c r="O86" s="3010"/>
      <c r="P86" s="2053"/>
      <c r="Q86" s="1817"/>
    </row>
    <row r="87" spans="1:17" s="1682" customFormat="1" ht="27.75" thickTop="1">
      <c r="A87" s="1885"/>
      <c r="B87" s="1854" t="s">
        <v>2394</v>
      </c>
      <c r="C87" s="468"/>
      <c r="D87" s="468"/>
      <c r="E87" s="468"/>
      <c r="F87" s="468"/>
      <c r="G87" s="468"/>
      <c r="H87" s="468"/>
      <c r="I87" s="468"/>
      <c r="J87" s="468"/>
      <c r="K87" s="468"/>
      <c r="L87" s="468"/>
      <c r="M87" s="1886"/>
      <c r="N87" s="3008"/>
      <c r="O87" s="3008"/>
      <c r="P87" s="2053"/>
      <c r="Q87" s="1817"/>
    </row>
    <row r="88" spans="1:17" s="1682"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0"/>
      <c r="O88" s="3010"/>
      <c r="P88" s="2053"/>
      <c r="Q88" s="1817"/>
    </row>
    <row r="89" spans="1:17" s="1682" customFormat="1" ht="15.75" thickTop="1">
      <c r="A89" s="1885"/>
      <c r="B89" s="1854" t="str">
        <f>B27</f>
        <v>楼层</v>
      </c>
      <c r="C89" s="468"/>
      <c r="D89" s="468"/>
      <c r="E89" s="468"/>
      <c r="F89" s="1888"/>
      <c r="G89" s="468"/>
      <c r="H89" s="468"/>
      <c r="I89" s="468"/>
      <c r="J89" s="468"/>
      <c r="K89" s="468"/>
      <c r="L89" s="468"/>
      <c r="M89" s="1886"/>
      <c r="N89" s="3008"/>
      <c r="O89" s="3008"/>
      <c r="P89" s="2053"/>
      <c r="Q89" s="1817"/>
    </row>
    <row r="90" spans="1:17" s="1682"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0"/>
      <c r="O90" s="3010"/>
      <c r="P90" s="2053"/>
      <c r="Q90" s="1817"/>
    </row>
    <row r="91" spans="1:17" s="1767" customFormat="1" ht="15.75" thickTop="1">
      <c r="A91" s="1865"/>
      <c r="B91" s="1854" t="str">
        <f>B28</f>
        <v>朝向</v>
      </c>
      <c r="C91" s="468"/>
      <c r="D91" s="468"/>
      <c r="E91" s="468"/>
      <c r="F91" s="468"/>
      <c r="G91" s="468"/>
      <c r="H91" s="443"/>
      <c r="I91" s="443"/>
      <c r="J91" s="443"/>
      <c r="K91" s="443"/>
      <c r="L91" s="443"/>
      <c r="M91" s="1866"/>
      <c r="N91" s="3011"/>
      <c r="O91" s="3011"/>
      <c r="P91" s="2054"/>
      <c r="Q91" s="1869"/>
    </row>
    <row r="92" spans="1:17" s="1767"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1"/>
      <c r="O92" s="3011"/>
      <c r="P92" s="2054"/>
      <c r="Q92" s="1869"/>
    </row>
    <row r="93" spans="1:17" ht="15.75" thickTop="1">
      <c r="A93" s="1849"/>
      <c r="B93" s="1854">
        <f>B29</f>
        <v>111</v>
      </c>
      <c r="C93" s="468"/>
      <c r="D93" s="468"/>
      <c r="E93" s="468"/>
      <c r="F93" s="468"/>
      <c r="G93" s="468"/>
      <c r="H93" s="468"/>
      <c r="I93" s="468"/>
      <c r="J93" s="468"/>
      <c r="K93" s="468"/>
      <c r="L93" s="468"/>
      <c r="M93" s="1886"/>
      <c r="N93" s="3009"/>
      <c r="O93" s="3009"/>
      <c r="P93" s="2053"/>
      <c r="Q93" s="1817"/>
    </row>
    <row r="94" spans="1:17" ht="15.75" thickBot="1">
      <c r="A94" s="1849"/>
      <c r="B94" s="1857"/>
      <c r="C94" s="1870"/>
      <c r="D94" s="1851"/>
      <c r="E94" s="1851"/>
      <c r="F94" s="1851"/>
      <c r="G94" s="1851"/>
      <c r="H94" s="1851"/>
      <c r="I94" s="1851"/>
      <c r="J94" s="1851"/>
      <c r="K94" s="1851"/>
      <c r="L94" s="1851"/>
      <c r="M94" s="1852"/>
      <c r="N94" s="3010"/>
      <c r="O94" s="3010"/>
      <c r="P94" s="2053"/>
      <c r="Q94" s="1817"/>
    </row>
    <row r="95" spans="1:17" ht="15.75" thickTop="1">
      <c r="A95" s="1849"/>
      <c r="B95" s="1854">
        <f>B30</f>
        <v>111</v>
      </c>
      <c r="C95" s="468"/>
      <c r="D95" s="468"/>
      <c r="E95" s="468"/>
      <c r="F95" s="468"/>
      <c r="G95" s="1575"/>
      <c r="H95" s="1575"/>
      <c r="I95" s="1575"/>
      <c r="J95" s="1575"/>
      <c r="K95" s="473"/>
      <c r="L95" s="473"/>
      <c r="M95" s="1889"/>
      <c r="N95" s="3009"/>
      <c r="O95" s="3009"/>
      <c r="P95" s="2053"/>
      <c r="Q95" s="1817"/>
    </row>
    <row r="96" spans="1:17" ht="15.75" thickBot="1">
      <c r="A96" s="1849"/>
      <c r="B96" s="1857"/>
      <c r="C96" s="1870"/>
      <c r="D96" s="1870"/>
      <c r="E96" s="1870"/>
      <c r="F96" s="1870"/>
      <c r="G96" s="1851"/>
      <c r="H96" s="1851"/>
      <c r="I96" s="1851"/>
      <c r="J96" s="1851"/>
      <c r="K96" s="1851"/>
      <c r="L96" s="1851"/>
      <c r="M96" s="1852"/>
      <c r="N96" s="3010"/>
      <c r="O96" s="3010"/>
      <c r="P96" s="2053"/>
      <c r="Q96" s="1817"/>
    </row>
    <row r="97" spans="1:17" ht="15.75" thickTop="1">
      <c r="A97" s="1849"/>
      <c r="B97" s="1854">
        <f>B31</f>
        <v>111</v>
      </c>
      <c r="C97" s="468"/>
      <c r="D97" s="468"/>
      <c r="E97" s="468"/>
      <c r="F97" s="468"/>
      <c r="G97" s="1575"/>
      <c r="H97" s="1575"/>
      <c r="I97" s="1575"/>
      <c r="J97" s="1575"/>
      <c r="K97" s="473"/>
      <c r="L97" s="473"/>
      <c r="M97" s="1889"/>
      <c r="N97" s="3009"/>
      <c r="O97" s="3009"/>
      <c r="P97" s="2053"/>
      <c r="Q97" s="1817"/>
    </row>
    <row r="98" spans="1:17" ht="15.75" thickBot="1">
      <c r="A98" s="1849"/>
      <c r="B98" s="1857"/>
      <c r="C98" s="1870"/>
      <c r="D98" s="1851"/>
      <c r="E98" s="1851"/>
      <c r="F98" s="1851"/>
      <c r="G98" s="1851"/>
      <c r="H98" s="1851"/>
      <c r="I98" s="1851"/>
      <c r="J98" s="1851"/>
      <c r="K98" s="1851"/>
      <c r="L98" s="1851"/>
      <c r="M98" s="1852"/>
      <c r="N98" s="3010"/>
      <c r="O98" s="3010"/>
      <c r="P98" s="2053"/>
      <c r="Q98" s="1817"/>
    </row>
    <row r="99" spans="1:17" ht="15.75" thickTop="1">
      <c r="A99" s="1849"/>
      <c r="B99" s="1860">
        <f>B32</f>
        <v>111</v>
      </c>
      <c r="C99" s="409"/>
      <c r="D99" s="409"/>
      <c r="E99" s="409"/>
      <c r="F99" s="409"/>
      <c r="G99" s="1890"/>
      <c r="H99" s="1890"/>
      <c r="I99" s="1890"/>
      <c r="J99" s="1890"/>
      <c r="K99" s="477"/>
      <c r="L99" s="477"/>
      <c r="M99" s="1891"/>
      <c r="N99" s="3009"/>
      <c r="O99" s="3009"/>
      <c r="P99" s="2053"/>
      <c r="Q99" s="1817"/>
    </row>
    <row r="100" spans="1:17" ht="15.75" thickBot="1">
      <c r="A100" s="1892"/>
      <c r="B100" s="1877"/>
      <c r="C100" s="1878"/>
      <c r="D100" s="1878"/>
      <c r="E100" s="1878"/>
      <c r="F100" s="1878"/>
      <c r="G100" s="1893"/>
      <c r="H100" s="1893"/>
      <c r="I100" s="1893"/>
      <c r="J100" s="1893"/>
      <c r="K100" s="1893"/>
      <c r="L100" s="1893"/>
      <c r="M100" s="1894"/>
      <c r="N100" s="3010"/>
      <c r="O100" s="3010"/>
      <c r="P100" s="2053"/>
      <c r="Q100" s="1817"/>
    </row>
    <row r="101" spans="1:17">
      <c r="A101" s="1842" t="s">
        <v>2271</v>
      </c>
      <c r="B101" s="1843" t="s">
        <v>2320</v>
      </c>
      <c r="C101" s="1845"/>
      <c r="D101" s="1845"/>
      <c r="E101" s="1845"/>
      <c r="F101" s="1845"/>
      <c r="G101" s="1845"/>
      <c r="H101" s="1845"/>
      <c r="I101" s="1845"/>
      <c r="J101" s="1845"/>
      <c r="K101" s="417"/>
      <c r="L101" s="417"/>
      <c r="M101" s="1846"/>
      <c r="N101" s="3009"/>
      <c r="O101" s="3009"/>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0"/>
      <c r="O102" s="3010"/>
      <c r="P102" s="2053"/>
      <c r="Q102" s="1817"/>
    </row>
    <row r="103" spans="1:17" ht="15.75" thickTop="1">
      <c r="A103" s="1849"/>
      <c r="B103" s="1854" t="s">
        <v>2321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8"/>
      <c r="O103" s="3008"/>
      <c r="P103" s="2053"/>
      <c r="Q103" s="1817"/>
    </row>
    <row r="104" spans="1:17" s="1767" customFormat="1">
      <c r="A104" s="1895"/>
      <c r="B104" s="1896"/>
      <c r="C104" s="1897"/>
      <c r="D104" s="1897"/>
      <c r="E104" s="1897"/>
      <c r="F104" s="1897"/>
      <c r="G104" s="1897"/>
      <c r="H104" s="1897"/>
      <c r="I104" s="1897"/>
      <c r="J104" s="485"/>
      <c r="K104" s="485"/>
      <c r="L104" s="485"/>
      <c r="M104" s="1898"/>
      <c r="N104" s="3011"/>
      <c r="O104" s="3011"/>
      <c r="P104" s="2054"/>
      <c r="Q104" s="1869"/>
    </row>
    <row r="105" spans="1:17" s="1767" customFormat="1" ht="15.75" thickBot="1">
      <c r="A105" s="1865"/>
      <c r="B105" s="1857"/>
      <c r="C105" s="1870"/>
      <c r="D105" s="1851"/>
      <c r="E105" s="1851"/>
      <c r="F105" s="1851"/>
      <c r="G105" s="1851"/>
      <c r="H105" s="1851"/>
      <c r="I105" s="1851"/>
      <c r="J105" s="1851"/>
      <c r="K105" s="1851"/>
      <c r="L105" s="1851"/>
      <c r="M105" s="1852"/>
      <c r="N105" s="3010"/>
      <c r="O105" s="3010"/>
      <c r="P105" s="2054"/>
      <c r="Q105" s="1869"/>
    </row>
    <row r="106" spans="1:17" ht="15" thickTop="1">
      <c r="A106" s="1899"/>
      <c r="B106" s="1854" t="s">
        <v>2322</v>
      </c>
      <c r="C106" s="468"/>
      <c r="D106" s="468"/>
      <c r="E106" s="1575"/>
      <c r="F106" s="1575"/>
      <c r="G106" s="1575"/>
      <c r="H106" s="1575"/>
      <c r="I106" s="1575"/>
      <c r="J106" s="1575"/>
      <c r="K106" s="473"/>
      <c r="L106" s="473"/>
      <c r="M106" s="1889"/>
      <c r="N106" s="3009"/>
      <c r="O106" s="3009"/>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0"/>
      <c r="O107" s="3010"/>
      <c r="P107" s="2053"/>
      <c r="Q107" s="1817"/>
    </row>
    <row r="108" spans="1:17" ht="15" thickTop="1">
      <c r="A108" s="1899"/>
      <c r="B108" s="1854" t="s">
        <v>2324</v>
      </c>
      <c r="C108" s="468"/>
      <c r="D108" s="468"/>
      <c r="E108" s="468"/>
      <c r="F108" s="1575"/>
      <c r="G108" s="1575"/>
      <c r="H108" s="1575"/>
      <c r="I108" s="1575"/>
      <c r="J108" s="1575"/>
      <c r="K108" s="473"/>
      <c r="L108" s="473"/>
      <c r="M108" s="1889"/>
      <c r="N108" s="3009"/>
      <c r="O108" s="3009"/>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0"/>
      <c r="O109" s="3010"/>
      <c r="P109" s="2053"/>
      <c r="Q109" s="1817"/>
    </row>
    <row r="110" spans="1:17" ht="15" thickTop="1">
      <c r="A110" s="1899"/>
      <c r="B110" s="1854"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89"/>
      <c r="N110" s="3009"/>
      <c r="O110" s="3009"/>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09"/>
      <c r="O111" s="3009"/>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0"/>
      <c r="O112" s="3010"/>
      <c r="P112" s="2053"/>
      <c r="Q112" s="1817"/>
    </row>
    <row r="113" spans="1:17" s="1767" customFormat="1" ht="15" thickTop="1">
      <c r="A113" s="1895"/>
      <c r="B113" s="1854" t="s">
        <v>2395</v>
      </c>
      <c r="C113" s="468"/>
      <c r="D113" s="468"/>
      <c r="E113" s="468"/>
      <c r="F113" s="468"/>
      <c r="G113" s="468"/>
      <c r="H113" s="1575"/>
      <c r="I113" s="1575"/>
      <c r="J113" s="1575"/>
      <c r="K113" s="473"/>
      <c r="L113" s="473"/>
      <c r="M113" s="1889"/>
      <c r="N113" s="3011"/>
      <c r="O113" s="3011"/>
      <c r="P113" s="2054"/>
      <c r="Q113" s="1869"/>
    </row>
    <row r="114" spans="1:17" s="1767"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1"/>
      <c r="O114" s="3011"/>
      <c r="P114" s="2054"/>
      <c r="Q114" s="1869"/>
    </row>
    <row r="115" spans="1:17" ht="15" thickTop="1">
      <c r="A115" s="1899"/>
      <c r="B115" s="1854" t="s">
        <v>2326</v>
      </c>
      <c r="C115" s="468"/>
      <c r="D115" s="468"/>
      <c r="E115" s="1575"/>
      <c r="F115" s="1575"/>
      <c r="G115" s="1575"/>
      <c r="H115" s="1575"/>
      <c r="I115" s="1575"/>
      <c r="J115" s="1575"/>
      <c r="K115" s="473"/>
      <c r="L115" s="473"/>
      <c r="M115" s="1889"/>
      <c r="N115" s="3009"/>
      <c r="O115" s="3009"/>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0"/>
      <c r="O116" s="3010"/>
      <c r="P116" s="2053"/>
      <c r="Q116" s="1817"/>
    </row>
    <row r="117" spans="1:17" ht="15" thickTop="1">
      <c r="A117" s="1899"/>
      <c r="B117" s="1854" t="s">
        <v>2327</v>
      </c>
      <c r="C117" s="468"/>
      <c r="D117" s="468"/>
      <c r="E117" s="468"/>
      <c r="F117" s="468"/>
      <c r="G117" s="468"/>
      <c r="H117" s="1575"/>
      <c r="I117" s="1575"/>
      <c r="J117" s="1575"/>
      <c r="K117" s="473"/>
      <c r="L117" s="473"/>
      <c r="M117" s="1889"/>
      <c r="N117" s="3009"/>
      <c r="O117" s="3009"/>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0"/>
      <c r="O118" s="3010"/>
      <c r="P118" s="2053"/>
      <c r="Q118" s="1817"/>
    </row>
    <row r="119" spans="1:17" ht="15" thickTop="1">
      <c r="A119" s="1899"/>
      <c r="B119" s="2501" t="s">
        <v>2396</v>
      </c>
      <c r="C119" s="1575"/>
      <c r="D119" s="1575"/>
      <c r="E119" s="1575"/>
      <c r="F119" s="1575"/>
      <c r="G119" s="1575"/>
      <c r="H119" s="1575"/>
      <c r="I119" s="1575"/>
      <c r="J119" s="1575"/>
      <c r="K119" s="1575"/>
      <c r="L119" s="1575"/>
      <c r="M119" s="2502"/>
      <c r="N119" s="3010"/>
      <c r="O119" s="3010"/>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0"/>
      <c r="O120" s="3010"/>
      <c r="P120" s="2053"/>
      <c r="Q120" s="1817"/>
    </row>
    <row r="121" spans="1:17" s="1767" customFormat="1" ht="15" thickTop="1">
      <c r="A121" s="1895"/>
      <c r="B121" s="1854" t="s">
        <v>2378</v>
      </c>
      <c r="C121" s="468"/>
      <c r="D121" s="468"/>
      <c r="E121" s="468"/>
      <c r="F121" s="1575"/>
      <c r="G121" s="443"/>
      <c r="H121" s="443"/>
      <c r="I121" s="443"/>
      <c r="J121" s="443"/>
      <c r="K121" s="443"/>
      <c r="L121" s="443"/>
      <c r="M121" s="1866"/>
      <c r="N121" s="3011"/>
      <c r="O121" s="3011"/>
      <c r="P121" s="2054"/>
      <c r="Q121" s="1869"/>
    </row>
    <row r="122" spans="1:17" s="1767" customFormat="1" ht="15.75" thickBot="1">
      <c r="A122" s="1865"/>
      <c r="B122" s="1850"/>
      <c r="C122" s="1870"/>
      <c r="D122" s="1870"/>
      <c r="E122" s="1870"/>
      <c r="F122" s="1870"/>
      <c r="G122" s="1870"/>
      <c r="H122" s="1870"/>
      <c r="I122" s="1870"/>
      <c r="J122" s="1870"/>
      <c r="K122" s="1870"/>
      <c r="L122" s="1870"/>
      <c r="M122" s="1870"/>
      <c r="N122" s="3011"/>
      <c r="O122" s="3011"/>
      <c r="P122" s="2054"/>
      <c r="Q122" s="1869"/>
    </row>
    <row r="123" spans="1:17" ht="15" thickTop="1">
      <c r="A123" s="1899"/>
      <c r="B123" s="1854" t="s">
        <v>2329</v>
      </c>
      <c r="C123" s="468"/>
      <c r="D123" s="468"/>
      <c r="E123" s="468"/>
      <c r="F123" s="1575"/>
      <c r="G123" s="1575"/>
      <c r="H123" s="1575"/>
      <c r="I123" s="1575"/>
      <c r="J123" s="1575"/>
      <c r="K123" s="473"/>
      <c r="L123" s="473"/>
      <c r="M123" s="1889"/>
      <c r="N123" s="3009"/>
      <c r="O123" s="3009"/>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0"/>
      <c r="O124" s="3010"/>
      <c r="P124" s="2053"/>
      <c r="Q124" s="1817"/>
    </row>
    <row r="125" spans="1:17" ht="15" thickTop="1">
      <c r="A125" s="1899"/>
      <c r="B125" s="1854" t="s">
        <v>2330</v>
      </c>
      <c r="C125" s="579" t="s">
        <v>2305</v>
      </c>
      <c r="D125" s="579" t="s">
        <v>2306</v>
      </c>
      <c r="E125" s="579" t="s">
        <v>2307</v>
      </c>
      <c r="F125" s="579" t="s">
        <v>2308</v>
      </c>
      <c r="G125" s="579" t="s">
        <v>2309</v>
      </c>
      <c r="H125" s="1855"/>
      <c r="I125" s="1855"/>
      <c r="J125" s="1855"/>
      <c r="K125" s="428"/>
      <c r="L125" s="428"/>
      <c r="M125" s="1856"/>
      <c r="N125" s="3009"/>
      <c r="O125" s="3009"/>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0"/>
      <c r="O126" s="3010"/>
      <c r="P126" s="2053"/>
      <c r="Q126" s="1817"/>
    </row>
    <row r="127" spans="1:17" s="1767" customFormat="1" ht="15" thickTop="1">
      <c r="A127" s="1895"/>
      <c r="B127" s="1854">
        <f>B45</f>
        <v>111</v>
      </c>
      <c r="C127" s="468"/>
      <c r="D127" s="468"/>
      <c r="E127" s="468"/>
      <c r="F127" s="468"/>
      <c r="G127" s="468"/>
      <c r="H127" s="443"/>
      <c r="I127" s="443"/>
      <c r="J127" s="443"/>
      <c r="K127" s="443"/>
      <c r="L127" s="443"/>
      <c r="M127" s="1866"/>
      <c r="N127" s="3011"/>
      <c r="O127" s="3011"/>
      <c r="P127" s="2054"/>
      <c r="Q127" s="1869"/>
    </row>
    <row r="128" spans="1:17" s="1767" customFormat="1" ht="15.75" thickBot="1">
      <c r="A128" s="1865"/>
      <c r="B128" s="1857"/>
      <c r="C128" s="1870"/>
      <c r="D128" s="1851"/>
      <c r="E128" s="1851"/>
      <c r="F128" s="1851"/>
      <c r="G128" s="1870"/>
      <c r="H128" s="1873"/>
      <c r="I128" s="1873"/>
      <c r="J128" s="1873"/>
      <c r="K128" s="1873"/>
      <c r="L128" s="1873"/>
      <c r="M128" s="1874"/>
      <c r="N128" s="3011"/>
      <c r="O128" s="3011"/>
      <c r="P128" s="2054"/>
      <c r="Q128" s="1869"/>
    </row>
    <row r="129" spans="1:17" ht="15" thickTop="1">
      <c r="A129" s="1899"/>
      <c r="B129" s="1854">
        <f>B46</f>
        <v>111</v>
      </c>
      <c r="C129" s="468"/>
      <c r="D129" s="468"/>
      <c r="E129" s="468"/>
      <c r="F129" s="468"/>
      <c r="G129" s="1575"/>
      <c r="H129" s="1575"/>
      <c r="I129" s="1575"/>
      <c r="J129" s="1575"/>
      <c r="K129" s="473"/>
      <c r="L129" s="473"/>
      <c r="M129" s="1889"/>
      <c r="N129" s="3009"/>
      <c r="O129" s="3009"/>
      <c r="P129" s="2053"/>
      <c r="Q129" s="1817"/>
    </row>
    <row r="130" spans="1:17" ht="15.75" thickBot="1">
      <c r="A130" s="1849"/>
      <c r="B130" s="1857"/>
      <c r="C130" s="1870"/>
      <c r="D130" s="1870"/>
      <c r="E130" s="1870"/>
      <c r="F130" s="1870"/>
      <c r="G130" s="1851"/>
      <c r="H130" s="1851"/>
      <c r="I130" s="1851"/>
      <c r="J130" s="1851"/>
      <c r="K130" s="1851"/>
      <c r="L130" s="1851"/>
      <c r="M130" s="1852"/>
      <c r="N130" s="3010"/>
      <c r="O130" s="3010"/>
      <c r="P130" s="2053"/>
      <c r="Q130" s="1817"/>
    </row>
    <row r="131" spans="1:17" ht="15" thickTop="1">
      <c r="A131" s="1899"/>
      <c r="B131" s="1860">
        <f>B47</f>
        <v>111</v>
      </c>
      <c r="C131" s="409"/>
      <c r="D131" s="409"/>
      <c r="E131" s="409"/>
      <c r="F131" s="409"/>
      <c r="G131" s="1890"/>
      <c r="H131" s="1890"/>
      <c r="I131" s="1890"/>
      <c r="J131" s="1890"/>
      <c r="K131" s="409"/>
      <c r="L131" s="409"/>
      <c r="M131" s="1891"/>
      <c r="N131" s="3009"/>
      <c r="O131" s="3009"/>
      <c r="P131" s="2053"/>
      <c r="Q131" s="1817"/>
    </row>
    <row r="132" spans="1:17" ht="15.75" thickBot="1">
      <c r="A132" s="2505"/>
      <c r="B132" s="1877"/>
      <c r="C132" s="1878"/>
      <c r="D132" s="1878"/>
      <c r="E132" s="1878"/>
      <c r="F132" s="1878"/>
      <c r="G132" s="1893"/>
      <c r="H132" s="1893"/>
      <c r="I132" s="1893"/>
      <c r="J132" s="1893"/>
      <c r="K132" s="1893"/>
      <c r="L132" s="1893"/>
      <c r="M132" s="1894"/>
      <c r="N132" s="3010"/>
      <c r="O132" s="3010"/>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2239</v>
      </c>
      <c r="B1" s="1225" t="s">
        <v>2397</v>
      </c>
      <c r="C1" s="1217"/>
      <c r="D1" s="1230"/>
      <c r="E1" s="1556"/>
      <c r="F1" s="1231" t="s">
        <v>2241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3"/>
      <c r="I2" s="3013"/>
      <c r="J2" s="3013"/>
      <c r="K2" s="3013"/>
      <c r="L2" s="3014"/>
      <c r="M2" s="3015"/>
      <c r="N2" s="3015"/>
      <c r="O2" s="3015"/>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2242</v>
      </c>
      <c r="D3" s="292">
        <f>IF(C1="仅计算典型户型",'数据-取费表'!E5,'数据-取费表'!B5)</f>
        <v>82.35</v>
      </c>
      <c r="E3" s="3013"/>
      <c r="F3" s="3016"/>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98" t="s">
        <v>2244</v>
      </c>
      <c r="D4" s="3499"/>
      <c r="E4" s="3500" t="s">
        <v>2245</v>
      </c>
      <c r="F4" s="3501"/>
      <c r="G4" s="3498" t="s">
        <v>2246</v>
      </c>
      <c r="H4" s="3499"/>
      <c r="I4" s="3498" t="s">
        <v>2247</v>
      </c>
      <c r="J4" s="3499"/>
      <c r="K4" s="496" t="s">
        <v>2248</v>
      </c>
      <c r="L4" s="3018"/>
      <c r="M4" s="3019"/>
      <c r="N4" s="3019"/>
      <c r="O4" s="3019"/>
      <c r="P4" s="3502" t="s">
        <v>2249</v>
      </c>
      <c r="Q4" s="3503"/>
      <c r="R4" s="3508" t="s">
        <v>2245</v>
      </c>
      <c r="S4" s="3509"/>
      <c r="T4" s="3508" t="s">
        <v>2246</v>
      </c>
      <c r="U4" s="3509"/>
      <c r="V4" s="3514" t="s">
        <v>2247</v>
      </c>
      <c r="W4" s="3514"/>
      <c r="X4" s="1334"/>
      <c r="Y4" s="3508" t="s">
        <v>2249</v>
      </c>
      <c r="Z4" s="3509"/>
      <c r="AA4" s="3495" t="s">
        <v>2245</v>
      </c>
      <c r="AB4" s="3496" t="s">
        <v>2246</v>
      </c>
      <c r="AC4" s="3495" t="s">
        <v>2247</v>
      </c>
    </row>
    <row r="5" spans="1:29" ht="15">
      <c r="A5" s="297"/>
      <c r="B5" s="298"/>
      <c r="C5" s="3491" t="s">
        <v>2250</v>
      </c>
      <c r="D5" s="3492"/>
      <c r="E5" s="3515" t="s">
        <v>2251</v>
      </c>
      <c r="F5" s="3516"/>
      <c r="G5" s="3491" t="s">
        <v>2252</v>
      </c>
      <c r="H5" s="3492"/>
      <c r="I5" s="3491" t="s">
        <v>2253</v>
      </c>
      <c r="J5" s="3492"/>
      <c r="K5" s="496"/>
      <c r="L5" s="3018"/>
      <c r="M5" s="3019"/>
      <c r="N5" s="3019"/>
      <c r="O5" s="3019"/>
      <c r="P5" s="3504"/>
      <c r="Q5" s="3505"/>
      <c r="R5" s="3510"/>
      <c r="S5" s="3511"/>
      <c r="T5" s="3510"/>
      <c r="U5" s="3511"/>
      <c r="V5" s="3514"/>
      <c r="W5" s="3514"/>
      <c r="X5" s="1334"/>
      <c r="Y5" s="3510"/>
      <c r="Z5" s="3511"/>
      <c r="AA5" s="3496"/>
      <c r="AB5" s="3496"/>
      <c r="AC5" s="3496"/>
    </row>
    <row r="6" spans="1:29" ht="15.75" thickBot="1">
      <c r="A6" s="299"/>
      <c r="B6" s="300"/>
      <c r="C6" s="3488" t="s">
        <v>2254</v>
      </c>
      <c r="D6" s="3489"/>
      <c r="E6" s="3486" t="s">
        <v>2254</v>
      </c>
      <c r="F6" s="3487"/>
      <c r="G6" s="3488" t="s">
        <v>2254</v>
      </c>
      <c r="H6" s="3489"/>
      <c r="I6" s="3488" t="s">
        <v>2254</v>
      </c>
      <c r="J6" s="3489"/>
      <c r="K6" s="496" t="s">
        <v>2255</v>
      </c>
      <c r="L6" s="3018"/>
      <c r="M6" s="3019"/>
      <c r="N6" s="3019"/>
      <c r="O6" s="3019"/>
      <c r="P6" s="3506"/>
      <c r="Q6" s="3507"/>
      <c r="R6" s="3510"/>
      <c r="S6" s="3511"/>
      <c r="T6" s="3512"/>
      <c r="U6" s="3513"/>
      <c r="V6" s="3514"/>
      <c r="W6" s="3514"/>
      <c r="X6" s="1334"/>
      <c r="Y6" s="3512"/>
      <c r="Z6" s="3513"/>
      <c r="AA6" s="3497"/>
      <c r="AB6" s="3497"/>
      <c r="AC6" s="3497"/>
    </row>
    <row r="7" spans="1:29" s="25" customFormat="1" ht="15.75" thickBot="1">
      <c r="A7" s="301" t="s">
        <v>2256</v>
      </c>
      <c r="B7" s="302"/>
      <c r="C7" s="303">
        <f>'数据-取费表'!B2</f>
        <v>44296</v>
      </c>
      <c r="D7" s="304">
        <v>100</v>
      </c>
      <c r="E7" s="305"/>
      <c r="F7" s="306">
        <f>SUMIF(52:52,YEAR(E7)&amp;"-"&amp;MONTH(E7),53:53)</f>
        <v>0</v>
      </c>
      <c r="G7" s="305"/>
      <c r="H7" s="304">
        <f>SUMIF(52:52,YEAR(G7)&amp;"-"&amp;MONTH(G7),53:53)</f>
        <v>0</v>
      </c>
      <c r="I7" s="305"/>
      <c r="J7" s="304">
        <f>SUMIF(52:52,YEAR(I7)&amp;"-"&amp;MONTH(I7),53:53)</f>
        <v>0</v>
      </c>
      <c r="K7" s="497"/>
      <c r="L7" s="3020"/>
      <c r="M7" s="3021"/>
      <c r="N7" s="3021"/>
      <c r="O7" s="3021"/>
      <c r="P7" s="3493" t="s">
        <v>2257</v>
      </c>
      <c r="Q7" s="3517"/>
      <c r="R7" s="626" t="s">
        <v>25</v>
      </c>
      <c r="S7" s="627">
        <f t="shared" ref="S7:S15" si="0">F7</f>
        <v>0</v>
      </c>
      <c r="T7" s="626" t="s">
        <v>25</v>
      </c>
      <c r="U7" s="627">
        <f t="shared" ref="U7:U15" si="1">H7</f>
        <v>0</v>
      </c>
      <c r="V7" s="626" t="s">
        <v>25</v>
      </c>
      <c r="W7" s="627">
        <f t="shared" ref="W7:W15" si="2">J7</f>
        <v>0</v>
      </c>
      <c r="X7" s="628"/>
      <c r="Y7" s="3493" t="s">
        <v>2257</v>
      </c>
      <c r="Z7" s="3494"/>
      <c r="AA7" s="629" t="e">
        <f>D7/F7</f>
        <v>#DIV/0!</v>
      </c>
      <c r="AB7" s="629" t="e">
        <f>D7/H7</f>
        <v>#DIV/0!</v>
      </c>
      <c r="AC7" s="629" t="e">
        <f>D7/J7</f>
        <v>#DIV/0!</v>
      </c>
    </row>
    <row r="8" spans="1:29" s="25" customFormat="1" ht="15.75" thickBot="1">
      <c r="A8" s="301" t="s">
        <v>2258</v>
      </c>
      <c r="B8" s="302"/>
      <c r="C8" s="307" t="s">
        <v>2877</v>
      </c>
      <c r="D8" s="304">
        <v>100</v>
      </c>
      <c r="E8" s="307"/>
      <c r="F8" s="306">
        <f>SUMIF(55:55,E8,56:56)-SUMIF(55:55,C8,56:56)+100</f>
        <v>0</v>
      </c>
      <c r="G8" s="307"/>
      <c r="H8" s="304">
        <f>SUMIF(55:55,G8,56:56)-SUMIF(55:55,C8,56:56)+100</f>
        <v>0</v>
      </c>
      <c r="I8" s="307"/>
      <c r="J8" s="304">
        <f>SUMIF(55:55,I8,56:56)-SUMIF(55:55,C8,56:56)+100</f>
        <v>0</v>
      </c>
      <c r="K8" s="497"/>
      <c r="L8" s="3020"/>
      <c r="M8" s="3021"/>
      <c r="N8" s="3021"/>
      <c r="O8" s="3021"/>
      <c r="P8" s="3493" t="s">
        <v>2260</v>
      </c>
      <c r="Q8" s="3494"/>
      <c r="R8" s="626" t="s">
        <v>25</v>
      </c>
      <c r="S8" s="627">
        <f t="shared" si="0"/>
        <v>0</v>
      </c>
      <c r="T8" s="626" t="s">
        <v>25</v>
      </c>
      <c r="U8" s="627">
        <f t="shared" si="1"/>
        <v>0</v>
      </c>
      <c r="V8" s="626" t="s">
        <v>25</v>
      </c>
      <c r="W8" s="627">
        <f t="shared" si="2"/>
        <v>0</v>
      </c>
      <c r="X8" s="628"/>
      <c r="Y8" s="3493" t="s">
        <v>2260</v>
      </c>
      <c r="Z8" s="3494"/>
      <c r="AA8" s="629" t="e">
        <f t="shared" ref="AA8:AA40" si="3">D8/F8</f>
        <v>#DIV/0!</v>
      </c>
      <c r="AB8" s="629" t="e">
        <f t="shared" ref="AB8:AB40" si="4">D8/H8</f>
        <v>#DIV/0!</v>
      </c>
      <c r="AC8" s="629"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0"/>
      <c r="M9" s="3021"/>
      <c r="N9" s="3021"/>
      <c r="O9" s="3022"/>
      <c r="P9" s="3490" t="s">
        <v>2263</v>
      </c>
      <c r="Q9" s="1326" t="str">
        <f t="shared" ref="Q9:Q15" si="6">B9</f>
        <v>用途</v>
      </c>
      <c r="R9" s="626" t="s">
        <v>25</v>
      </c>
      <c r="S9" s="627">
        <f t="shared" si="0"/>
        <v>100</v>
      </c>
      <c r="T9" s="626" t="s">
        <v>25</v>
      </c>
      <c r="U9" s="627">
        <f t="shared" si="1"/>
        <v>100</v>
      </c>
      <c r="V9" s="626" t="s">
        <v>25</v>
      </c>
      <c r="W9" s="627">
        <f t="shared" si="2"/>
        <v>100</v>
      </c>
      <c r="X9" s="628"/>
      <c r="Y9" s="3520" t="s">
        <v>2264</v>
      </c>
      <c r="Z9" s="19" t="str">
        <f t="shared" ref="Z9:Z15" si="7">Q9</f>
        <v>用途</v>
      </c>
      <c r="AA9" s="629">
        <f t="shared" si="3"/>
        <v>1</v>
      </c>
      <c r="AB9" s="629">
        <f t="shared" si="4"/>
        <v>1</v>
      </c>
      <c r="AC9" s="629">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23"/>
      <c r="M10" s="3024"/>
      <c r="N10" s="3024"/>
      <c r="O10" s="3025"/>
      <c r="P10" s="3490"/>
      <c r="Q10" s="1326" t="str">
        <f t="shared" si="6"/>
        <v>土地使用年限（年）</v>
      </c>
      <c r="R10" s="626" t="s">
        <v>25</v>
      </c>
      <c r="S10" s="627">
        <f t="shared" si="0"/>
        <v>100</v>
      </c>
      <c r="T10" s="626" t="s">
        <v>25</v>
      </c>
      <c r="U10" s="627">
        <f t="shared" si="1"/>
        <v>100</v>
      </c>
      <c r="V10" s="626" t="s">
        <v>25</v>
      </c>
      <c r="W10" s="627">
        <f t="shared" si="2"/>
        <v>100</v>
      </c>
      <c r="X10" s="628"/>
      <c r="Y10" s="3520"/>
      <c r="Z10" s="19" t="str">
        <f t="shared" si="7"/>
        <v>土地使用年限（年）</v>
      </c>
      <c r="AA10" s="629">
        <f t="shared" si="3"/>
        <v>1</v>
      </c>
      <c r="AB10" s="629">
        <f t="shared" si="4"/>
        <v>1</v>
      </c>
      <c r="AC10" s="629">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6"/>
      <c r="M11" s="3019"/>
      <c r="N11" s="3019"/>
      <c r="O11" s="3027"/>
      <c r="P11" s="3490"/>
      <c r="Q11" s="1326" t="str">
        <f t="shared" si="6"/>
        <v>容积率</v>
      </c>
      <c r="R11" s="626" t="s">
        <v>25</v>
      </c>
      <c r="S11" s="627" t="e">
        <f t="shared" si="0"/>
        <v>#N/A</v>
      </c>
      <c r="T11" s="626" t="s">
        <v>25</v>
      </c>
      <c r="U11" s="627" t="e">
        <f t="shared" si="1"/>
        <v>#N/A</v>
      </c>
      <c r="V11" s="626" t="s">
        <v>25</v>
      </c>
      <c r="W11" s="627" t="e">
        <f t="shared" si="2"/>
        <v>#N/A</v>
      </c>
      <c r="X11" s="628"/>
      <c r="Y11" s="3520"/>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0"/>
      <c r="M12" s="3021"/>
      <c r="N12" s="3021"/>
      <c r="O12" s="3022"/>
      <c r="P12" s="3490"/>
      <c r="Q12" s="1326">
        <f t="shared" si="6"/>
        <v>111</v>
      </c>
      <c r="R12" s="626" t="s">
        <v>25</v>
      </c>
      <c r="S12" s="627">
        <f t="shared" si="0"/>
        <v>100</v>
      </c>
      <c r="T12" s="626" t="s">
        <v>25</v>
      </c>
      <c r="U12" s="627">
        <f t="shared" si="1"/>
        <v>100</v>
      </c>
      <c r="V12" s="626" t="s">
        <v>25</v>
      </c>
      <c r="W12" s="627">
        <f t="shared" si="2"/>
        <v>100</v>
      </c>
      <c r="X12" s="628"/>
      <c r="Y12" s="3520"/>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8"/>
      <c r="M13" s="3019"/>
      <c r="N13" s="3019"/>
      <c r="O13" s="3027"/>
      <c r="P13" s="3490"/>
      <c r="Q13" s="1326">
        <f t="shared" si="6"/>
        <v>111</v>
      </c>
      <c r="R13" s="626" t="s">
        <v>25</v>
      </c>
      <c r="S13" s="627">
        <f t="shared" si="0"/>
        <v>100</v>
      </c>
      <c r="T13" s="626" t="s">
        <v>25</v>
      </c>
      <c r="U13" s="627">
        <f t="shared" si="1"/>
        <v>100</v>
      </c>
      <c r="V13" s="626" t="s">
        <v>25</v>
      </c>
      <c r="W13" s="627">
        <f t="shared" si="2"/>
        <v>100</v>
      </c>
      <c r="X13" s="628"/>
      <c r="Y13" s="3520"/>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8"/>
      <c r="M14" s="3019"/>
      <c r="N14" s="3019"/>
      <c r="O14" s="3027"/>
      <c r="P14" s="3490"/>
      <c r="Q14" s="1326">
        <f t="shared" si="6"/>
        <v>111</v>
      </c>
      <c r="R14" s="626" t="s">
        <v>25</v>
      </c>
      <c r="S14" s="627">
        <f t="shared" si="0"/>
        <v>100</v>
      </c>
      <c r="T14" s="626" t="s">
        <v>25</v>
      </c>
      <c r="U14" s="627">
        <f t="shared" si="1"/>
        <v>100</v>
      </c>
      <c r="V14" s="626" t="s">
        <v>25</v>
      </c>
      <c r="W14" s="627">
        <f t="shared" si="2"/>
        <v>100</v>
      </c>
      <c r="X14" s="628"/>
      <c r="Y14" s="3520"/>
      <c r="Z14" s="19">
        <f t="shared" si="7"/>
        <v>111</v>
      </c>
      <c r="AA14" s="629">
        <f t="shared" si="3"/>
        <v>1</v>
      </c>
      <c r="AB14" s="629">
        <f t="shared" si="4"/>
        <v>1</v>
      </c>
      <c r="AC14" s="629">
        <f t="shared" si="5"/>
        <v>1</v>
      </c>
    </row>
    <row r="15" spans="1:29" ht="57">
      <c r="A15" s="329" t="s">
        <v>2267</v>
      </c>
      <c r="B15" s="22" t="s">
        <v>2398</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8"/>
      <c r="M15" s="3019"/>
      <c r="N15" s="3019"/>
      <c r="O15" s="3027"/>
      <c r="P15" s="3518" t="s">
        <v>2268</v>
      </c>
      <c r="Q15" s="1333" t="str">
        <f t="shared" si="6"/>
        <v>产业集聚程度</v>
      </c>
      <c r="R15" s="630" t="s">
        <v>25</v>
      </c>
      <c r="S15" s="631">
        <f t="shared" si="0"/>
        <v>100</v>
      </c>
      <c r="T15" s="630" t="s">
        <v>25</v>
      </c>
      <c r="U15" s="631">
        <f t="shared" si="1"/>
        <v>100</v>
      </c>
      <c r="V15" s="630" t="s">
        <v>25</v>
      </c>
      <c r="W15" s="631">
        <f t="shared" si="2"/>
        <v>100</v>
      </c>
      <c r="X15" s="1334"/>
      <c r="Y15" s="3518" t="s">
        <v>2268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28"/>
      <c r="M16" s="3019"/>
      <c r="N16" s="3019"/>
      <c r="O16" s="3027"/>
      <c r="P16" s="3519"/>
      <c r="Q16" s="1333"/>
      <c r="R16" s="630"/>
      <c r="S16" s="631"/>
      <c r="T16" s="630"/>
      <c r="U16" s="631"/>
      <c r="V16" s="630"/>
      <c r="W16" s="631"/>
      <c r="X16" s="1334"/>
      <c r="Y16" s="3519"/>
      <c r="Z16" s="1335"/>
      <c r="AA16" s="1336">
        <v>1</v>
      </c>
      <c r="AB16" s="1336">
        <v>1</v>
      </c>
      <c r="AC16" s="1336">
        <v>1</v>
      </c>
    </row>
    <row r="17" spans="1:29" ht="85.5">
      <c r="A17" s="318"/>
      <c r="B17" s="340" t="s">
        <v>1706</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8"/>
      <c r="M17" s="3019"/>
      <c r="N17" s="3019"/>
      <c r="O17" s="3027"/>
      <c r="P17" s="3519"/>
      <c r="Q17" s="1333" t="str">
        <f>B17</f>
        <v>交通便捷度</v>
      </c>
      <c r="R17" s="630" t="s">
        <v>25</v>
      </c>
      <c r="S17" s="631">
        <f>F17</f>
        <v>100</v>
      </c>
      <c r="T17" s="630" t="s">
        <v>25</v>
      </c>
      <c r="U17" s="631">
        <f>H17</f>
        <v>100</v>
      </c>
      <c r="V17" s="630" t="s">
        <v>25</v>
      </c>
      <c r="W17" s="631">
        <f>J17</f>
        <v>100</v>
      </c>
      <c r="X17" s="1334"/>
      <c r="Y17" s="3519"/>
      <c r="Z17" s="1335" t="str">
        <f>Q17</f>
        <v>交通便捷度</v>
      </c>
      <c r="AA17" s="1336">
        <f t="shared" si="3"/>
        <v>1</v>
      </c>
      <c r="AB17" s="1336">
        <f t="shared" si="4"/>
        <v>1</v>
      </c>
      <c r="AC17" s="1336">
        <f t="shared" si="5"/>
        <v>1</v>
      </c>
    </row>
    <row r="18" spans="1:29" ht="15">
      <c r="A18" s="318"/>
      <c r="B18" s="345"/>
      <c r="C18" s="346"/>
      <c r="D18" s="339"/>
      <c r="E18" s="1130"/>
      <c r="F18" s="342"/>
      <c r="G18" s="1565"/>
      <c r="H18" s="336"/>
      <c r="I18" s="1130"/>
      <c r="J18" s="336"/>
      <c r="K18" s="501"/>
      <c r="L18" s="3028"/>
      <c r="M18" s="3019"/>
      <c r="N18" s="3019"/>
      <c r="O18" s="3027"/>
      <c r="P18" s="3519"/>
      <c r="Q18" s="1333"/>
      <c r="R18" s="630"/>
      <c r="S18" s="631"/>
      <c r="T18" s="630"/>
      <c r="U18" s="631"/>
      <c r="V18" s="630"/>
      <c r="W18" s="631"/>
      <c r="X18" s="1334"/>
      <c r="Y18" s="3519"/>
      <c r="Z18" s="1335"/>
      <c r="AA18" s="1336">
        <v>1</v>
      </c>
      <c r="AB18" s="1336">
        <v>1</v>
      </c>
      <c r="AC18" s="1336">
        <v>1</v>
      </c>
    </row>
    <row r="19" spans="1:29" ht="42.75">
      <c r="A19" s="318"/>
      <c r="B19" s="513" t="s">
        <v>2382</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8"/>
      <c r="M19" s="3019"/>
      <c r="N19" s="3019"/>
      <c r="O19" s="3027"/>
      <c r="P19" s="3519"/>
      <c r="Q19" s="1333" t="str">
        <f>B19</f>
        <v>公共配套设施</v>
      </c>
      <c r="R19" s="630" t="s">
        <v>25</v>
      </c>
      <c r="S19" s="631">
        <f>F19</f>
        <v>100</v>
      </c>
      <c r="T19" s="630" t="s">
        <v>25</v>
      </c>
      <c r="U19" s="631">
        <f>H19</f>
        <v>100</v>
      </c>
      <c r="V19" s="630" t="s">
        <v>25</v>
      </c>
      <c r="W19" s="631">
        <f>J19</f>
        <v>100</v>
      </c>
      <c r="X19" s="1334"/>
      <c r="Y19" s="3519"/>
      <c r="Z19" s="1335" t="str">
        <f>Q19</f>
        <v>公共配套设施</v>
      </c>
      <c r="AA19" s="1336">
        <f t="shared" si="3"/>
        <v>1</v>
      </c>
      <c r="AB19" s="1336">
        <f t="shared" si="4"/>
        <v>1</v>
      </c>
      <c r="AC19" s="1336">
        <f t="shared" si="5"/>
        <v>1</v>
      </c>
    </row>
    <row r="20" spans="1:29" ht="15">
      <c r="A20" s="318"/>
      <c r="B20" s="514"/>
      <c r="C20" s="335"/>
      <c r="D20" s="336"/>
      <c r="E20" s="337"/>
      <c r="F20" s="338"/>
      <c r="G20" s="1563"/>
      <c r="H20" s="336"/>
      <c r="I20" s="337"/>
      <c r="J20" s="336"/>
      <c r="K20" s="501"/>
      <c r="L20" s="3028"/>
      <c r="M20" s="3019"/>
      <c r="N20" s="3019"/>
      <c r="O20" s="3027"/>
      <c r="P20" s="3519"/>
      <c r="Q20" s="1333"/>
      <c r="R20" s="630"/>
      <c r="S20" s="631"/>
      <c r="T20" s="630"/>
      <c r="U20" s="631"/>
      <c r="V20" s="630"/>
      <c r="W20" s="631"/>
      <c r="X20" s="1334"/>
      <c r="Y20" s="3519"/>
      <c r="Z20" s="1335"/>
      <c r="AA20" s="1336">
        <v>1</v>
      </c>
      <c r="AB20" s="1336">
        <v>1</v>
      </c>
      <c r="AC20" s="1336">
        <v>1</v>
      </c>
    </row>
    <row r="21" spans="1:29" ht="28.5">
      <c r="A21" s="318"/>
      <c r="B21" s="515" t="s">
        <v>2383</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8"/>
      <c r="M21" s="3019"/>
      <c r="N21" s="3019"/>
      <c r="O21" s="3027"/>
      <c r="P21" s="3519"/>
      <c r="Q21" s="1333" t="str">
        <f>B21</f>
        <v>基础设施水平</v>
      </c>
      <c r="R21" s="630" t="s">
        <v>25</v>
      </c>
      <c r="S21" s="631">
        <f>F21</f>
        <v>100</v>
      </c>
      <c r="T21" s="630" t="s">
        <v>25</v>
      </c>
      <c r="U21" s="631">
        <f>H21</f>
        <v>100</v>
      </c>
      <c r="V21" s="630" t="s">
        <v>25</v>
      </c>
      <c r="W21" s="631">
        <f>J21</f>
        <v>100</v>
      </c>
      <c r="X21" s="1334"/>
      <c r="Y21" s="3519"/>
      <c r="Z21" s="1335" t="str">
        <f>Q21</f>
        <v>基础设施水平</v>
      </c>
      <c r="AA21" s="1336">
        <f t="shared" ref="AA21" si="8">D21/F21</f>
        <v>1</v>
      </c>
      <c r="AB21" s="1336">
        <f t="shared" ref="AB21" si="9">D21/H21</f>
        <v>1</v>
      </c>
      <c r="AC21" s="1336">
        <f t="shared" ref="AC21" si="10">D21/J21</f>
        <v>1</v>
      </c>
    </row>
    <row r="22" spans="1:29" ht="15">
      <c r="A22" s="318"/>
      <c r="B22" s="1566"/>
      <c r="C22" s="346"/>
      <c r="D22" s="336"/>
      <c r="E22" s="335"/>
      <c r="F22" s="338"/>
      <c r="G22" s="335"/>
      <c r="H22" s="336"/>
      <c r="I22" s="335"/>
      <c r="J22" s="336"/>
      <c r="K22" s="1131"/>
      <c r="L22" s="3028"/>
      <c r="M22" s="3019"/>
      <c r="N22" s="3019"/>
      <c r="O22" s="3027"/>
      <c r="P22" s="3519"/>
      <c r="Q22" s="1333"/>
      <c r="R22" s="630"/>
      <c r="S22" s="631"/>
      <c r="T22" s="630"/>
      <c r="U22" s="631"/>
      <c r="V22" s="630"/>
      <c r="W22" s="631"/>
      <c r="X22" s="1334"/>
      <c r="Y22" s="3519"/>
      <c r="Z22" s="1335"/>
      <c r="AA22" s="1336">
        <v>1</v>
      </c>
      <c r="AB22" s="1336">
        <v>1</v>
      </c>
      <c r="AC22" s="1336">
        <v>1</v>
      </c>
    </row>
    <row r="23" spans="1:29" ht="71.25">
      <c r="A23" s="318"/>
      <c r="B23" s="340" t="s">
        <v>2384</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8"/>
      <c r="M23" s="3019"/>
      <c r="N23" s="3019"/>
      <c r="O23" s="3027"/>
      <c r="P23" s="3519"/>
      <c r="Q23" s="1333" t="str">
        <f>B23</f>
        <v>环境质量</v>
      </c>
      <c r="R23" s="630" t="s">
        <v>25</v>
      </c>
      <c r="S23" s="631">
        <f>F23</f>
        <v>100</v>
      </c>
      <c r="T23" s="630" t="s">
        <v>25</v>
      </c>
      <c r="U23" s="631">
        <f>H23</f>
        <v>100</v>
      </c>
      <c r="V23" s="630" t="s">
        <v>25</v>
      </c>
      <c r="W23" s="631">
        <f>J23</f>
        <v>100</v>
      </c>
      <c r="X23" s="1334"/>
      <c r="Y23" s="3519"/>
      <c r="Z23" s="1335" t="str">
        <f>Q23</f>
        <v>环境质量</v>
      </c>
      <c r="AA23" s="1336">
        <f t="shared" si="3"/>
        <v>1</v>
      </c>
      <c r="AB23" s="1336">
        <f t="shared" si="4"/>
        <v>1</v>
      </c>
      <c r="AC23" s="1336">
        <f t="shared" si="5"/>
        <v>1</v>
      </c>
    </row>
    <row r="24" spans="1:29" ht="15">
      <c r="A24" s="318"/>
      <c r="B24" s="1566"/>
      <c r="C24" s="335"/>
      <c r="D24" s="336"/>
      <c r="E24" s="337"/>
      <c r="F24" s="338"/>
      <c r="G24" s="1563"/>
      <c r="H24" s="336"/>
      <c r="I24" s="337"/>
      <c r="J24" s="336"/>
      <c r="K24" s="501"/>
      <c r="L24" s="3028"/>
      <c r="M24" s="3019"/>
      <c r="N24" s="3019"/>
      <c r="O24" s="3027"/>
      <c r="P24" s="3519"/>
      <c r="Q24" s="1333"/>
      <c r="R24" s="630"/>
      <c r="S24" s="631"/>
      <c r="T24" s="630"/>
      <c r="U24" s="631"/>
      <c r="V24" s="630"/>
      <c r="W24" s="631"/>
      <c r="X24" s="1334"/>
      <c r="Y24" s="3519"/>
      <c r="Z24" s="1335"/>
      <c r="AA24" s="1336">
        <v>1</v>
      </c>
      <c r="AB24" s="1336">
        <v>1</v>
      </c>
      <c r="AC24" s="1336">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8"/>
      <c r="M25" s="3019"/>
      <c r="N25" s="3019"/>
      <c r="O25" s="3027"/>
      <c r="P25" s="3519"/>
      <c r="Q25" s="1333">
        <f>B25</f>
        <v>111</v>
      </c>
      <c r="R25" s="630" t="s">
        <v>25</v>
      </c>
      <c r="S25" s="631">
        <f>F25</f>
        <v>100</v>
      </c>
      <c r="T25" s="630" t="s">
        <v>25</v>
      </c>
      <c r="U25" s="631">
        <f>H25</f>
        <v>100</v>
      </c>
      <c r="V25" s="630" t="s">
        <v>25</v>
      </c>
      <c r="W25" s="631">
        <f>J25</f>
        <v>100</v>
      </c>
      <c r="X25" s="1334"/>
      <c r="Y25" s="3519"/>
      <c r="Z25" s="1335">
        <f>Q25</f>
        <v>111</v>
      </c>
      <c r="AA25" s="1336">
        <f t="shared" si="3"/>
        <v>1</v>
      </c>
      <c r="AB25" s="1336">
        <f t="shared" si="4"/>
        <v>1</v>
      </c>
      <c r="AC25" s="1336">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8"/>
      <c r="M26" s="3019"/>
      <c r="N26" s="3019"/>
      <c r="O26" s="3027"/>
      <c r="P26" s="3519"/>
      <c r="Q26" s="1333">
        <f t="shared" ref="Q26:Q40" si="11">B26</f>
        <v>111</v>
      </c>
      <c r="R26" s="630" t="s">
        <v>25</v>
      </c>
      <c r="S26" s="631">
        <f>F26</f>
        <v>100</v>
      </c>
      <c r="T26" s="630" t="s">
        <v>25</v>
      </c>
      <c r="U26" s="631">
        <f>H26</f>
        <v>100</v>
      </c>
      <c r="V26" s="630" t="s">
        <v>25</v>
      </c>
      <c r="W26" s="631">
        <f>J26</f>
        <v>100</v>
      </c>
      <c r="X26" s="1334"/>
      <c r="Y26" s="3519"/>
      <c r="Z26" s="1335">
        <f>Q26</f>
        <v>111</v>
      </c>
      <c r="AA26" s="1336">
        <f t="shared" si="3"/>
        <v>1</v>
      </c>
      <c r="AB26" s="1336">
        <f t="shared" si="4"/>
        <v>1</v>
      </c>
      <c r="AC26" s="1336">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0"/>
      <c r="M27" s="3021"/>
      <c r="N27" s="3021"/>
      <c r="O27" s="3022"/>
      <c r="P27" s="3519"/>
      <c r="Q27" s="1326">
        <f t="shared" si="11"/>
        <v>111</v>
      </c>
      <c r="R27" s="626" t="s">
        <v>25</v>
      </c>
      <c r="S27" s="627">
        <f>F27</f>
        <v>100</v>
      </c>
      <c r="T27" s="626" t="s">
        <v>25</v>
      </c>
      <c r="U27" s="627">
        <f>H27</f>
        <v>100</v>
      </c>
      <c r="V27" s="626" t="s">
        <v>25</v>
      </c>
      <c r="W27" s="627">
        <f>J27</f>
        <v>100</v>
      </c>
      <c r="X27" s="628"/>
      <c r="Y27" s="3519"/>
      <c r="Z27" s="19">
        <f>Q27</f>
        <v>111</v>
      </c>
      <c r="AA27" s="1336">
        <f>D27/F27</f>
        <v>1</v>
      </c>
      <c r="AB27" s="1336">
        <f>D27/H27</f>
        <v>1</v>
      </c>
      <c r="AC27" s="1336">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8"/>
      <c r="M28" s="3019"/>
      <c r="N28" s="3019"/>
      <c r="O28" s="3027"/>
      <c r="P28" s="3519"/>
      <c r="Q28" s="1333">
        <f t="shared" si="11"/>
        <v>111</v>
      </c>
      <c r="R28" s="630" t="s">
        <v>25</v>
      </c>
      <c r="S28" s="631">
        <f t="shared" ref="S28:S40" si="12">F28</f>
        <v>100</v>
      </c>
      <c r="T28" s="630" t="s">
        <v>25</v>
      </c>
      <c r="U28" s="631">
        <f t="shared" ref="U28:U40" si="13">H28</f>
        <v>100</v>
      </c>
      <c r="V28" s="630" t="s">
        <v>25</v>
      </c>
      <c r="W28" s="631">
        <f t="shared" ref="W28:W40" si="14">J28</f>
        <v>100</v>
      </c>
      <c r="X28" s="1334"/>
      <c r="Y28" s="3519"/>
      <c r="Z28" s="1335">
        <f t="shared" ref="Z28:Z40" si="15">Q28</f>
        <v>111</v>
      </c>
      <c r="AA28" s="1336">
        <f t="shared" si="3"/>
        <v>1</v>
      </c>
      <c r="AB28" s="1336">
        <f t="shared" si="4"/>
        <v>1</v>
      </c>
      <c r="AC28" s="1336">
        <f t="shared" si="5"/>
        <v>1</v>
      </c>
    </row>
    <row r="29" spans="1:29" ht="28.5">
      <c r="A29" s="354" t="s">
        <v>2271</v>
      </c>
      <c r="B29" s="24" t="s">
        <v>2387</v>
      </c>
      <c r="C29" s="1574"/>
      <c r="D29" s="355">
        <v>100</v>
      </c>
      <c r="E29" s="1574"/>
      <c r="F29" s="351">
        <f>SUMIF(88:88,E29,89:89)-SUMIF(88:88,C29,89:89)+100</f>
        <v>100</v>
      </c>
      <c r="G29" s="1574"/>
      <c r="H29" s="325">
        <f>SUMIF(88:88,G29,89:89)-SUMIF(88:88,C29,89:89)+100</f>
        <v>100</v>
      </c>
      <c r="I29" s="1574"/>
      <c r="J29" s="355">
        <f>SUMIF(88:88,I29,89:89)-SUMIF(88:88,C29,89:89)+100</f>
        <v>100</v>
      </c>
      <c r="K29" s="498"/>
      <c r="L29" s="3028"/>
      <c r="M29" s="3019"/>
      <c r="N29" s="3019"/>
      <c r="O29" s="3027"/>
      <c r="P29" s="3521" t="s">
        <v>2273</v>
      </c>
      <c r="Q29" s="1333" t="str">
        <f t="shared" si="11"/>
        <v>建筑类型</v>
      </c>
      <c r="R29" s="630" t="s">
        <v>25</v>
      </c>
      <c r="S29" s="631">
        <f t="shared" si="12"/>
        <v>100</v>
      </c>
      <c r="T29" s="630" t="s">
        <v>25</v>
      </c>
      <c r="U29" s="631">
        <f t="shared" si="13"/>
        <v>100</v>
      </c>
      <c r="V29" s="630" t="s">
        <v>25</v>
      </c>
      <c r="W29" s="631">
        <f t="shared" si="14"/>
        <v>100</v>
      </c>
      <c r="X29" s="1334"/>
      <c r="Y29" s="3522" t="s">
        <v>2273</v>
      </c>
      <c r="Z29" s="1335" t="str">
        <f t="shared" si="15"/>
        <v>建筑类型</v>
      </c>
      <c r="AA29" s="1336">
        <f t="shared" si="3"/>
        <v>1</v>
      </c>
      <c r="AB29" s="1336">
        <f t="shared" si="4"/>
        <v>1</v>
      </c>
      <c r="AC29" s="1336">
        <f t="shared" si="5"/>
        <v>1</v>
      </c>
    </row>
    <row r="30" spans="1:29" s="359" customFormat="1" ht="15">
      <c r="A30" s="356"/>
      <c r="B30" s="313" t="s">
        <v>2274</v>
      </c>
      <c r="C30" s="357"/>
      <c r="D30" s="29">
        <v>100</v>
      </c>
      <c r="E30" s="320"/>
      <c r="F30" s="316" t="e">
        <f>LOOKUP(E30,91:91,92:92)-LOOKUP(C30,91:91,92:92)+100</f>
        <v>#N/A</v>
      </c>
      <c r="G30" s="319"/>
      <c r="H30" s="29" t="e">
        <f>LOOKUP(G30,91:91,92:92)-LOOKUP(C30,91:91,92:92)+100</f>
        <v>#N/A</v>
      </c>
      <c r="I30" s="319"/>
      <c r="J30" s="29" t="e">
        <f>LOOKUP(I30,91:91,92:92)-LOOKUP(C30,91:91,92:92)+100</f>
        <v>#N/A</v>
      </c>
      <c r="K30" s="499"/>
      <c r="L30" s="3026"/>
      <c r="M30" s="358"/>
      <c r="N30" s="358"/>
      <c r="O30" s="3029"/>
      <c r="P30" s="3522"/>
      <c r="Q30" s="632" t="str">
        <f t="shared" si="11"/>
        <v>项目建筑规模</v>
      </c>
      <c r="R30" s="633" t="s">
        <v>25</v>
      </c>
      <c r="S30" s="634" t="e">
        <f t="shared" si="12"/>
        <v>#N/A</v>
      </c>
      <c r="T30" s="633" t="s">
        <v>25</v>
      </c>
      <c r="U30" s="634" t="e">
        <f t="shared" si="13"/>
        <v>#N/A</v>
      </c>
      <c r="V30" s="633" t="s">
        <v>25</v>
      </c>
      <c r="W30" s="634" t="e">
        <f t="shared" si="14"/>
        <v>#N/A</v>
      </c>
      <c r="X30" s="635"/>
      <c r="Y30" s="3522"/>
      <c r="Z30" s="636" t="str">
        <f t="shared" si="15"/>
        <v>项目建筑规模</v>
      </c>
      <c r="AA30" s="1336" t="e">
        <f t="shared" si="3"/>
        <v>#N/A</v>
      </c>
      <c r="AB30" s="1336" t="e">
        <f t="shared" si="4"/>
        <v>#N/A</v>
      </c>
      <c r="AC30" s="1336" t="e">
        <f t="shared" si="5"/>
        <v>#N/A</v>
      </c>
    </row>
    <row r="31" spans="1:29" ht="15">
      <c r="A31" s="360"/>
      <c r="B31" s="313" t="s">
        <v>2275</v>
      </c>
      <c r="C31" s="350"/>
      <c r="D31" s="325">
        <v>100</v>
      </c>
      <c r="E31" s="350"/>
      <c r="F31" s="351">
        <f>SUMIF(93:93,E31,94:94)-SUMIF(93:93,C31,94:94)+100</f>
        <v>100</v>
      </c>
      <c r="G31" s="350"/>
      <c r="H31" s="325">
        <f>SUMIF(93:93,G31,94:94)-SUMIF(93:93,C31,94:94)+100</f>
        <v>100</v>
      </c>
      <c r="I31" s="350"/>
      <c r="J31" s="325">
        <f>SUMIF(93:93,I31,94:94)-SUMIF(93:93,C31,94:94)+100</f>
        <v>100</v>
      </c>
      <c r="K31" s="498"/>
      <c r="L31" s="3028"/>
      <c r="M31" s="3019"/>
      <c r="N31" s="3019"/>
      <c r="O31" s="3027"/>
      <c r="P31" s="3522"/>
      <c r="Q31" s="1333" t="str">
        <f t="shared" si="11"/>
        <v>建筑结构</v>
      </c>
      <c r="R31" s="630" t="s">
        <v>25</v>
      </c>
      <c r="S31" s="631">
        <f t="shared" si="12"/>
        <v>100</v>
      </c>
      <c r="T31" s="630" t="s">
        <v>25</v>
      </c>
      <c r="U31" s="631">
        <f t="shared" si="13"/>
        <v>100</v>
      </c>
      <c r="V31" s="630" t="s">
        <v>25</v>
      </c>
      <c r="W31" s="631">
        <f t="shared" si="14"/>
        <v>100</v>
      </c>
      <c r="X31" s="1334"/>
      <c r="Y31" s="3522"/>
      <c r="Z31" s="1335" t="str">
        <f t="shared" si="15"/>
        <v>建筑结构</v>
      </c>
      <c r="AA31" s="1336">
        <f t="shared" si="3"/>
        <v>1</v>
      </c>
      <c r="AB31" s="1336">
        <f t="shared" si="4"/>
        <v>1</v>
      </c>
      <c r="AC31" s="1336">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28"/>
      <c r="M32" s="3019"/>
      <c r="N32" s="3019"/>
      <c r="O32" s="3027"/>
      <c r="P32" s="3522"/>
      <c r="Q32" s="1333" t="str">
        <f t="shared" si="11"/>
        <v>公共部分装修</v>
      </c>
      <c r="R32" s="630" t="s">
        <v>25</v>
      </c>
      <c r="S32" s="631">
        <f t="shared" si="12"/>
        <v>100</v>
      </c>
      <c r="T32" s="630" t="s">
        <v>25</v>
      </c>
      <c r="U32" s="631">
        <f t="shared" si="13"/>
        <v>100</v>
      </c>
      <c r="V32" s="630" t="s">
        <v>25</v>
      </c>
      <c r="W32" s="631">
        <f t="shared" si="14"/>
        <v>100</v>
      </c>
      <c r="X32" s="1334"/>
      <c r="Y32" s="3522"/>
      <c r="Z32" s="1335" t="str">
        <f t="shared" si="15"/>
        <v>公共部分装修</v>
      </c>
      <c r="AA32" s="1336">
        <f t="shared" si="3"/>
        <v>1</v>
      </c>
      <c r="AB32" s="1336">
        <f t="shared" si="4"/>
        <v>1</v>
      </c>
      <c r="AC32" s="1336">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8"/>
      <c r="M33" s="3019"/>
      <c r="N33" s="3019"/>
      <c r="O33" s="3027"/>
      <c r="P33" s="3522"/>
      <c r="Q33" s="1333" t="str">
        <f t="shared" si="11"/>
        <v>成新度</v>
      </c>
      <c r="R33" s="630" t="s">
        <v>25</v>
      </c>
      <c r="S33" s="631" t="e">
        <f t="shared" si="12"/>
        <v>#N/A</v>
      </c>
      <c r="T33" s="630" t="s">
        <v>25</v>
      </c>
      <c r="U33" s="631" t="e">
        <f t="shared" si="13"/>
        <v>#N/A</v>
      </c>
      <c r="V33" s="630" t="s">
        <v>25</v>
      </c>
      <c r="W33" s="631" t="e">
        <f t="shared" si="14"/>
        <v>#N/A</v>
      </c>
      <c r="X33" s="1334"/>
      <c r="Y33" s="3522"/>
      <c r="Z33" s="1335" t="str">
        <f t="shared" si="15"/>
        <v>成新度</v>
      </c>
      <c r="AA33" s="1336" t="e">
        <f t="shared" si="3"/>
        <v>#N/A</v>
      </c>
      <c r="AB33" s="1336" t="e">
        <f t="shared" si="4"/>
        <v>#N/A</v>
      </c>
      <c r="AC33" s="1336"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0"/>
      <c r="M34" s="3021"/>
      <c r="N34" s="3021"/>
      <c r="O34" s="3022"/>
      <c r="P34" s="3522"/>
      <c r="Q34" s="1326" t="str">
        <f t="shared" si="11"/>
        <v>物业管理</v>
      </c>
      <c r="R34" s="626" t="s">
        <v>25</v>
      </c>
      <c r="S34" s="627">
        <f t="shared" si="12"/>
        <v>100</v>
      </c>
      <c r="T34" s="626" t="s">
        <v>25</v>
      </c>
      <c r="U34" s="627">
        <f t="shared" si="13"/>
        <v>100</v>
      </c>
      <c r="V34" s="626" t="s">
        <v>25</v>
      </c>
      <c r="W34" s="627">
        <f t="shared" si="14"/>
        <v>100</v>
      </c>
      <c r="X34" s="628"/>
      <c r="Y34" s="3522"/>
      <c r="Z34" s="19" t="str">
        <f t="shared" si="15"/>
        <v>物业管理</v>
      </c>
      <c r="AA34" s="629">
        <f t="shared" si="3"/>
        <v>1</v>
      </c>
      <c r="AB34" s="629">
        <f t="shared" si="4"/>
        <v>1</v>
      </c>
      <c r="AC34" s="629">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8"/>
      <c r="M35" s="3019"/>
      <c r="N35" s="3019"/>
      <c r="O35" s="3027"/>
      <c r="P35" s="3522" t="s">
        <v>2273</v>
      </c>
      <c r="Q35" s="1333" t="str">
        <f t="shared" si="11"/>
        <v>市政基础设施</v>
      </c>
      <c r="R35" s="630" t="s">
        <v>25</v>
      </c>
      <c r="S35" s="631">
        <f t="shared" si="12"/>
        <v>100</v>
      </c>
      <c r="T35" s="630" t="s">
        <v>25</v>
      </c>
      <c r="U35" s="631">
        <f t="shared" si="13"/>
        <v>100</v>
      </c>
      <c r="V35" s="630" t="s">
        <v>25</v>
      </c>
      <c r="W35" s="631">
        <f t="shared" si="14"/>
        <v>100</v>
      </c>
      <c r="X35" s="1334"/>
      <c r="Y35" s="3522" t="s">
        <v>2273</v>
      </c>
      <c r="Z35" s="1335" t="str">
        <f t="shared" si="15"/>
        <v>市政基础设施</v>
      </c>
      <c r="AA35" s="1336">
        <f t="shared" si="3"/>
        <v>1</v>
      </c>
      <c r="AB35" s="1336">
        <f t="shared" si="4"/>
        <v>1</v>
      </c>
      <c r="AC35" s="1336">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8"/>
      <c r="M36" s="3019"/>
      <c r="N36" s="3019"/>
      <c r="O36" s="3027"/>
      <c r="P36" s="3522"/>
      <c r="Q36" s="1333" t="str">
        <f t="shared" si="11"/>
        <v>内部装修</v>
      </c>
      <c r="R36" s="630" t="s">
        <v>25</v>
      </c>
      <c r="S36" s="631">
        <f t="shared" si="12"/>
        <v>100</v>
      </c>
      <c r="T36" s="630" t="s">
        <v>25</v>
      </c>
      <c r="U36" s="631">
        <f t="shared" si="13"/>
        <v>100</v>
      </c>
      <c r="V36" s="630" t="s">
        <v>25</v>
      </c>
      <c r="W36" s="631">
        <f t="shared" si="14"/>
        <v>100</v>
      </c>
      <c r="X36" s="1334"/>
      <c r="Y36" s="3522"/>
      <c r="Z36" s="1335" t="str">
        <f t="shared" si="15"/>
        <v>内部装修</v>
      </c>
      <c r="AA36" s="1336">
        <f t="shared" si="3"/>
        <v>1</v>
      </c>
      <c r="AB36" s="1336">
        <f t="shared" si="4"/>
        <v>1</v>
      </c>
      <c r="AC36" s="1336">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8"/>
      <c r="M37" s="3019"/>
      <c r="N37" s="3019"/>
      <c r="O37" s="3027"/>
      <c r="P37" s="3522"/>
      <c r="Q37" s="1333" t="str">
        <f t="shared" si="11"/>
        <v>内部装修状况</v>
      </c>
      <c r="R37" s="630" t="s">
        <v>25</v>
      </c>
      <c r="S37" s="631">
        <f t="shared" si="12"/>
        <v>100</v>
      </c>
      <c r="T37" s="630" t="s">
        <v>25</v>
      </c>
      <c r="U37" s="631">
        <f t="shared" si="13"/>
        <v>100</v>
      </c>
      <c r="V37" s="630" t="s">
        <v>25</v>
      </c>
      <c r="W37" s="631">
        <f t="shared" si="14"/>
        <v>100</v>
      </c>
      <c r="X37" s="1334"/>
      <c r="Y37" s="3522"/>
      <c r="Z37" s="1335" t="str">
        <f t="shared" si="15"/>
        <v>内部装修状况</v>
      </c>
      <c r="AA37" s="1336">
        <f t="shared" si="3"/>
        <v>1</v>
      </c>
      <c r="AB37" s="1336">
        <f t="shared" si="4"/>
        <v>1</v>
      </c>
      <c r="AC37" s="1336">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6"/>
      <c r="M38" s="358"/>
      <c r="N38" s="358"/>
      <c r="O38" s="3029"/>
      <c r="P38" s="3522"/>
      <c r="Q38" s="632">
        <f t="shared" si="11"/>
        <v>111</v>
      </c>
      <c r="R38" s="633" t="s">
        <v>25</v>
      </c>
      <c r="S38" s="634">
        <f t="shared" si="12"/>
        <v>100</v>
      </c>
      <c r="T38" s="633" t="s">
        <v>25</v>
      </c>
      <c r="U38" s="634">
        <f t="shared" si="13"/>
        <v>100</v>
      </c>
      <c r="V38" s="633" t="s">
        <v>25</v>
      </c>
      <c r="W38" s="634">
        <f t="shared" si="14"/>
        <v>100</v>
      </c>
      <c r="X38" s="635"/>
      <c r="Y38" s="3522"/>
      <c r="Z38" s="636">
        <f t="shared" si="15"/>
        <v>111</v>
      </c>
      <c r="AA38" s="1336">
        <f t="shared" si="3"/>
        <v>1</v>
      </c>
      <c r="AB38" s="1336">
        <f t="shared" si="4"/>
        <v>1</v>
      </c>
      <c r="AC38" s="1336">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8"/>
      <c r="M39" s="3019"/>
      <c r="N39" s="3019"/>
      <c r="O39" s="3027"/>
      <c r="P39" s="3522"/>
      <c r="Q39" s="1333">
        <f t="shared" si="11"/>
        <v>111</v>
      </c>
      <c r="R39" s="630" t="s">
        <v>25</v>
      </c>
      <c r="S39" s="631">
        <f t="shared" si="12"/>
        <v>100</v>
      </c>
      <c r="T39" s="630" t="s">
        <v>25</v>
      </c>
      <c r="U39" s="631">
        <f t="shared" si="13"/>
        <v>100</v>
      </c>
      <c r="V39" s="630" t="s">
        <v>25</v>
      </c>
      <c r="W39" s="631">
        <f t="shared" si="14"/>
        <v>100</v>
      </c>
      <c r="X39" s="1334"/>
      <c r="Y39" s="3522"/>
      <c r="Z39" s="1335">
        <f t="shared" si="15"/>
        <v>111</v>
      </c>
      <c r="AA39" s="1336">
        <f t="shared" si="3"/>
        <v>1</v>
      </c>
      <c r="AB39" s="1336">
        <f t="shared" si="4"/>
        <v>1</v>
      </c>
      <c r="AC39" s="1336">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8"/>
      <c r="M40" s="3019"/>
      <c r="N40" s="3019"/>
      <c r="O40" s="3027"/>
      <c r="P40" s="3523"/>
      <c r="Q40" s="1333">
        <f t="shared" si="11"/>
        <v>111</v>
      </c>
      <c r="R40" s="630" t="s">
        <v>25</v>
      </c>
      <c r="S40" s="631">
        <f t="shared" si="12"/>
        <v>100</v>
      </c>
      <c r="T40" s="630" t="s">
        <v>25</v>
      </c>
      <c r="U40" s="631">
        <f t="shared" si="13"/>
        <v>100</v>
      </c>
      <c r="V40" s="630" t="s">
        <v>25</v>
      </c>
      <c r="W40" s="631">
        <f t="shared" si="14"/>
        <v>100</v>
      </c>
      <c r="X40" s="1334"/>
      <c r="Y40" s="3523"/>
      <c r="Z40" s="1335">
        <f t="shared" si="15"/>
        <v>111</v>
      </c>
      <c r="AA40" s="1336">
        <f t="shared" si="3"/>
        <v>1</v>
      </c>
      <c r="AB40" s="1336">
        <f t="shared" si="4"/>
        <v>1</v>
      </c>
      <c r="AC40" s="1336">
        <f t="shared" si="5"/>
        <v>1</v>
      </c>
    </row>
    <row r="41" spans="1:29" ht="15">
      <c r="A41" s="367" t="s">
        <v>2285</v>
      </c>
      <c r="B41" s="368"/>
      <c r="C41" s="1152" t="s">
        <v>1</v>
      </c>
      <c r="D41" s="1153"/>
      <c r="E41" s="1154"/>
      <c r="F41" s="1155"/>
      <c r="G41" s="1156"/>
      <c r="H41" s="1157"/>
      <c r="I41" s="1154"/>
      <c r="J41" s="1157"/>
      <c r="K41" s="639"/>
      <c r="L41" s="3030"/>
      <c r="N41" s="3019"/>
      <c r="P41" s="3490" t="str">
        <f>A41</f>
        <v>成交单价（元/平方米）</v>
      </c>
      <c r="Q41" s="3490"/>
      <c r="R41" s="3524">
        <f>E41</f>
        <v>0</v>
      </c>
      <c r="S41" s="3524"/>
      <c r="T41" s="3524">
        <f>G41</f>
        <v>0</v>
      </c>
      <c r="U41" s="3524"/>
      <c r="V41" s="3524">
        <f>I41</f>
        <v>0</v>
      </c>
      <c r="W41" s="3524"/>
      <c r="X41" s="617"/>
      <c r="Y41" s="637"/>
      <c r="Z41" s="617"/>
      <c r="AA41" s="617"/>
      <c r="AB41" s="617"/>
      <c r="AC41" s="617"/>
    </row>
    <row r="42" spans="1:29" ht="15.75" thickBot="1">
      <c r="A42" s="374" t="s">
        <v>2368</v>
      </c>
      <c r="B42" s="375"/>
      <c r="C42" s="1158" t="e">
        <f>R43</f>
        <v>#DIV/0!</v>
      </c>
      <c r="D42" s="1792" t="s">
        <v>2740</v>
      </c>
      <c r="E42" s="1159" t="e">
        <f>R42</f>
        <v>#DIV/0!</v>
      </c>
      <c r="F42" s="1794"/>
      <c r="G42" s="1158" t="e">
        <f>T42</f>
        <v>#DIV/0!</v>
      </c>
      <c r="H42" s="1794"/>
      <c r="I42" s="1159" t="e">
        <f>V42</f>
        <v>#DIV/0!</v>
      </c>
      <c r="J42" s="1794"/>
      <c r="K42" s="2506">
        <f>F42+H42+J42</f>
        <v>0</v>
      </c>
      <c r="L42" s="3030"/>
      <c r="N42" s="3019"/>
      <c r="P42" s="3490" t="str">
        <f>A42</f>
        <v>比较价值（元/平方米）</v>
      </c>
      <c r="Q42" s="3490"/>
      <c r="R42" s="3524" t="e">
        <f>IF(E1="售价",ROUND(PRODUCT(R41,AA7:AA40),0),ROUND(PRODUCT(R41,AA7:AA40),1))</f>
        <v>#DIV/0!</v>
      </c>
      <c r="S42" s="3524"/>
      <c r="T42" s="3524" t="e">
        <f>IF(E1="售价",ROUND(PRODUCT(T41,AB7:AB40),0),ROUND(PRODUCT(T41,AB7:AB40),1))</f>
        <v>#DIV/0!</v>
      </c>
      <c r="U42" s="3524"/>
      <c r="V42" s="3524" t="e">
        <f>IF(E1="售价",ROUND(PRODUCT(V41,AC7:AC40),0),ROUND(PRODUCT(V41,AC7:AC40),1))</f>
        <v>#DIV/0!</v>
      </c>
      <c r="W42" s="3524"/>
      <c r="X42" s="617"/>
      <c r="Y42" s="617"/>
      <c r="Z42" s="617"/>
      <c r="AA42" s="617"/>
      <c r="AB42" s="617"/>
      <c r="AC42" s="617"/>
    </row>
    <row r="43" spans="1:29" ht="15.75" thickBot="1">
      <c r="A43" s="378" t="s">
        <v>2391</v>
      </c>
      <c r="B43" s="379"/>
      <c r="C43" s="1160" t="e">
        <f>R43</f>
        <v>#DIV/0!</v>
      </c>
      <c r="D43" s="1160"/>
      <c r="E43" s="1160"/>
      <c r="F43" s="1160"/>
      <c r="G43" s="1160"/>
      <c r="H43" s="1160"/>
      <c r="I43" s="1160"/>
      <c r="J43" s="1160"/>
      <c r="K43" s="640"/>
      <c r="L43" s="3030"/>
      <c r="P43" s="3525" t="str">
        <f>A43</f>
        <v>估价对象XX用房的比较价值（楼面单价，元/平方米）</v>
      </c>
      <c r="Q43" s="3526"/>
      <c r="R43" s="3527" t="e">
        <f>IF(E1="售价",ROUND(IF(D42="简单平均",AVERAGE(R42:V42),R42*F42+T42*H42+V42*J42),0),ROUND(IF(D42="简单平均",AVERAGE(R42:V42),R42*F42+T42*H42+V42*J42),1))</f>
        <v>#DIV/0!</v>
      </c>
      <c r="S43" s="3527"/>
      <c r="T43" s="3527"/>
      <c r="U43" s="3527"/>
      <c r="V43" s="3527"/>
      <c r="W43" s="3527"/>
      <c r="X43" s="617"/>
      <c r="Y43" s="617"/>
      <c r="Z43" s="617"/>
      <c r="AA43" s="617"/>
      <c r="AB43" s="617"/>
      <c r="AC43" s="617"/>
    </row>
    <row r="44" spans="1:29">
      <c r="G44" s="3033"/>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c r="B49" s="3032"/>
      <c r="C49" s="3035"/>
      <c r="K49" s="3034"/>
      <c r="L49" s="3031"/>
    </row>
    <row r="50" spans="1:17">
      <c r="B50" s="3032"/>
      <c r="C50" s="3035"/>
    </row>
    <row r="51" spans="1:17" ht="21.75" thickBot="1">
      <c r="A51" s="619" t="s">
        <v>2373</v>
      </c>
      <c r="B51" s="617"/>
      <c r="C51" s="620"/>
      <c r="D51" s="620"/>
      <c r="E51" s="620"/>
      <c r="F51" s="621"/>
      <c r="G51" s="621"/>
      <c r="H51" s="620"/>
      <c r="I51" s="620"/>
      <c r="J51" s="620"/>
      <c r="K51" s="622"/>
      <c r="L51" s="623"/>
      <c r="M51" s="620"/>
      <c r="N51" s="3036"/>
      <c r="O51" s="3036"/>
      <c r="P51" s="389"/>
      <c r="Q51" s="390"/>
    </row>
    <row r="52" spans="1:17" s="394" customFormat="1" ht="15">
      <c r="A52" s="391" t="s">
        <v>2256</v>
      </c>
      <c r="B52" s="392"/>
      <c r="C52" s="1186" t="str">
        <f>YEAR(C7)&amp;"-"&amp;MONTH(C7)</f>
        <v>2021-4</v>
      </c>
      <c r="D52" s="1187">
        <f>EDATE(C52,-1)</f>
        <v>44256</v>
      </c>
      <c r="E52" s="1188">
        <f t="shared" ref="E52:O52" si="16">EDATE(D52,-1)</f>
        <v>44228</v>
      </c>
      <c r="F52" s="1188">
        <f t="shared" si="16"/>
        <v>44197</v>
      </c>
      <c r="G52" s="1188">
        <f t="shared" si="16"/>
        <v>44166</v>
      </c>
      <c r="H52" s="1188">
        <f t="shared" si="16"/>
        <v>44136</v>
      </c>
      <c r="I52" s="1188">
        <f t="shared" si="16"/>
        <v>44105</v>
      </c>
      <c r="J52" s="1188">
        <f t="shared" si="16"/>
        <v>44075</v>
      </c>
      <c r="K52" s="1188">
        <f t="shared" si="16"/>
        <v>44044</v>
      </c>
      <c r="L52" s="1188">
        <f t="shared" si="16"/>
        <v>44013</v>
      </c>
      <c r="M52" s="1188">
        <f t="shared" si="16"/>
        <v>43983</v>
      </c>
      <c r="N52" s="1188">
        <f t="shared" si="16"/>
        <v>43952</v>
      </c>
      <c r="O52" s="1188">
        <f t="shared" si="16"/>
        <v>43922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2271</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2402</v>
      </c>
      <c r="B1" s="1579"/>
      <c r="C1" s="1220"/>
      <c r="D1" s="1221"/>
      <c r="E1" s="1556"/>
      <c r="F1" s="1222" t="s">
        <v>2241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IF(D2="——",IF(B37="元/平方米",IF(C2="元",ROUND(C39*D3,0),ROUND(C39*D3/10000,0)),IF(C2="元",ROUND(F3*C39,0),ROUND(F3*C39/10000,0))),IF(B37="元/平方米",IF(C2="元",ROUND(C39*D3,0),ROUND(C39*D3/10000,0)),IF(C2="元",ROUND(F3*C39,0),ROUND(F3*C39/10000,0)))-E2)</f>
        <v>#DIV/0!</v>
      </c>
      <c r="C2" s="79" t="str">
        <f>'数据-取费表'!B3</f>
        <v>元</v>
      </c>
      <c r="D2" s="1557"/>
      <c r="E2" s="926" t="e">
        <f ca="1">SUMIF(INDIRECT("'"&amp;G2&amp;"'"&amp;"!A:A"),"承租人权益价值",INDIRECT("'"&amp;G2&amp;"'"&amp;"!c:c"))</f>
        <v>#REF!</v>
      </c>
      <c r="F2" s="1558" t="str">
        <f>C2</f>
        <v>元</v>
      </c>
      <c r="G2" s="1559"/>
      <c r="H2" s="3013"/>
      <c r="I2" s="3013"/>
      <c r="J2" s="3013"/>
      <c r="K2" s="3017"/>
      <c r="L2" s="3014"/>
      <c r="M2" s="3015"/>
      <c r="N2" s="3015"/>
      <c r="O2" s="3015"/>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2242</v>
      </c>
      <c r="D3" s="292">
        <f>IF(C1="仅计算典型户型",'数据-取费表'!E5,'数据-取费表'!B5)</f>
        <v>82.35</v>
      </c>
      <c r="E3" s="838" t="s">
        <v>2403</v>
      </c>
      <c r="F3" s="293">
        <f>'数据-取费表'!B42</f>
        <v>1</v>
      </c>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98" t="s">
        <v>2244</v>
      </c>
      <c r="D4" s="3499"/>
      <c r="E4" s="3500" t="s">
        <v>2245</v>
      </c>
      <c r="F4" s="3501"/>
      <c r="G4" s="3498" t="s">
        <v>2246</v>
      </c>
      <c r="H4" s="3499"/>
      <c r="I4" s="3498" t="s">
        <v>2247</v>
      </c>
      <c r="J4" s="3499"/>
      <c r="K4" s="496" t="s">
        <v>2248</v>
      </c>
      <c r="L4" s="3018"/>
      <c r="M4" s="3019"/>
      <c r="N4" s="3019"/>
      <c r="O4" s="3019"/>
      <c r="P4" s="3502" t="s">
        <v>2249</v>
      </c>
      <c r="Q4" s="3503"/>
      <c r="R4" s="3508" t="s">
        <v>2245</v>
      </c>
      <c r="S4" s="3509"/>
      <c r="T4" s="3508" t="s">
        <v>2246</v>
      </c>
      <c r="U4" s="3509"/>
      <c r="V4" s="3514" t="s">
        <v>2247</v>
      </c>
      <c r="W4" s="3514"/>
      <c r="X4" s="1334"/>
      <c r="Y4" s="3508" t="s">
        <v>2249</v>
      </c>
      <c r="Z4" s="3509"/>
      <c r="AA4" s="3495" t="s">
        <v>2245</v>
      </c>
      <c r="AB4" s="3496" t="s">
        <v>2246</v>
      </c>
      <c r="AC4" s="3495" t="s">
        <v>2247</v>
      </c>
    </row>
    <row r="5" spans="1:29" ht="15">
      <c r="A5" s="297"/>
      <c r="B5" s="298"/>
      <c r="C5" s="3491" t="s">
        <v>2250</v>
      </c>
      <c r="D5" s="3492"/>
      <c r="E5" s="3515" t="s">
        <v>2251</v>
      </c>
      <c r="F5" s="3516"/>
      <c r="G5" s="3491" t="s">
        <v>2252</v>
      </c>
      <c r="H5" s="3492"/>
      <c r="I5" s="3491" t="s">
        <v>2253</v>
      </c>
      <c r="J5" s="3492"/>
      <c r="K5" s="496"/>
      <c r="L5" s="3018"/>
      <c r="M5" s="3019"/>
      <c r="N5" s="3019"/>
      <c r="O5" s="3019"/>
      <c r="P5" s="3504"/>
      <c r="Q5" s="3505"/>
      <c r="R5" s="3510"/>
      <c r="S5" s="3511"/>
      <c r="T5" s="3510"/>
      <c r="U5" s="3511"/>
      <c r="V5" s="3514"/>
      <c r="W5" s="3514"/>
      <c r="X5" s="1334"/>
      <c r="Y5" s="3510"/>
      <c r="Z5" s="3511"/>
      <c r="AA5" s="3496"/>
      <c r="AB5" s="3496"/>
      <c r="AC5" s="3496"/>
    </row>
    <row r="6" spans="1:29" ht="15.75" thickBot="1">
      <c r="A6" s="299"/>
      <c r="B6" s="300"/>
      <c r="C6" s="3488" t="s">
        <v>2254</v>
      </c>
      <c r="D6" s="3489"/>
      <c r="E6" s="3486" t="s">
        <v>2254</v>
      </c>
      <c r="F6" s="3487"/>
      <c r="G6" s="3488" t="s">
        <v>2254</v>
      </c>
      <c r="H6" s="3489"/>
      <c r="I6" s="3488" t="s">
        <v>2254</v>
      </c>
      <c r="J6" s="3489"/>
      <c r="K6" s="496" t="s">
        <v>2255</v>
      </c>
      <c r="L6" s="3018"/>
      <c r="M6" s="3019"/>
      <c r="N6" s="3019"/>
      <c r="O6" s="3019"/>
      <c r="P6" s="3506"/>
      <c r="Q6" s="3507"/>
      <c r="R6" s="3510"/>
      <c r="S6" s="3511"/>
      <c r="T6" s="3512"/>
      <c r="U6" s="3513"/>
      <c r="V6" s="3514"/>
      <c r="W6" s="3514"/>
      <c r="X6" s="1334"/>
      <c r="Y6" s="3512"/>
      <c r="Z6" s="3513"/>
      <c r="AA6" s="3497"/>
      <c r="AB6" s="3497"/>
      <c r="AC6" s="3497"/>
    </row>
    <row r="7" spans="1:29" s="25" customFormat="1" ht="15.75" thickBot="1">
      <c r="A7" s="301" t="s">
        <v>2256</v>
      </c>
      <c r="B7" s="302"/>
      <c r="C7" s="303">
        <f>'数据-取费表'!B2</f>
        <v>44296</v>
      </c>
      <c r="D7" s="304">
        <v>100</v>
      </c>
      <c r="E7" s="305"/>
      <c r="F7" s="306">
        <f>SUMIF(48:48,YEAR(E7)&amp;"-"&amp;MONTH(E7),49:49)</f>
        <v>0</v>
      </c>
      <c r="G7" s="305"/>
      <c r="H7" s="304">
        <f>SUMIF(48:48,YEAR(G7)&amp;"-"&amp;MONTH(G7),49:49)</f>
        <v>0</v>
      </c>
      <c r="I7" s="305"/>
      <c r="J7" s="304">
        <f>SUMIF(48:48,YEAR(I7)&amp;"-"&amp;MONTH(I7),49:49)</f>
        <v>0</v>
      </c>
      <c r="K7" s="497"/>
      <c r="L7" s="3020"/>
      <c r="M7" s="3021"/>
      <c r="N7" s="3021"/>
      <c r="O7" s="3021"/>
      <c r="P7" s="3493" t="s">
        <v>2257</v>
      </c>
      <c r="Q7" s="3517"/>
      <c r="R7" s="626" t="s">
        <v>25</v>
      </c>
      <c r="S7" s="627">
        <f t="shared" ref="S7:S14" si="0">F7</f>
        <v>0</v>
      </c>
      <c r="T7" s="626" t="s">
        <v>25</v>
      </c>
      <c r="U7" s="627">
        <f t="shared" ref="U7:U14" si="1">H7</f>
        <v>0</v>
      </c>
      <c r="V7" s="626" t="s">
        <v>25</v>
      </c>
      <c r="W7" s="627">
        <f t="shared" ref="W7:W14" si="2">J7</f>
        <v>0</v>
      </c>
      <c r="X7" s="628"/>
      <c r="Y7" s="3493" t="s">
        <v>2257</v>
      </c>
      <c r="Z7" s="3494"/>
      <c r="AA7" s="629" t="e">
        <f>D7/F7</f>
        <v>#DIV/0!</v>
      </c>
      <c r="AB7" s="629" t="e">
        <f>D7/H7</f>
        <v>#DIV/0!</v>
      </c>
      <c r="AC7" s="629"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0"/>
      <c r="M8" s="3021"/>
      <c r="N8" s="3021"/>
      <c r="O8" s="3021"/>
      <c r="P8" s="3493" t="s">
        <v>2260</v>
      </c>
      <c r="Q8" s="3494"/>
      <c r="R8" s="626" t="s">
        <v>25</v>
      </c>
      <c r="S8" s="627">
        <f t="shared" si="0"/>
        <v>0</v>
      </c>
      <c r="T8" s="626" t="s">
        <v>25</v>
      </c>
      <c r="U8" s="627">
        <f t="shared" si="1"/>
        <v>0</v>
      </c>
      <c r="V8" s="626" t="s">
        <v>25</v>
      </c>
      <c r="W8" s="627">
        <f t="shared" si="2"/>
        <v>0</v>
      </c>
      <c r="X8" s="628"/>
      <c r="Y8" s="3493" t="s">
        <v>2260</v>
      </c>
      <c r="Z8" s="3494"/>
      <c r="AA8" s="629" t="e">
        <f t="shared" ref="AA8:AA36" si="3">D8/F8</f>
        <v>#DIV/0!</v>
      </c>
      <c r="AB8" s="629" t="e">
        <f t="shared" ref="AB8:AB36" si="4">D8/H8</f>
        <v>#DIV/0!</v>
      </c>
      <c r="AC8" s="629"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0"/>
      <c r="M9" s="3021"/>
      <c r="N9" s="3021"/>
      <c r="O9" s="3022"/>
      <c r="P9" s="3490" t="s">
        <v>2263</v>
      </c>
      <c r="Q9" s="1326" t="str">
        <f t="shared" ref="Q9:Q14" si="6">B9</f>
        <v>用途</v>
      </c>
      <c r="R9" s="626" t="s">
        <v>25</v>
      </c>
      <c r="S9" s="627">
        <f t="shared" si="0"/>
        <v>100</v>
      </c>
      <c r="T9" s="626" t="s">
        <v>25</v>
      </c>
      <c r="U9" s="627">
        <f t="shared" si="1"/>
        <v>100</v>
      </c>
      <c r="V9" s="626" t="s">
        <v>25</v>
      </c>
      <c r="W9" s="627">
        <f t="shared" si="2"/>
        <v>100</v>
      </c>
      <c r="X9" s="628"/>
      <c r="Y9" s="3520" t="s">
        <v>2264</v>
      </c>
      <c r="Z9" s="19" t="str">
        <f t="shared" ref="Z9:Z14" si="7">Q9</f>
        <v>用途</v>
      </c>
      <c r="AA9" s="629">
        <f t="shared" si="3"/>
        <v>1</v>
      </c>
      <c r="AB9" s="629">
        <f t="shared" si="4"/>
        <v>1</v>
      </c>
      <c r="AC9" s="629">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23"/>
      <c r="M10" s="3024"/>
      <c r="N10" s="3024"/>
      <c r="O10" s="3025"/>
      <c r="P10" s="3490"/>
      <c r="Q10" s="1326" t="str">
        <f t="shared" si="6"/>
        <v>土地使用年限（年）</v>
      </c>
      <c r="R10" s="626" t="s">
        <v>25</v>
      </c>
      <c r="S10" s="627">
        <f t="shared" si="0"/>
        <v>100</v>
      </c>
      <c r="T10" s="626" t="s">
        <v>25</v>
      </c>
      <c r="U10" s="627">
        <f t="shared" si="1"/>
        <v>100</v>
      </c>
      <c r="V10" s="626" t="s">
        <v>25</v>
      </c>
      <c r="W10" s="627">
        <f t="shared" si="2"/>
        <v>100</v>
      </c>
      <c r="X10" s="628"/>
      <c r="Y10" s="352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6"/>
      <c r="M11" s="3019"/>
      <c r="N11" s="3019"/>
      <c r="O11" s="3027"/>
      <c r="P11" s="3490"/>
      <c r="Q11" s="1326">
        <f t="shared" si="6"/>
        <v>111</v>
      </c>
      <c r="R11" s="626" t="s">
        <v>25</v>
      </c>
      <c r="S11" s="627">
        <f t="shared" si="0"/>
        <v>100</v>
      </c>
      <c r="T11" s="626" t="s">
        <v>25</v>
      </c>
      <c r="U11" s="627">
        <f t="shared" si="1"/>
        <v>100</v>
      </c>
      <c r="V11" s="626" t="s">
        <v>25</v>
      </c>
      <c r="W11" s="627">
        <f t="shared" si="2"/>
        <v>100</v>
      </c>
      <c r="X11" s="628"/>
      <c r="Y11" s="352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0"/>
      <c r="M12" s="3021"/>
      <c r="N12" s="3021"/>
      <c r="O12" s="3022"/>
      <c r="P12" s="3490"/>
      <c r="Q12" s="1326">
        <f t="shared" si="6"/>
        <v>111</v>
      </c>
      <c r="R12" s="626" t="s">
        <v>25</v>
      </c>
      <c r="S12" s="627">
        <f t="shared" si="0"/>
        <v>100</v>
      </c>
      <c r="T12" s="626" t="s">
        <v>25</v>
      </c>
      <c r="U12" s="627">
        <f t="shared" si="1"/>
        <v>100</v>
      </c>
      <c r="V12" s="626" t="s">
        <v>25</v>
      </c>
      <c r="W12" s="627">
        <f t="shared" si="2"/>
        <v>100</v>
      </c>
      <c r="X12" s="628"/>
      <c r="Y12" s="352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8"/>
      <c r="M13" s="3019"/>
      <c r="N13" s="3019"/>
      <c r="O13" s="3027"/>
      <c r="P13" s="3490"/>
      <c r="Q13" s="1326">
        <f t="shared" si="6"/>
        <v>111</v>
      </c>
      <c r="R13" s="626" t="s">
        <v>25</v>
      </c>
      <c r="S13" s="627">
        <f t="shared" si="0"/>
        <v>100</v>
      </c>
      <c r="T13" s="626" t="s">
        <v>25</v>
      </c>
      <c r="U13" s="627">
        <f t="shared" si="1"/>
        <v>100</v>
      </c>
      <c r="V13" s="626" t="s">
        <v>25</v>
      </c>
      <c r="W13" s="627">
        <f t="shared" si="2"/>
        <v>100</v>
      </c>
      <c r="X13" s="628"/>
      <c r="Y13" s="3520"/>
      <c r="Z13" s="19">
        <f t="shared" si="7"/>
        <v>111</v>
      </c>
      <c r="AA13" s="629">
        <f t="shared" si="3"/>
        <v>1</v>
      </c>
      <c r="AB13" s="629">
        <f t="shared" si="4"/>
        <v>1</v>
      </c>
      <c r="AC13" s="629">
        <f t="shared" si="5"/>
        <v>1</v>
      </c>
    </row>
    <row r="14" spans="1:29" ht="15">
      <c r="A14" s="294" t="s">
        <v>2267</v>
      </c>
      <c r="B14" s="511" t="s">
        <v>2404</v>
      </c>
      <c r="C14" s="1142" t="str">
        <f>IF(B1="工业",估价对象房地状况!G4,估价对象房地状况!C6)</f>
        <v>较好</v>
      </c>
      <c r="D14" s="1136">
        <v>100</v>
      </c>
      <c r="E14" s="331"/>
      <c r="F14" s="330">
        <f>SUMIF(63:63,E15,64:64)-SUMIF(63:63,C15,64:64)+100</f>
        <v>100</v>
      </c>
      <c r="G14" s="331"/>
      <c r="H14" s="330">
        <f>SUMIF(63:63,G15,64:64)-SUMIF(63:63,C15,64:64)+100</f>
        <v>100</v>
      </c>
      <c r="I14" s="331"/>
      <c r="J14" s="330">
        <f>SUMIF(63:63,I15,64:64)-SUMIF(63:63,C15,64:64)+100</f>
        <v>100</v>
      </c>
      <c r="K14" s="500"/>
      <c r="L14" s="3028"/>
      <c r="M14" s="3019"/>
      <c r="N14" s="3019"/>
      <c r="O14" s="3027"/>
      <c r="P14" s="3518" t="s">
        <v>2268</v>
      </c>
      <c r="Q14" s="1333" t="str">
        <f t="shared" si="6"/>
        <v>交通便捷度</v>
      </c>
      <c r="R14" s="630" t="s">
        <v>25</v>
      </c>
      <c r="S14" s="631">
        <f t="shared" si="0"/>
        <v>100</v>
      </c>
      <c r="T14" s="630" t="s">
        <v>25</v>
      </c>
      <c r="U14" s="631">
        <f t="shared" si="1"/>
        <v>100</v>
      </c>
      <c r="V14" s="630" t="s">
        <v>25</v>
      </c>
      <c r="W14" s="631">
        <f t="shared" si="2"/>
        <v>100</v>
      </c>
      <c r="X14" s="1334"/>
      <c r="Y14" s="3518" t="s">
        <v>2268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28"/>
      <c r="M15" s="3019"/>
      <c r="N15" s="3019"/>
      <c r="O15" s="3027"/>
      <c r="P15" s="3519"/>
      <c r="Q15" s="1333"/>
      <c r="R15" s="630"/>
      <c r="S15" s="631"/>
      <c r="T15" s="630"/>
      <c r="U15" s="631"/>
      <c r="V15" s="630"/>
      <c r="W15" s="631"/>
      <c r="X15" s="1334"/>
      <c r="Y15" s="3519"/>
      <c r="Z15" s="1335"/>
      <c r="AA15" s="1336">
        <v>1</v>
      </c>
      <c r="AB15" s="1336">
        <v>1</v>
      </c>
      <c r="AC15" s="1336">
        <v>1</v>
      </c>
    </row>
    <row r="16" spans="1:29" ht="15">
      <c r="A16" s="297"/>
      <c r="B16" s="513" t="s">
        <v>2382</v>
      </c>
      <c r="C16" s="1144" t="str">
        <f>IF(B1="工业",估价对象房地状况!G5,估价对象房地状况!C7)</f>
        <v>较好</v>
      </c>
      <c r="D16" s="1138">
        <v>100</v>
      </c>
      <c r="E16" s="341"/>
      <c r="F16" s="339">
        <f>SUMIF(65:65,E17,66:66)-SUMIF(65:65,C17,66:66)+100</f>
        <v>100</v>
      </c>
      <c r="G16" s="341"/>
      <c r="H16" s="344">
        <f>SUMIF(65:65,G17,66:66)-SUMIF(65:65,C17,66:66)+100</f>
        <v>100</v>
      </c>
      <c r="I16" s="341"/>
      <c r="J16" s="344">
        <f>SUMIF(65:65,I17,66:66)-SUMIF(65:65,C17,66:66)+100</f>
        <v>100</v>
      </c>
      <c r="K16" s="500"/>
      <c r="L16" s="3028"/>
      <c r="M16" s="3019"/>
      <c r="N16" s="3019"/>
      <c r="O16" s="3027"/>
      <c r="P16" s="3519"/>
      <c r="Q16" s="1333" t="str">
        <f>B16</f>
        <v>公共配套设施</v>
      </c>
      <c r="R16" s="630" t="s">
        <v>25</v>
      </c>
      <c r="S16" s="631">
        <f>F16</f>
        <v>100</v>
      </c>
      <c r="T16" s="630" t="s">
        <v>25</v>
      </c>
      <c r="U16" s="631">
        <f>H16</f>
        <v>100</v>
      </c>
      <c r="V16" s="630" t="s">
        <v>25</v>
      </c>
      <c r="W16" s="631">
        <f>J16</f>
        <v>100</v>
      </c>
      <c r="X16" s="1334"/>
      <c r="Y16" s="3519"/>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28"/>
      <c r="M17" s="3019"/>
      <c r="N17" s="3019"/>
      <c r="O17" s="3027"/>
      <c r="P17" s="3519"/>
      <c r="Q17" s="1333"/>
      <c r="R17" s="630"/>
      <c r="S17" s="631"/>
      <c r="T17" s="630"/>
      <c r="U17" s="631"/>
      <c r="V17" s="630"/>
      <c r="W17" s="631"/>
      <c r="X17" s="1334"/>
      <c r="Y17" s="3519"/>
      <c r="Z17" s="1335"/>
      <c r="AA17" s="1336">
        <v>1</v>
      </c>
      <c r="AB17" s="1336">
        <v>1</v>
      </c>
      <c r="AC17" s="1336">
        <v>1</v>
      </c>
    </row>
    <row r="18" spans="1:29" ht="15">
      <c r="A18" s="297"/>
      <c r="B18" s="515" t="s">
        <v>2383</v>
      </c>
      <c r="C18" s="1144" t="str">
        <f>IF(B1="工业",估价对象房地状况!G6,估价对象房地状况!C8)</f>
        <v>七通</v>
      </c>
      <c r="D18" s="1138">
        <v>100</v>
      </c>
      <c r="E18" s="341"/>
      <c r="F18" s="339">
        <f>SUMIF(67:67,E19,68:68)-SUMIF(67:67,C19,68:68)+100</f>
        <v>100</v>
      </c>
      <c r="G18" s="341"/>
      <c r="H18" s="344">
        <f>SUMIF(67:67,G19,68:68)-SUMIF(67:67,C19,68:68)+100</f>
        <v>100</v>
      </c>
      <c r="I18" s="341"/>
      <c r="J18" s="344">
        <f>SUMIF(67:67,I19,68:68)-SUMIF(67:67,C19,68:68)+100</f>
        <v>100</v>
      </c>
      <c r="K18" s="500"/>
      <c r="L18" s="3028"/>
      <c r="M18" s="3019"/>
      <c r="N18" s="3019"/>
      <c r="O18" s="3027"/>
      <c r="P18" s="3519"/>
      <c r="Q18" s="1333" t="str">
        <f>B18</f>
        <v>基础设施水平</v>
      </c>
      <c r="R18" s="630" t="s">
        <v>25</v>
      </c>
      <c r="S18" s="631">
        <f>F18</f>
        <v>100</v>
      </c>
      <c r="T18" s="630" t="s">
        <v>25</v>
      </c>
      <c r="U18" s="631">
        <f>H18</f>
        <v>100</v>
      </c>
      <c r="V18" s="630" t="s">
        <v>25</v>
      </c>
      <c r="W18" s="631">
        <f>J18</f>
        <v>100</v>
      </c>
      <c r="X18" s="1334"/>
      <c r="Y18" s="3519"/>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28"/>
      <c r="M19" s="3019"/>
      <c r="N19" s="3019"/>
      <c r="O19" s="3027"/>
      <c r="P19" s="3519"/>
      <c r="Q19" s="1333"/>
      <c r="R19" s="630"/>
      <c r="S19" s="631"/>
      <c r="T19" s="630"/>
      <c r="U19" s="631"/>
      <c r="V19" s="630"/>
      <c r="W19" s="631"/>
      <c r="X19" s="1334"/>
      <c r="Y19" s="3519"/>
      <c r="Z19" s="1335"/>
      <c r="AA19" s="1336">
        <v>1</v>
      </c>
      <c r="AB19" s="1336">
        <v>1</v>
      </c>
      <c r="AC19" s="1336">
        <v>1</v>
      </c>
    </row>
    <row r="20" spans="1:29" ht="15">
      <c r="A20" s="297"/>
      <c r="B20" s="513" t="s">
        <v>2405</v>
      </c>
      <c r="C20" s="1144" t="str">
        <f>IF(B1="工业",估价对象房地状况!G7,估价对象房地状况!C9)</f>
        <v>较好</v>
      </c>
      <c r="D20" s="1139">
        <v>100</v>
      </c>
      <c r="E20" s="347"/>
      <c r="F20" s="344">
        <f>SUMIF(69:69,E21,70:70)-SUMIF(69:69,C21,70:70)+100</f>
        <v>100</v>
      </c>
      <c r="G20" s="347"/>
      <c r="H20" s="339">
        <f>SUMIF(69:69,G21,70:70)-SUMIF(69:69,C21,70:70)+100</f>
        <v>100</v>
      </c>
      <c r="I20" s="341"/>
      <c r="J20" s="339">
        <f>SUMIF(69:69,I21,70:70)-SUMIF(69:69,C21,70:70)+100</f>
        <v>100</v>
      </c>
      <c r="K20" s="500"/>
      <c r="L20" s="3028"/>
      <c r="M20" s="3019"/>
      <c r="N20" s="3019"/>
      <c r="O20" s="3027"/>
      <c r="P20" s="3519"/>
      <c r="Q20" s="1333" t="str">
        <f>B20</f>
        <v>自然及人文环境</v>
      </c>
      <c r="R20" s="630" t="s">
        <v>25</v>
      </c>
      <c r="S20" s="631">
        <f>F20</f>
        <v>100</v>
      </c>
      <c r="T20" s="630" t="s">
        <v>25</v>
      </c>
      <c r="U20" s="631">
        <f>H20</f>
        <v>100</v>
      </c>
      <c r="V20" s="630" t="s">
        <v>25</v>
      </c>
      <c r="W20" s="631">
        <f>J20</f>
        <v>100</v>
      </c>
      <c r="X20" s="1334"/>
      <c r="Y20" s="3519"/>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28"/>
      <c r="M21" s="3019"/>
      <c r="N21" s="3019"/>
      <c r="O21" s="3027"/>
      <c r="P21" s="3519"/>
      <c r="Q21" s="1333"/>
      <c r="R21" s="630"/>
      <c r="S21" s="631"/>
      <c r="T21" s="630"/>
      <c r="U21" s="631"/>
      <c r="V21" s="630"/>
      <c r="W21" s="631"/>
      <c r="X21" s="1334"/>
      <c r="Y21" s="3519"/>
      <c r="Z21" s="1335"/>
      <c r="AA21" s="1336">
        <v>1</v>
      </c>
      <c r="AB21" s="1336">
        <v>1</v>
      </c>
      <c r="AC21" s="1336">
        <v>1</v>
      </c>
    </row>
    <row r="22" spans="1:29" ht="15">
      <c r="A22" s="297"/>
      <c r="B22" s="513" t="s">
        <v>2406</v>
      </c>
      <c r="C22" s="516"/>
      <c r="D22" s="1138">
        <v>100</v>
      </c>
      <c r="E22" s="502"/>
      <c r="F22" s="325">
        <f>SUMIF(71:71,E22,72:72)-SUMIF(71:71,C22,72:72)+100</f>
        <v>100</v>
      </c>
      <c r="G22" s="516"/>
      <c r="H22" s="325">
        <f>SUMIF(71:71,G22,72:72)-SUMIF(71:71,C22,72:72)+100</f>
        <v>100</v>
      </c>
      <c r="I22" s="502"/>
      <c r="J22" s="325">
        <f>SUMIF(71:71,I22,72:72)-SUMIF(71:71,C22,72:72)+100</f>
        <v>100</v>
      </c>
      <c r="K22" s="498"/>
      <c r="L22" s="3028"/>
      <c r="M22" s="3019"/>
      <c r="N22" s="3019"/>
      <c r="O22" s="3027"/>
      <c r="P22" s="3519"/>
      <c r="Q22" s="1333" t="str">
        <f>B22</f>
        <v>楼层</v>
      </c>
      <c r="R22" s="630" t="s">
        <v>25</v>
      </c>
      <c r="S22" s="631">
        <f>F22</f>
        <v>100</v>
      </c>
      <c r="T22" s="630" t="s">
        <v>25</v>
      </c>
      <c r="U22" s="631">
        <f>H22</f>
        <v>100</v>
      </c>
      <c r="V22" s="630" t="s">
        <v>25</v>
      </c>
      <c r="W22" s="631">
        <f>J22</f>
        <v>100</v>
      </c>
      <c r="X22" s="1334"/>
      <c r="Y22" s="3519"/>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28"/>
      <c r="M23" s="3019"/>
      <c r="N23" s="3019"/>
      <c r="O23" s="3027"/>
      <c r="P23" s="3519"/>
      <c r="Q23" s="1333">
        <f>B23</f>
        <v>111</v>
      </c>
      <c r="R23" s="630" t="s">
        <v>25</v>
      </c>
      <c r="S23" s="631">
        <f>F23</f>
        <v>100</v>
      </c>
      <c r="T23" s="630" t="s">
        <v>25</v>
      </c>
      <c r="U23" s="631">
        <f>H23</f>
        <v>100</v>
      </c>
      <c r="V23" s="630" t="s">
        <v>25</v>
      </c>
      <c r="W23" s="631">
        <f>J23</f>
        <v>100</v>
      </c>
      <c r="X23" s="1334"/>
      <c r="Y23" s="3519"/>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28"/>
      <c r="M24" s="3019"/>
      <c r="N24" s="3019"/>
      <c r="O24" s="3027"/>
      <c r="P24" s="3519"/>
      <c r="Q24" s="1333">
        <f t="shared" ref="Q24:Q36" si="11">B24</f>
        <v>111</v>
      </c>
      <c r="R24" s="630" t="s">
        <v>25</v>
      </c>
      <c r="S24" s="631">
        <f>F24</f>
        <v>100</v>
      </c>
      <c r="T24" s="630" t="s">
        <v>25</v>
      </c>
      <c r="U24" s="631">
        <f>H24</f>
        <v>100</v>
      </c>
      <c r="V24" s="630" t="s">
        <v>25</v>
      </c>
      <c r="W24" s="631">
        <f>J24</f>
        <v>100</v>
      </c>
      <c r="X24" s="1334"/>
      <c r="Y24" s="3519"/>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0"/>
      <c r="M25" s="3021"/>
      <c r="N25" s="3021"/>
      <c r="O25" s="3022"/>
      <c r="P25" s="3519"/>
      <c r="Q25" s="1326">
        <f t="shared" si="11"/>
        <v>111</v>
      </c>
      <c r="R25" s="626" t="s">
        <v>25</v>
      </c>
      <c r="S25" s="627">
        <f>F25</f>
        <v>100</v>
      </c>
      <c r="T25" s="626" t="s">
        <v>25</v>
      </c>
      <c r="U25" s="627">
        <f>H25</f>
        <v>100</v>
      </c>
      <c r="V25" s="626" t="s">
        <v>25</v>
      </c>
      <c r="W25" s="627">
        <f>J25</f>
        <v>100</v>
      </c>
      <c r="X25" s="628"/>
      <c r="Y25" s="3519"/>
      <c r="Z25" s="19">
        <f>Q25</f>
        <v>111</v>
      </c>
      <c r="AA25" s="1336">
        <f>D25/F25</f>
        <v>1</v>
      </c>
      <c r="AB25" s="1336">
        <f>D25/H25</f>
        <v>1</v>
      </c>
      <c r="AC25" s="1336">
        <f>D25/J25</f>
        <v>1</v>
      </c>
    </row>
    <row r="26" spans="1:29" ht="28.5">
      <c r="A26" s="533" t="s">
        <v>2271</v>
      </c>
      <c r="B26" s="23" t="s">
        <v>2407</v>
      </c>
      <c r="C26" s="1580"/>
      <c r="D26" s="336">
        <v>100</v>
      </c>
      <c r="E26" s="335"/>
      <c r="F26" s="338">
        <f>SUMIF(79:79,E26,80:80)-SUMIF(79:79,C26,80:80)+100</f>
        <v>100</v>
      </c>
      <c r="G26" s="335"/>
      <c r="H26" s="336">
        <f>SUMIF(79:79,G26,80:80)-SUMIF(79:79,C26,80:80)+100</f>
        <v>100</v>
      </c>
      <c r="I26" s="335"/>
      <c r="J26" s="336">
        <f>SUMIF(79:79,I26,80:80)-SUMIF(79:79,C26,80:80)+100</f>
        <v>100</v>
      </c>
      <c r="K26" s="498"/>
      <c r="L26" s="3028"/>
      <c r="M26" s="3019"/>
      <c r="N26" s="3019"/>
      <c r="O26" s="3027"/>
      <c r="P26" s="3521" t="s">
        <v>2273</v>
      </c>
      <c r="Q26" s="1333" t="str">
        <f t="shared" si="11"/>
        <v>配套类型</v>
      </c>
      <c r="R26" s="630" t="s">
        <v>25</v>
      </c>
      <c r="S26" s="631">
        <f t="shared" ref="S26:S36" si="12">F26</f>
        <v>100</v>
      </c>
      <c r="T26" s="630" t="s">
        <v>25</v>
      </c>
      <c r="U26" s="631">
        <f t="shared" ref="U26:U36" si="13">H26</f>
        <v>100</v>
      </c>
      <c r="V26" s="630" t="s">
        <v>25</v>
      </c>
      <c r="W26" s="631">
        <f t="shared" ref="W26:W36" si="14">J26</f>
        <v>100</v>
      </c>
      <c r="X26" s="1334"/>
      <c r="Y26" s="3522" t="s">
        <v>2273</v>
      </c>
      <c r="Z26" s="1335" t="str">
        <f t="shared" ref="Z26:Z36" si="15">Q26</f>
        <v>配套类型</v>
      </c>
      <c r="AA26" s="1336">
        <f t="shared" si="3"/>
        <v>1</v>
      </c>
      <c r="AB26" s="1336">
        <f t="shared" si="4"/>
        <v>1</v>
      </c>
      <c r="AC26" s="1336">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26"/>
      <c r="M27" s="358"/>
      <c r="N27" s="358"/>
      <c r="O27" s="3029"/>
      <c r="P27" s="3522"/>
      <c r="Q27" s="632" t="str">
        <f t="shared" si="11"/>
        <v>项目停车位配比</v>
      </c>
      <c r="R27" s="633" t="s">
        <v>25</v>
      </c>
      <c r="S27" s="634">
        <f t="shared" si="12"/>
        <v>100</v>
      </c>
      <c r="T27" s="633" t="s">
        <v>25</v>
      </c>
      <c r="U27" s="634">
        <f t="shared" si="13"/>
        <v>100</v>
      </c>
      <c r="V27" s="633" t="s">
        <v>25</v>
      </c>
      <c r="W27" s="634">
        <f t="shared" si="14"/>
        <v>100</v>
      </c>
      <c r="X27" s="635"/>
      <c r="Y27" s="3522"/>
      <c r="Z27" s="636" t="str">
        <f t="shared" si="15"/>
        <v>项目停车位配比</v>
      </c>
      <c r="AA27" s="1336">
        <f t="shared" si="3"/>
        <v>1</v>
      </c>
      <c r="AB27" s="1336">
        <f t="shared" si="4"/>
        <v>1</v>
      </c>
      <c r="AC27" s="1336">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28"/>
      <c r="M28" s="3019"/>
      <c r="N28" s="3019"/>
      <c r="O28" s="3027"/>
      <c r="P28" s="3522"/>
      <c r="Q28" s="1333" t="str">
        <f t="shared" si="11"/>
        <v>公共部分装修</v>
      </c>
      <c r="R28" s="630" t="s">
        <v>25</v>
      </c>
      <c r="S28" s="631">
        <f t="shared" si="12"/>
        <v>100</v>
      </c>
      <c r="T28" s="630" t="s">
        <v>25</v>
      </c>
      <c r="U28" s="631">
        <f t="shared" si="13"/>
        <v>100</v>
      </c>
      <c r="V28" s="630" t="s">
        <v>25</v>
      </c>
      <c r="W28" s="631">
        <f t="shared" si="14"/>
        <v>100</v>
      </c>
      <c r="X28" s="1334"/>
      <c r="Y28" s="3522"/>
      <c r="Z28" s="1335" t="str">
        <f t="shared" si="15"/>
        <v>公共部分装修</v>
      </c>
      <c r="AA28" s="1336">
        <f t="shared" si="3"/>
        <v>1</v>
      </c>
      <c r="AB28" s="1336">
        <f t="shared" si="4"/>
        <v>1</v>
      </c>
      <c r="AC28" s="1336">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8"/>
      <c r="M29" s="3019"/>
      <c r="N29" s="3019"/>
      <c r="O29" s="3027"/>
      <c r="P29" s="3522"/>
      <c r="Q29" s="1333" t="str">
        <f t="shared" si="11"/>
        <v>成新率</v>
      </c>
      <c r="R29" s="630" t="s">
        <v>25</v>
      </c>
      <c r="S29" s="631" t="e">
        <f t="shared" si="12"/>
        <v>#N/A</v>
      </c>
      <c r="T29" s="630" t="s">
        <v>25</v>
      </c>
      <c r="U29" s="631" t="e">
        <f t="shared" si="13"/>
        <v>#N/A</v>
      </c>
      <c r="V29" s="630" t="s">
        <v>25</v>
      </c>
      <c r="W29" s="631" t="e">
        <f t="shared" si="14"/>
        <v>#N/A</v>
      </c>
      <c r="X29" s="1334"/>
      <c r="Y29" s="3522"/>
      <c r="Z29" s="1335" t="str">
        <f t="shared" si="15"/>
        <v>成新率</v>
      </c>
      <c r="AA29" s="1336" t="e">
        <f t="shared" si="3"/>
        <v>#N/A</v>
      </c>
      <c r="AB29" s="1336" t="e">
        <f t="shared" si="4"/>
        <v>#N/A</v>
      </c>
      <c r="AC29" s="1336"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28"/>
      <c r="M30" s="3019"/>
      <c r="N30" s="3019"/>
      <c r="O30" s="3027"/>
      <c r="P30" s="3522"/>
      <c r="Q30" s="1333" t="str">
        <f t="shared" si="11"/>
        <v>物业等级</v>
      </c>
      <c r="R30" s="630" t="s">
        <v>25</v>
      </c>
      <c r="S30" s="631">
        <f t="shared" si="12"/>
        <v>100</v>
      </c>
      <c r="T30" s="630" t="s">
        <v>25</v>
      </c>
      <c r="U30" s="631">
        <f t="shared" si="13"/>
        <v>100</v>
      </c>
      <c r="V30" s="630" t="s">
        <v>25</v>
      </c>
      <c r="W30" s="631">
        <f t="shared" si="14"/>
        <v>100</v>
      </c>
      <c r="X30" s="1334"/>
      <c r="Y30" s="3522"/>
      <c r="Z30" s="1335" t="str">
        <f t="shared" si="15"/>
        <v>物业等级</v>
      </c>
      <c r="AA30" s="1336">
        <f t="shared" si="3"/>
        <v>1</v>
      </c>
      <c r="AB30" s="1336">
        <f t="shared" si="4"/>
        <v>1</v>
      </c>
      <c r="AC30" s="1336">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0"/>
      <c r="M31" s="3021"/>
      <c r="N31" s="3021"/>
      <c r="O31" s="3022"/>
      <c r="P31" s="3522"/>
      <c r="Q31" s="1326" t="str">
        <f t="shared" si="11"/>
        <v>停车位面积</v>
      </c>
      <c r="R31" s="626" t="s">
        <v>25</v>
      </c>
      <c r="S31" s="627" t="e">
        <f t="shared" si="12"/>
        <v>#N/A</v>
      </c>
      <c r="T31" s="626" t="s">
        <v>25</v>
      </c>
      <c r="U31" s="627" t="e">
        <f t="shared" si="13"/>
        <v>#N/A</v>
      </c>
      <c r="V31" s="626" t="s">
        <v>25</v>
      </c>
      <c r="W31" s="627" t="e">
        <f t="shared" si="14"/>
        <v>#N/A</v>
      </c>
      <c r="X31" s="628"/>
      <c r="Y31" s="3522"/>
      <c r="Z31" s="19" t="str">
        <f t="shared" si="15"/>
        <v>停车位面积</v>
      </c>
      <c r="AA31" s="629" t="e">
        <f t="shared" si="3"/>
        <v>#N/A</v>
      </c>
      <c r="AB31" s="629" t="e">
        <f t="shared" si="4"/>
        <v>#N/A</v>
      </c>
      <c r="AC31" s="629"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28"/>
      <c r="M32" s="3019"/>
      <c r="N32" s="3019"/>
      <c r="O32" s="3027"/>
      <c r="P32" s="3522" t="s">
        <v>2273</v>
      </c>
      <c r="Q32" s="1333" t="str">
        <f t="shared" si="11"/>
        <v>车位类型</v>
      </c>
      <c r="R32" s="630" t="s">
        <v>25</v>
      </c>
      <c r="S32" s="631">
        <f t="shared" si="12"/>
        <v>100</v>
      </c>
      <c r="T32" s="630" t="s">
        <v>25</v>
      </c>
      <c r="U32" s="631">
        <f t="shared" si="13"/>
        <v>100</v>
      </c>
      <c r="V32" s="630" t="s">
        <v>25</v>
      </c>
      <c r="W32" s="631">
        <f t="shared" si="14"/>
        <v>100</v>
      </c>
      <c r="X32" s="1334"/>
      <c r="Y32" s="3522" t="s">
        <v>2273</v>
      </c>
      <c r="Z32" s="1335" t="str">
        <f t="shared" si="15"/>
        <v>车位类型</v>
      </c>
      <c r="AA32" s="1336">
        <f t="shared" si="3"/>
        <v>1</v>
      </c>
      <c r="AB32" s="1336">
        <f t="shared" si="4"/>
        <v>1</v>
      </c>
      <c r="AC32" s="1336">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28"/>
      <c r="M33" s="3019"/>
      <c r="N33" s="3019"/>
      <c r="O33" s="3027"/>
      <c r="P33" s="3522"/>
      <c r="Q33" s="1333" t="str">
        <f t="shared" si="11"/>
        <v>是否直接入户</v>
      </c>
      <c r="R33" s="630" t="s">
        <v>25</v>
      </c>
      <c r="S33" s="631">
        <f t="shared" si="12"/>
        <v>100</v>
      </c>
      <c r="T33" s="630" t="s">
        <v>25</v>
      </c>
      <c r="U33" s="631">
        <f t="shared" si="13"/>
        <v>100</v>
      </c>
      <c r="V33" s="630" t="s">
        <v>25</v>
      </c>
      <c r="W33" s="631">
        <f t="shared" si="14"/>
        <v>100</v>
      </c>
      <c r="X33" s="1334"/>
      <c r="Y33" s="3522"/>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8"/>
      <c r="M34" s="3019"/>
      <c r="N34" s="3019"/>
      <c r="O34" s="3027"/>
      <c r="P34" s="3522"/>
      <c r="Q34" s="1333">
        <f t="shared" si="11"/>
        <v>111</v>
      </c>
      <c r="R34" s="630" t="s">
        <v>25</v>
      </c>
      <c r="S34" s="631">
        <f t="shared" si="12"/>
        <v>100</v>
      </c>
      <c r="T34" s="630" t="s">
        <v>25</v>
      </c>
      <c r="U34" s="631">
        <f t="shared" si="13"/>
        <v>100</v>
      </c>
      <c r="V34" s="630" t="s">
        <v>25</v>
      </c>
      <c r="W34" s="631">
        <f t="shared" si="14"/>
        <v>100</v>
      </c>
      <c r="X34" s="1334"/>
      <c r="Y34" s="3522"/>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6"/>
      <c r="M35" s="358"/>
      <c r="N35" s="358"/>
      <c r="O35" s="3029"/>
      <c r="P35" s="3522"/>
      <c r="Q35" s="632">
        <f t="shared" si="11"/>
        <v>111</v>
      </c>
      <c r="R35" s="633" t="s">
        <v>25</v>
      </c>
      <c r="S35" s="634">
        <f t="shared" si="12"/>
        <v>100</v>
      </c>
      <c r="T35" s="633" t="s">
        <v>25</v>
      </c>
      <c r="U35" s="634">
        <f t="shared" si="13"/>
        <v>100</v>
      </c>
      <c r="V35" s="633" t="s">
        <v>25</v>
      </c>
      <c r="W35" s="634">
        <f t="shared" si="14"/>
        <v>100</v>
      </c>
      <c r="X35" s="635"/>
      <c r="Y35" s="3522"/>
      <c r="Z35" s="636">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8"/>
      <c r="M36" s="3019"/>
      <c r="N36" s="3019"/>
      <c r="O36" s="3027"/>
      <c r="P36" s="3522"/>
      <c r="Q36" s="1333">
        <f t="shared" si="11"/>
        <v>111</v>
      </c>
      <c r="R36" s="630" t="s">
        <v>25</v>
      </c>
      <c r="S36" s="631">
        <f t="shared" si="12"/>
        <v>100</v>
      </c>
      <c r="T36" s="630" t="s">
        <v>25</v>
      </c>
      <c r="U36" s="631">
        <f t="shared" si="13"/>
        <v>100</v>
      </c>
      <c r="V36" s="630" t="s">
        <v>25</v>
      </c>
      <c r="W36" s="631">
        <f t="shared" si="14"/>
        <v>100</v>
      </c>
      <c r="X36" s="1334"/>
      <c r="Y36" s="3522"/>
      <c r="Z36" s="1335">
        <f t="shared" si="15"/>
        <v>111</v>
      </c>
      <c r="AA36" s="1336">
        <f t="shared" si="3"/>
        <v>1</v>
      </c>
      <c r="AB36" s="1336">
        <f t="shared" si="4"/>
        <v>1</v>
      </c>
      <c r="AC36" s="1336">
        <f t="shared" si="5"/>
        <v>1</v>
      </c>
    </row>
    <row r="37" spans="1:29" ht="15">
      <c r="A37" s="367" t="s">
        <v>2415</v>
      </c>
      <c r="B37" s="839" t="s">
        <v>2416</v>
      </c>
      <c r="C37" s="1152" t="s">
        <v>1</v>
      </c>
      <c r="D37" s="1153"/>
      <c r="E37" s="1154"/>
      <c r="F37" s="1155"/>
      <c r="G37" s="1156"/>
      <c r="H37" s="1157"/>
      <c r="I37" s="1154"/>
      <c r="J37" s="1157"/>
      <c r="K37" s="503"/>
      <c r="L37" s="3030"/>
      <c r="N37" s="3019"/>
      <c r="P37" s="3490" t="str">
        <f>A37</f>
        <v>成交单价</v>
      </c>
      <c r="Q37" s="3490"/>
      <c r="R37" s="3524">
        <f>E37</f>
        <v>0</v>
      </c>
      <c r="S37" s="3524"/>
      <c r="T37" s="3524">
        <f>G37</f>
        <v>0</v>
      </c>
      <c r="U37" s="3524"/>
      <c r="V37" s="3524">
        <f>I37</f>
        <v>0</v>
      </c>
      <c r="W37" s="3524"/>
      <c r="X37" s="617"/>
      <c r="Y37" s="637"/>
      <c r="Z37" s="617"/>
      <c r="AA37" s="617"/>
      <c r="AB37" s="617"/>
      <c r="AC37" s="617"/>
    </row>
    <row r="38" spans="1:29" ht="15.75" thickBot="1">
      <c r="A38" s="374" t="s">
        <v>2417</v>
      </c>
      <c r="B38" s="375" t="str">
        <f>B37</f>
        <v>元/平方米</v>
      </c>
      <c r="C38" s="1158" t="e">
        <f>R39</f>
        <v>#DIV/0!</v>
      </c>
      <c r="D38" s="1792" t="s">
        <v>2740</v>
      </c>
      <c r="E38" s="1159" t="e">
        <f>R38</f>
        <v>#DIV/0!</v>
      </c>
      <c r="F38" s="1794"/>
      <c r="G38" s="1158" t="e">
        <f>T38</f>
        <v>#DIV/0!</v>
      </c>
      <c r="H38" s="1794"/>
      <c r="I38" s="1159" t="e">
        <f>V38</f>
        <v>#DIV/0!</v>
      </c>
      <c r="J38" s="1794"/>
      <c r="K38" s="2506">
        <f>F38+H38+J38</f>
        <v>0</v>
      </c>
      <c r="L38" s="3030"/>
      <c r="P38" s="3490" t="str">
        <f>A38</f>
        <v>比较价值</v>
      </c>
      <c r="Q38" s="3490"/>
      <c r="R38" s="3524" t="e">
        <f>IF(E1="售价",ROUND(PRODUCT(R37,AA7:AA36),0),ROUND(PRODUCT(R37,AA7:AA36),1))</f>
        <v>#DIV/0!</v>
      </c>
      <c r="S38" s="3524"/>
      <c r="T38" s="3524" t="e">
        <f>IF(E1="售价",ROUND(PRODUCT(T37,AB7:AB36),0),ROUND(PRODUCT(T37,AB7:AB36),1))</f>
        <v>#DIV/0!</v>
      </c>
      <c r="U38" s="3524"/>
      <c r="V38" s="3524" t="e">
        <f>IF(E1="售价",ROUND(PRODUCT(V37,AC7:AC36),0),ROUND(PRODUCT(V37,AC7:AC36),1))</f>
        <v>#DIV/0!</v>
      </c>
      <c r="W38" s="3524"/>
      <c r="X38" s="617"/>
      <c r="Y38" s="617"/>
      <c r="Z38" s="617"/>
      <c r="AA38" s="617"/>
      <c r="AB38" s="617"/>
      <c r="AC38" s="617"/>
    </row>
    <row r="39" spans="1:29" ht="15.75" thickBot="1">
      <c r="A39" s="378" t="s">
        <v>2418</v>
      </c>
      <c r="B39" s="379"/>
      <c r="C39" s="1160" t="e">
        <f>R39</f>
        <v>#DIV/0!</v>
      </c>
      <c r="D39" s="1160"/>
      <c r="E39" s="1160"/>
      <c r="F39" s="1160"/>
      <c r="G39" s="1160"/>
      <c r="H39" s="1160"/>
      <c r="I39" s="1160"/>
      <c r="J39" s="1160"/>
      <c r="K39" s="504"/>
      <c r="L39" s="3030"/>
      <c r="P39" s="3525" t="str">
        <f>A39</f>
        <v>估价对象XX用房的比较价值（楼面单价，元/平方米）</v>
      </c>
      <c r="Q39" s="3526"/>
      <c r="R39" s="3527" t="e">
        <f>IF(E1="售价",ROUND(IF(D38="简单平均",AVERAGE(R38:W38),R38*F38+T38*H38+V38*J38),0),ROUND(IF(D38="简单平均",AVERAGE(R38:V38),R38*F38+T38*H38+V38*J38),1))</f>
        <v>#DIV/0!</v>
      </c>
      <c r="S39" s="3527"/>
      <c r="T39" s="3527"/>
      <c r="U39" s="3527"/>
      <c r="V39" s="3527"/>
      <c r="W39" s="3527"/>
      <c r="X39" s="617"/>
      <c r="Y39" s="617"/>
      <c r="Z39" s="617"/>
      <c r="AA39" s="617"/>
      <c r="AB39" s="617"/>
      <c r="AC39" s="617"/>
    </row>
    <row r="40" spans="1:29">
      <c r="G40" s="3033"/>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4"/>
      <c r="L44" s="3031"/>
      <c r="P44" s="618"/>
      <c r="Q44" s="618"/>
      <c r="R44" s="618"/>
      <c r="S44" s="618"/>
      <c r="T44" s="618"/>
      <c r="U44" s="618"/>
      <c r="V44" s="618"/>
      <c r="W44" s="618"/>
      <c r="X44" s="618"/>
      <c r="Y44" s="618"/>
      <c r="Z44" s="618"/>
      <c r="AA44" s="618"/>
      <c r="AB44" s="618"/>
      <c r="AC44" s="618"/>
    </row>
    <row r="45" spans="1:29" s="388" customFormat="1">
      <c r="B45" s="3032"/>
      <c r="C45" s="3035"/>
      <c r="K45" s="3034"/>
      <c r="L45" s="3031"/>
      <c r="P45" s="618"/>
      <c r="Q45" s="618"/>
      <c r="R45" s="618"/>
      <c r="S45" s="618"/>
      <c r="T45" s="618"/>
      <c r="U45" s="618"/>
      <c r="V45" s="618"/>
      <c r="W45" s="618"/>
      <c r="X45" s="618"/>
      <c r="Y45" s="618"/>
      <c r="Z45" s="618"/>
      <c r="AA45" s="618"/>
      <c r="AB45" s="618"/>
      <c r="AC45" s="618"/>
    </row>
    <row r="46" spans="1:29">
      <c r="B46" s="3032"/>
      <c r="C46" s="3035"/>
      <c r="P46" s="617"/>
      <c r="Q46" s="617"/>
      <c r="R46" s="617"/>
      <c r="S46" s="617"/>
      <c r="T46" s="617"/>
      <c r="U46" s="617"/>
      <c r="V46" s="617"/>
      <c r="W46" s="617"/>
      <c r="X46" s="617"/>
      <c r="Y46" s="617"/>
      <c r="Z46" s="617"/>
      <c r="AA46" s="617"/>
      <c r="AB46" s="617"/>
      <c r="AC46" s="617"/>
    </row>
    <row r="47" spans="1:29" ht="21.75" thickBot="1">
      <c r="A47" s="1162" t="s">
        <v>2422</v>
      </c>
      <c r="B47" s="954"/>
      <c r="C47" s="962"/>
      <c r="D47" s="962"/>
      <c r="E47" s="962"/>
      <c r="F47" s="1163"/>
      <c r="G47" s="1163"/>
      <c r="H47" s="962"/>
      <c r="I47" s="962"/>
      <c r="J47" s="962"/>
      <c r="K47" s="960"/>
      <c r="L47" s="623"/>
      <c r="M47" s="620"/>
      <c r="N47" s="620"/>
      <c r="O47" s="620"/>
      <c r="P47" s="620"/>
      <c r="Q47" s="1161"/>
      <c r="R47" s="617"/>
      <c r="S47" s="617"/>
      <c r="T47" s="617"/>
      <c r="U47" s="617"/>
      <c r="V47" s="617"/>
      <c r="W47" s="617"/>
      <c r="X47" s="617"/>
      <c r="Y47" s="617"/>
      <c r="Z47" s="617"/>
      <c r="AA47" s="617"/>
      <c r="AB47" s="617"/>
      <c r="AC47" s="617"/>
    </row>
    <row r="48" spans="1:29" s="394" customFormat="1" ht="15">
      <c r="A48" s="391" t="s">
        <v>2423</v>
      </c>
      <c r="B48" s="392"/>
      <c r="C48" s="1186" t="str">
        <f>YEAR(C7)&amp;"-"&amp;MONTH(C7)</f>
        <v>2021-4</v>
      </c>
      <c r="D48" s="1187">
        <f>EDATE(C48,-1)</f>
        <v>44256</v>
      </c>
      <c r="E48" s="1187">
        <f t="shared" ref="E48:O48" si="16">EDATE(D48,-1)</f>
        <v>44228</v>
      </c>
      <c r="F48" s="1187">
        <f t="shared" si="16"/>
        <v>44197</v>
      </c>
      <c r="G48" s="1187">
        <f t="shared" si="16"/>
        <v>44166</v>
      </c>
      <c r="H48" s="1187">
        <f t="shared" si="16"/>
        <v>44136</v>
      </c>
      <c r="I48" s="1187">
        <f t="shared" si="16"/>
        <v>44105</v>
      </c>
      <c r="J48" s="1187">
        <f t="shared" si="16"/>
        <v>44075</v>
      </c>
      <c r="K48" s="1187">
        <f t="shared" si="16"/>
        <v>44044</v>
      </c>
      <c r="L48" s="1187">
        <f t="shared" si="16"/>
        <v>44013</v>
      </c>
      <c r="M48" s="1187">
        <f t="shared" si="16"/>
        <v>43983</v>
      </c>
      <c r="N48" s="1187">
        <f t="shared" si="16"/>
        <v>43952</v>
      </c>
      <c r="O48" s="1187">
        <f t="shared" si="16"/>
        <v>43922</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2271</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2402</v>
      </c>
      <c r="B1" s="1579"/>
      <c r="C1" s="1220"/>
      <c r="D1" s="1230"/>
      <c r="E1" s="1556" t="s">
        <v>2741</v>
      </c>
      <c r="F1" s="1231" t="s">
        <v>2241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IF(D2="——",IF(C2="元",ROUND(C37*D3,0),ROUND(C37*D3/10000,0)),IF(C2="元",ROUND(C37*D3,0),ROUND(C37*D3/10000,0))-E2)</f>
        <v>#DIV/0!</v>
      </c>
      <c r="C2" s="79" t="str">
        <f>'数据-取费表'!B3</f>
        <v>元</v>
      </c>
      <c r="D2" s="1557"/>
      <c r="E2" s="1229" t="e">
        <f ca="1">SUMIF(INDIRECT("'"&amp;G2&amp;"'"&amp;"!A:A"),"承租人权益价值",INDIRECT("'"&amp;G2&amp;"'"&amp;"!c:c"))</f>
        <v>#REF!</v>
      </c>
      <c r="F2" s="1558" t="str">
        <f>C2</f>
        <v>元</v>
      </c>
      <c r="G2" s="1559"/>
      <c r="H2" s="3013"/>
      <c r="I2" s="3013"/>
      <c r="J2" s="3013"/>
      <c r="K2" s="3017"/>
      <c r="L2" s="3014"/>
      <c r="M2" s="3015"/>
      <c r="N2" s="3015"/>
      <c r="O2" s="3015"/>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2242</v>
      </c>
      <c r="D3" s="292">
        <f>IF(C1="仅计算典型户型",'数据-取费表'!E5,'数据-取费表'!B5)</f>
        <v>82.35</v>
      </c>
      <c r="E3" s="3013"/>
      <c r="F3" s="3016"/>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98" t="s">
        <v>2244</v>
      </c>
      <c r="D4" s="3499"/>
      <c r="E4" s="3500" t="s">
        <v>2245</v>
      </c>
      <c r="F4" s="3501"/>
      <c r="G4" s="3498" t="s">
        <v>2246</v>
      </c>
      <c r="H4" s="3499"/>
      <c r="I4" s="3498" t="s">
        <v>2247</v>
      </c>
      <c r="J4" s="3499"/>
      <c r="K4" s="496" t="s">
        <v>2248</v>
      </c>
      <c r="L4" s="3018"/>
      <c r="M4" s="3019"/>
      <c r="N4" s="3019"/>
      <c r="O4" s="3019"/>
      <c r="P4" s="3502" t="s">
        <v>2249</v>
      </c>
      <c r="Q4" s="3503"/>
      <c r="R4" s="3508" t="s">
        <v>2245</v>
      </c>
      <c r="S4" s="3509"/>
      <c r="T4" s="3508" t="s">
        <v>2246</v>
      </c>
      <c r="U4" s="3509"/>
      <c r="V4" s="3514" t="s">
        <v>2247</v>
      </c>
      <c r="W4" s="3514"/>
      <c r="X4" s="1334"/>
      <c r="Y4" s="3508" t="s">
        <v>2249</v>
      </c>
      <c r="Z4" s="3509"/>
      <c r="AA4" s="3495" t="s">
        <v>2245</v>
      </c>
      <c r="AB4" s="3496" t="s">
        <v>2246</v>
      </c>
      <c r="AC4" s="3495" t="s">
        <v>2247</v>
      </c>
    </row>
    <row r="5" spans="1:29" ht="15">
      <c r="A5" s="297"/>
      <c r="B5" s="298"/>
      <c r="C5" s="3491" t="s">
        <v>2250</v>
      </c>
      <c r="D5" s="3492"/>
      <c r="E5" s="3515" t="s">
        <v>2251</v>
      </c>
      <c r="F5" s="3516"/>
      <c r="G5" s="3491" t="s">
        <v>2252</v>
      </c>
      <c r="H5" s="3492"/>
      <c r="I5" s="3491" t="s">
        <v>2253</v>
      </c>
      <c r="J5" s="3492"/>
      <c r="K5" s="496"/>
      <c r="L5" s="3018"/>
      <c r="M5" s="3019"/>
      <c r="N5" s="3019"/>
      <c r="O5" s="3019"/>
      <c r="P5" s="3504"/>
      <c r="Q5" s="3505"/>
      <c r="R5" s="3510"/>
      <c r="S5" s="3511"/>
      <c r="T5" s="3510"/>
      <c r="U5" s="3511"/>
      <c r="V5" s="3514"/>
      <c r="W5" s="3514"/>
      <c r="X5" s="1334"/>
      <c r="Y5" s="3510"/>
      <c r="Z5" s="3511"/>
      <c r="AA5" s="3496"/>
      <c r="AB5" s="3496"/>
      <c r="AC5" s="3496"/>
    </row>
    <row r="6" spans="1:29" ht="15.75" thickBot="1">
      <c r="A6" s="299"/>
      <c r="B6" s="300"/>
      <c r="C6" s="3488" t="s">
        <v>2254</v>
      </c>
      <c r="D6" s="3489"/>
      <c r="E6" s="3486" t="s">
        <v>2254</v>
      </c>
      <c r="F6" s="3487"/>
      <c r="G6" s="3488" t="s">
        <v>2254</v>
      </c>
      <c r="H6" s="3489"/>
      <c r="I6" s="3488" t="s">
        <v>2254</v>
      </c>
      <c r="J6" s="3489"/>
      <c r="K6" s="496" t="s">
        <v>2255</v>
      </c>
      <c r="L6" s="3018"/>
      <c r="M6" s="3019"/>
      <c r="N6" s="3019"/>
      <c r="O6" s="3019"/>
      <c r="P6" s="3506"/>
      <c r="Q6" s="3507"/>
      <c r="R6" s="3510"/>
      <c r="S6" s="3511"/>
      <c r="T6" s="3512"/>
      <c r="U6" s="3513"/>
      <c r="V6" s="3514"/>
      <c r="W6" s="3514"/>
      <c r="X6" s="1334"/>
      <c r="Y6" s="3512"/>
      <c r="Z6" s="3513"/>
      <c r="AA6" s="3497"/>
      <c r="AB6" s="3497"/>
      <c r="AC6" s="3497"/>
    </row>
    <row r="7" spans="1:29" s="25" customFormat="1" ht="15.75" thickBot="1">
      <c r="A7" s="301" t="s">
        <v>2256</v>
      </c>
      <c r="B7" s="302"/>
      <c r="C7" s="303">
        <f>'数据-取费表'!B2</f>
        <v>44296</v>
      </c>
      <c r="D7" s="304">
        <v>100</v>
      </c>
      <c r="E7" s="1572"/>
      <c r="F7" s="304">
        <f>SUMIF(46:46,YEAR(E7)&amp;"-"&amp;MONTH(E7),47:47)</f>
        <v>0</v>
      </c>
      <c r="G7" s="305"/>
      <c r="H7" s="304">
        <f>SUMIF(46:46,YEAR(G7)&amp;"-"&amp;MONTH(G7),47:47)</f>
        <v>0</v>
      </c>
      <c r="I7" s="305"/>
      <c r="J7" s="304">
        <f>SUMIF(46:46,YEAR(I7)&amp;"-"&amp;MONTH(I7),47:47)</f>
        <v>0</v>
      </c>
      <c r="K7" s="497"/>
      <c r="L7" s="3020"/>
      <c r="M7" s="3021"/>
      <c r="N7" s="3021"/>
      <c r="O7" s="3021"/>
      <c r="P7" s="3493" t="s">
        <v>2257</v>
      </c>
      <c r="Q7" s="3517"/>
      <c r="R7" s="626" t="s">
        <v>25</v>
      </c>
      <c r="S7" s="627">
        <f t="shared" ref="S7:S14" si="0">F7</f>
        <v>0</v>
      </c>
      <c r="T7" s="626" t="s">
        <v>25</v>
      </c>
      <c r="U7" s="627">
        <f t="shared" ref="U7:U14" si="1">H7</f>
        <v>0</v>
      </c>
      <c r="V7" s="626" t="s">
        <v>25</v>
      </c>
      <c r="W7" s="627">
        <f t="shared" ref="W7:W14" si="2">J7</f>
        <v>0</v>
      </c>
      <c r="X7" s="628"/>
      <c r="Y7" s="3493" t="s">
        <v>2257</v>
      </c>
      <c r="Z7" s="3494"/>
      <c r="AA7" s="629" t="e">
        <f>D7/F7</f>
        <v>#DIV/0!</v>
      </c>
      <c r="AB7" s="629" t="e">
        <f>D7/H7</f>
        <v>#DIV/0!</v>
      </c>
      <c r="AC7" s="629"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0"/>
      <c r="M8" s="3021"/>
      <c r="N8" s="3021"/>
      <c r="O8" s="3021"/>
      <c r="P8" s="3493" t="s">
        <v>2260</v>
      </c>
      <c r="Q8" s="3494"/>
      <c r="R8" s="626" t="s">
        <v>25</v>
      </c>
      <c r="S8" s="627">
        <f t="shared" si="0"/>
        <v>0</v>
      </c>
      <c r="T8" s="626" t="s">
        <v>25</v>
      </c>
      <c r="U8" s="627">
        <f t="shared" si="1"/>
        <v>0</v>
      </c>
      <c r="V8" s="626" t="s">
        <v>25</v>
      </c>
      <c r="W8" s="627">
        <f t="shared" si="2"/>
        <v>0</v>
      </c>
      <c r="X8" s="628"/>
      <c r="Y8" s="3493" t="s">
        <v>2260</v>
      </c>
      <c r="Z8" s="3494"/>
      <c r="AA8" s="629" t="e">
        <f t="shared" ref="AA8:AA34" si="3">D8/F8</f>
        <v>#DIV/0!</v>
      </c>
      <c r="AB8" s="629" t="e">
        <f t="shared" ref="AB8:AB34" si="4">D8/H8</f>
        <v>#DIV/0!</v>
      </c>
      <c r="AC8" s="629"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0"/>
      <c r="M9" s="3021"/>
      <c r="N9" s="3021"/>
      <c r="O9" s="3022"/>
      <c r="P9" s="3490" t="s">
        <v>2263</v>
      </c>
      <c r="Q9" s="1326" t="str">
        <f t="shared" ref="Q9:Q14" si="6">B9</f>
        <v>用途</v>
      </c>
      <c r="R9" s="626" t="s">
        <v>25</v>
      </c>
      <c r="S9" s="627">
        <f t="shared" si="0"/>
        <v>100</v>
      </c>
      <c r="T9" s="626" t="s">
        <v>25</v>
      </c>
      <c r="U9" s="627">
        <f t="shared" si="1"/>
        <v>100</v>
      </c>
      <c r="V9" s="626" t="s">
        <v>25</v>
      </c>
      <c r="W9" s="627">
        <f t="shared" si="2"/>
        <v>100</v>
      </c>
      <c r="X9" s="628"/>
      <c r="Y9" s="3520" t="s">
        <v>2264</v>
      </c>
      <c r="Z9" s="19" t="str">
        <f t="shared" ref="Z9:Z14" si="7">Q9</f>
        <v>用途</v>
      </c>
      <c r="AA9" s="629">
        <f t="shared" si="3"/>
        <v>1</v>
      </c>
      <c r="AB9" s="629">
        <f t="shared" si="4"/>
        <v>1</v>
      </c>
      <c r="AC9" s="629">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23"/>
      <c r="M10" s="3024"/>
      <c r="N10" s="3024"/>
      <c r="O10" s="3025"/>
      <c r="P10" s="3490"/>
      <c r="Q10" s="1326" t="str">
        <f t="shared" si="6"/>
        <v>土地使用年限（年）</v>
      </c>
      <c r="R10" s="626" t="s">
        <v>25</v>
      </c>
      <c r="S10" s="627">
        <f t="shared" si="0"/>
        <v>100</v>
      </c>
      <c r="T10" s="626" t="s">
        <v>25</v>
      </c>
      <c r="U10" s="627">
        <f t="shared" si="1"/>
        <v>100</v>
      </c>
      <c r="V10" s="626" t="s">
        <v>25</v>
      </c>
      <c r="W10" s="627">
        <f t="shared" si="2"/>
        <v>100</v>
      </c>
      <c r="X10" s="628"/>
      <c r="Y10" s="3520"/>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6"/>
      <c r="M11" s="3019"/>
      <c r="N11" s="3019"/>
      <c r="O11" s="3027"/>
      <c r="P11" s="3490"/>
      <c r="Q11" s="1326">
        <f t="shared" si="6"/>
        <v>111</v>
      </c>
      <c r="R11" s="626" t="s">
        <v>25</v>
      </c>
      <c r="S11" s="627">
        <f t="shared" si="0"/>
        <v>100</v>
      </c>
      <c r="T11" s="626" t="s">
        <v>25</v>
      </c>
      <c r="U11" s="627">
        <f t="shared" si="1"/>
        <v>100</v>
      </c>
      <c r="V11" s="626" t="s">
        <v>25</v>
      </c>
      <c r="W11" s="627">
        <f t="shared" si="2"/>
        <v>100</v>
      </c>
      <c r="X11" s="628"/>
      <c r="Y11" s="3520"/>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0"/>
      <c r="M12" s="3021"/>
      <c r="N12" s="3021"/>
      <c r="O12" s="3022"/>
      <c r="P12" s="3490"/>
      <c r="Q12" s="1326">
        <f t="shared" si="6"/>
        <v>111</v>
      </c>
      <c r="R12" s="626" t="s">
        <v>25</v>
      </c>
      <c r="S12" s="627">
        <f t="shared" si="0"/>
        <v>100</v>
      </c>
      <c r="T12" s="626" t="s">
        <v>25</v>
      </c>
      <c r="U12" s="627">
        <f t="shared" si="1"/>
        <v>100</v>
      </c>
      <c r="V12" s="626" t="s">
        <v>25</v>
      </c>
      <c r="W12" s="627">
        <f t="shared" si="2"/>
        <v>100</v>
      </c>
      <c r="X12" s="628"/>
      <c r="Y12" s="3520"/>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8"/>
      <c r="M13" s="3019"/>
      <c r="N13" s="3019"/>
      <c r="O13" s="3027"/>
      <c r="P13" s="3490"/>
      <c r="Q13" s="1326">
        <f t="shared" si="6"/>
        <v>111</v>
      </c>
      <c r="R13" s="626" t="s">
        <v>25</v>
      </c>
      <c r="S13" s="627">
        <f t="shared" si="0"/>
        <v>100</v>
      </c>
      <c r="T13" s="626" t="s">
        <v>25</v>
      </c>
      <c r="U13" s="627">
        <f t="shared" si="1"/>
        <v>100</v>
      </c>
      <c r="V13" s="626" t="s">
        <v>25</v>
      </c>
      <c r="W13" s="627">
        <f t="shared" si="2"/>
        <v>100</v>
      </c>
      <c r="X13" s="628"/>
      <c r="Y13" s="3520"/>
      <c r="Z13" s="19">
        <f t="shared" si="7"/>
        <v>111</v>
      </c>
      <c r="AA13" s="629">
        <f t="shared" si="3"/>
        <v>1</v>
      </c>
      <c r="AB13" s="629">
        <f t="shared" si="4"/>
        <v>1</v>
      </c>
      <c r="AC13" s="629">
        <f t="shared" si="5"/>
        <v>1</v>
      </c>
    </row>
    <row r="14" spans="1:29" ht="15">
      <c r="A14" s="329" t="s">
        <v>2267</v>
      </c>
      <c r="B14" s="22" t="s">
        <v>2404</v>
      </c>
      <c r="C14" s="157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28"/>
      <c r="M14" s="3019"/>
      <c r="N14" s="3019"/>
      <c r="O14" s="3027"/>
      <c r="P14" s="3518" t="s">
        <v>2268</v>
      </c>
      <c r="Q14" s="1333" t="str">
        <f t="shared" si="6"/>
        <v>交通便捷度</v>
      </c>
      <c r="R14" s="630" t="s">
        <v>25</v>
      </c>
      <c r="S14" s="631">
        <f t="shared" si="0"/>
        <v>100</v>
      </c>
      <c r="T14" s="630" t="s">
        <v>25</v>
      </c>
      <c r="U14" s="631">
        <f t="shared" si="1"/>
        <v>100</v>
      </c>
      <c r="V14" s="630" t="s">
        <v>25</v>
      </c>
      <c r="W14" s="631">
        <f t="shared" si="2"/>
        <v>100</v>
      </c>
      <c r="X14" s="1334"/>
      <c r="Y14" s="3518" t="s">
        <v>2268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28"/>
      <c r="M15" s="3019"/>
      <c r="N15" s="3019"/>
      <c r="O15" s="3027"/>
      <c r="P15" s="3519"/>
      <c r="Q15" s="1333"/>
      <c r="R15" s="630"/>
      <c r="S15" s="631"/>
      <c r="T15" s="630"/>
      <c r="U15" s="631"/>
      <c r="V15" s="630"/>
      <c r="W15" s="631"/>
      <c r="X15" s="1334"/>
      <c r="Y15" s="3519"/>
      <c r="Z15" s="1335"/>
      <c r="AA15" s="1336">
        <v>1</v>
      </c>
      <c r="AB15" s="1336">
        <v>1</v>
      </c>
      <c r="AC15" s="1336">
        <v>1</v>
      </c>
    </row>
    <row r="16" spans="1:29" ht="15">
      <c r="A16" s="318"/>
      <c r="B16" s="513" t="s">
        <v>2382</v>
      </c>
      <c r="C16" s="156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28"/>
      <c r="M16" s="3019"/>
      <c r="N16" s="3019"/>
      <c r="O16" s="3027"/>
      <c r="P16" s="3519"/>
      <c r="Q16" s="1333" t="str">
        <f>B16</f>
        <v>公共配套设施</v>
      </c>
      <c r="R16" s="630" t="s">
        <v>25</v>
      </c>
      <c r="S16" s="631">
        <f>F16</f>
        <v>100</v>
      </c>
      <c r="T16" s="630" t="s">
        <v>25</v>
      </c>
      <c r="U16" s="631">
        <f>H16</f>
        <v>100</v>
      </c>
      <c r="V16" s="630" t="s">
        <v>25</v>
      </c>
      <c r="W16" s="631">
        <f>J16</f>
        <v>100</v>
      </c>
      <c r="X16" s="1334"/>
      <c r="Y16" s="3519"/>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28"/>
      <c r="M17" s="3019"/>
      <c r="N17" s="3019"/>
      <c r="O17" s="3027"/>
      <c r="P17" s="3519"/>
      <c r="Q17" s="1333"/>
      <c r="R17" s="630"/>
      <c r="S17" s="631"/>
      <c r="T17" s="630"/>
      <c r="U17" s="631"/>
      <c r="V17" s="630"/>
      <c r="W17" s="631"/>
      <c r="X17" s="1334"/>
      <c r="Y17" s="3519"/>
      <c r="Z17" s="1335"/>
      <c r="AA17" s="1336">
        <v>1</v>
      </c>
      <c r="AB17" s="1336">
        <v>1</v>
      </c>
      <c r="AC17" s="1336">
        <v>1</v>
      </c>
    </row>
    <row r="18" spans="1:29" ht="15">
      <c r="A18" s="318"/>
      <c r="B18" s="515" t="s">
        <v>2383</v>
      </c>
      <c r="C18" s="156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28"/>
      <c r="M18" s="3019"/>
      <c r="N18" s="3019"/>
      <c r="O18" s="3027"/>
      <c r="P18" s="3519"/>
      <c r="Q18" s="1333" t="str">
        <f>B18</f>
        <v>基础设施水平</v>
      </c>
      <c r="R18" s="630" t="s">
        <v>25</v>
      </c>
      <c r="S18" s="631">
        <f>F18</f>
        <v>100</v>
      </c>
      <c r="T18" s="630" t="s">
        <v>25</v>
      </c>
      <c r="U18" s="631">
        <f>H18</f>
        <v>100</v>
      </c>
      <c r="V18" s="630" t="s">
        <v>25</v>
      </c>
      <c r="W18" s="631">
        <f>J18</f>
        <v>100</v>
      </c>
      <c r="X18" s="1334"/>
      <c r="Y18" s="3519"/>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28"/>
      <c r="M19" s="3019"/>
      <c r="N19" s="3019"/>
      <c r="O19" s="3027"/>
      <c r="P19" s="3519"/>
      <c r="Q19" s="1333"/>
      <c r="R19" s="630"/>
      <c r="S19" s="631"/>
      <c r="T19" s="630"/>
      <c r="U19" s="631"/>
      <c r="V19" s="630"/>
      <c r="W19" s="631"/>
      <c r="X19" s="1334"/>
      <c r="Y19" s="3519"/>
      <c r="Z19" s="1335"/>
      <c r="AA19" s="1336">
        <v>1</v>
      </c>
      <c r="AB19" s="1336">
        <v>1</v>
      </c>
      <c r="AC19" s="1336">
        <v>1</v>
      </c>
    </row>
    <row r="20" spans="1:29" ht="15">
      <c r="A20" s="318"/>
      <c r="B20" s="340" t="s">
        <v>2405</v>
      </c>
      <c r="C20" s="1564"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28"/>
      <c r="M20" s="3019"/>
      <c r="N20" s="3019"/>
      <c r="O20" s="3027"/>
      <c r="P20" s="3519"/>
      <c r="Q20" s="1333" t="str">
        <f>B20</f>
        <v>自然及人文环境</v>
      </c>
      <c r="R20" s="630" t="s">
        <v>25</v>
      </c>
      <c r="S20" s="631">
        <f>F20</f>
        <v>100</v>
      </c>
      <c r="T20" s="630" t="s">
        <v>25</v>
      </c>
      <c r="U20" s="631">
        <f>H20</f>
        <v>100</v>
      </c>
      <c r="V20" s="630" t="s">
        <v>25</v>
      </c>
      <c r="W20" s="631">
        <f>J20</f>
        <v>100</v>
      </c>
      <c r="X20" s="1334"/>
      <c r="Y20" s="3519"/>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28"/>
      <c r="M21" s="3019"/>
      <c r="N21" s="3019"/>
      <c r="O21" s="3027"/>
      <c r="P21" s="3519"/>
      <c r="Q21" s="1333"/>
      <c r="R21" s="630"/>
      <c r="S21" s="631"/>
      <c r="T21" s="630"/>
      <c r="U21" s="631"/>
      <c r="V21" s="630"/>
      <c r="W21" s="631"/>
      <c r="X21" s="1334"/>
      <c r="Y21" s="3519"/>
      <c r="Z21" s="1335"/>
      <c r="AA21" s="1336">
        <v>1</v>
      </c>
      <c r="AB21" s="1336">
        <v>1</v>
      </c>
      <c r="AC21" s="1336">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28"/>
      <c r="M22" s="3019"/>
      <c r="N22" s="3019"/>
      <c r="O22" s="3027"/>
      <c r="P22" s="3519"/>
      <c r="Q22" s="1333" t="str">
        <f>B22</f>
        <v>楼层</v>
      </c>
      <c r="R22" s="630" t="s">
        <v>25</v>
      </c>
      <c r="S22" s="631">
        <f>F22</f>
        <v>100</v>
      </c>
      <c r="T22" s="630" t="s">
        <v>25</v>
      </c>
      <c r="U22" s="631">
        <f>H22</f>
        <v>100</v>
      </c>
      <c r="V22" s="630" t="s">
        <v>25</v>
      </c>
      <c r="W22" s="631">
        <f>J22</f>
        <v>100</v>
      </c>
      <c r="X22" s="1334"/>
      <c r="Y22" s="3519"/>
      <c r="Z22" s="1335" t="str">
        <f>Q22</f>
        <v>楼层</v>
      </c>
      <c r="AA22" s="1336">
        <f t="shared" si="3"/>
        <v>1</v>
      </c>
      <c r="AB22" s="1336">
        <f t="shared" si="4"/>
        <v>1</v>
      </c>
      <c r="AC22" s="1336">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8"/>
      <c r="M23" s="3019"/>
      <c r="N23" s="3019"/>
      <c r="O23" s="3027"/>
      <c r="P23" s="3519"/>
      <c r="Q23" s="1333">
        <f>B23</f>
        <v>111</v>
      </c>
      <c r="R23" s="630" t="s">
        <v>25</v>
      </c>
      <c r="S23" s="631">
        <f>F23</f>
        <v>100</v>
      </c>
      <c r="T23" s="630" t="s">
        <v>25</v>
      </c>
      <c r="U23" s="631">
        <f>H23</f>
        <v>100</v>
      </c>
      <c r="V23" s="630" t="s">
        <v>25</v>
      </c>
      <c r="W23" s="631">
        <f>J23</f>
        <v>100</v>
      </c>
      <c r="X23" s="1334"/>
      <c r="Y23" s="3519"/>
      <c r="Z23" s="1335">
        <f>Q23</f>
        <v>111</v>
      </c>
      <c r="AA23" s="1336">
        <f t="shared" si="3"/>
        <v>1</v>
      </c>
      <c r="AB23" s="1336">
        <f t="shared" si="4"/>
        <v>1</v>
      </c>
      <c r="AC23" s="1336">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8"/>
      <c r="M24" s="3019"/>
      <c r="N24" s="3019"/>
      <c r="O24" s="3027"/>
      <c r="P24" s="3519"/>
      <c r="Q24" s="1333">
        <f t="shared" ref="Q24:Q34" si="11">B24</f>
        <v>111</v>
      </c>
      <c r="R24" s="630" t="s">
        <v>25</v>
      </c>
      <c r="S24" s="631">
        <f>F24</f>
        <v>100</v>
      </c>
      <c r="T24" s="630" t="s">
        <v>25</v>
      </c>
      <c r="U24" s="631">
        <f>H24</f>
        <v>100</v>
      </c>
      <c r="V24" s="630" t="s">
        <v>25</v>
      </c>
      <c r="W24" s="631">
        <f>J24</f>
        <v>100</v>
      </c>
      <c r="X24" s="1334"/>
      <c r="Y24" s="3519"/>
      <c r="Z24" s="1335">
        <f>Q24</f>
        <v>111</v>
      </c>
      <c r="AA24" s="1336">
        <f t="shared" si="3"/>
        <v>1</v>
      </c>
      <c r="AB24" s="1336">
        <f t="shared" si="4"/>
        <v>1</v>
      </c>
      <c r="AC24" s="1336">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0"/>
      <c r="M25" s="3021"/>
      <c r="N25" s="3021"/>
      <c r="O25" s="3022"/>
      <c r="P25" s="3519"/>
      <c r="Q25" s="1326">
        <f t="shared" si="11"/>
        <v>111</v>
      </c>
      <c r="R25" s="626" t="s">
        <v>25</v>
      </c>
      <c r="S25" s="627">
        <f>F25</f>
        <v>100</v>
      </c>
      <c r="T25" s="626" t="s">
        <v>25</v>
      </c>
      <c r="U25" s="627">
        <f>H25</f>
        <v>100</v>
      </c>
      <c r="V25" s="626" t="s">
        <v>25</v>
      </c>
      <c r="W25" s="627">
        <f>J25</f>
        <v>100</v>
      </c>
      <c r="X25" s="628"/>
      <c r="Y25" s="3519"/>
      <c r="Z25" s="19">
        <f>Q25</f>
        <v>111</v>
      </c>
      <c r="AA25" s="1336">
        <f>D25/F25</f>
        <v>1</v>
      </c>
      <c r="AB25" s="1336">
        <f>D25/H25</f>
        <v>1</v>
      </c>
      <c r="AC25" s="1336">
        <f>D25/J25</f>
        <v>1</v>
      </c>
    </row>
    <row r="26" spans="1:29" ht="28.5">
      <c r="A26" s="354" t="s">
        <v>2271</v>
      </c>
      <c r="B26" s="24" t="s">
        <v>2409</v>
      </c>
      <c r="C26" s="1574"/>
      <c r="D26" s="355">
        <v>100</v>
      </c>
      <c r="E26" s="1574"/>
      <c r="F26" s="548">
        <f>SUMIF(77:77,E26,78:78)-SUMIF(77:77,C26,78:78)+100</f>
        <v>100</v>
      </c>
      <c r="G26" s="1574"/>
      <c r="H26" s="355">
        <f>SUMIF(77:77,G26,78:78)-SUMIF(77:77,C26,78:78)+100</f>
        <v>100</v>
      </c>
      <c r="I26" s="1574"/>
      <c r="J26" s="355">
        <f>SUMIF(77:77,I26,78:78)-SUMIF(77:77,C26,78:78)+100</f>
        <v>100</v>
      </c>
      <c r="K26" s="498"/>
      <c r="L26" s="3028"/>
      <c r="M26" s="3019"/>
      <c r="N26" s="3019"/>
      <c r="O26" s="3027"/>
      <c r="P26" s="3521" t="s">
        <v>2273</v>
      </c>
      <c r="Q26" s="1333" t="str">
        <f t="shared" si="11"/>
        <v>公共部分装修</v>
      </c>
      <c r="R26" s="630" t="s">
        <v>25</v>
      </c>
      <c r="S26" s="631">
        <f t="shared" ref="S26:S34" si="12">F26</f>
        <v>100</v>
      </c>
      <c r="T26" s="630" t="s">
        <v>25</v>
      </c>
      <c r="U26" s="631">
        <f t="shared" ref="U26:U34" si="13">H26</f>
        <v>100</v>
      </c>
      <c r="V26" s="630" t="s">
        <v>25</v>
      </c>
      <c r="W26" s="631">
        <f t="shared" ref="W26:W34" si="14">J26</f>
        <v>100</v>
      </c>
      <c r="X26" s="1334"/>
      <c r="Y26" s="3522" t="s">
        <v>2273</v>
      </c>
      <c r="Z26" s="1335" t="str">
        <f t="shared" ref="Z26:Z34" si="15">Q26</f>
        <v>公共部分装修</v>
      </c>
      <c r="AA26" s="1336">
        <f t="shared" si="3"/>
        <v>1</v>
      </c>
      <c r="AB26" s="1336">
        <f t="shared" si="4"/>
        <v>1</v>
      </c>
      <c r="AC26" s="1336">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6"/>
      <c r="M27" s="358"/>
      <c r="N27" s="358"/>
      <c r="O27" s="3029"/>
      <c r="P27" s="3522"/>
      <c r="Q27" s="632" t="str">
        <f t="shared" si="11"/>
        <v>成新率</v>
      </c>
      <c r="R27" s="633" t="s">
        <v>25</v>
      </c>
      <c r="S27" s="634" t="e">
        <f t="shared" si="12"/>
        <v>#N/A</v>
      </c>
      <c r="T27" s="633" t="s">
        <v>25</v>
      </c>
      <c r="U27" s="634" t="e">
        <f t="shared" si="13"/>
        <v>#N/A</v>
      </c>
      <c r="V27" s="633" t="s">
        <v>25</v>
      </c>
      <c r="W27" s="634" t="e">
        <f t="shared" si="14"/>
        <v>#N/A</v>
      </c>
      <c r="X27" s="635"/>
      <c r="Y27" s="3522"/>
      <c r="Z27" s="636" t="str">
        <f t="shared" si="15"/>
        <v>成新率</v>
      </c>
      <c r="AA27" s="1336" t="e">
        <f t="shared" si="3"/>
        <v>#N/A</v>
      </c>
      <c r="AB27" s="1336" t="e">
        <f t="shared" si="4"/>
        <v>#N/A</v>
      </c>
      <c r="AC27" s="1336"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28"/>
      <c r="M28" s="3019"/>
      <c r="N28" s="3019"/>
      <c r="O28" s="3027"/>
      <c r="P28" s="3522"/>
      <c r="Q28" s="1333" t="str">
        <f t="shared" si="11"/>
        <v>物业等级</v>
      </c>
      <c r="R28" s="630" t="s">
        <v>25</v>
      </c>
      <c r="S28" s="631">
        <f t="shared" si="12"/>
        <v>100</v>
      </c>
      <c r="T28" s="630" t="s">
        <v>25</v>
      </c>
      <c r="U28" s="631">
        <f t="shared" si="13"/>
        <v>100</v>
      </c>
      <c r="V28" s="630" t="s">
        <v>25</v>
      </c>
      <c r="W28" s="631">
        <f t="shared" si="14"/>
        <v>100</v>
      </c>
      <c r="X28" s="1334"/>
      <c r="Y28" s="3522"/>
      <c r="Z28" s="1335" t="str">
        <f t="shared" si="15"/>
        <v>物业等级</v>
      </c>
      <c r="AA28" s="1336">
        <f t="shared" si="3"/>
        <v>1</v>
      </c>
      <c r="AB28" s="1336">
        <f t="shared" si="4"/>
        <v>1</v>
      </c>
      <c r="AC28" s="1336">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28"/>
      <c r="M29" s="3019"/>
      <c r="N29" s="3019"/>
      <c r="O29" s="3027"/>
      <c r="P29" s="3522"/>
      <c r="Q29" s="1333" t="str">
        <f t="shared" si="11"/>
        <v>有无电梯</v>
      </c>
      <c r="R29" s="630" t="s">
        <v>25</v>
      </c>
      <c r="S29" s="631">
        <f t="shared" si="12"/>
        <v>100</v>
      </c>
      <c r="T29" s="630" t="s">
        <v>25</v>
      </c>
      <c r="U29" s="631">
        <f t="shared" si="13"/>
        <v>100</v>
      </c>
      <c r="V29" s="630" t="s">
        <v>25</v>
      </c>
      <c r="W29" s="631">
        <f t="shared" si="14"/>
        <v>100</v>
      </c>
      <c r="X29" s="1334"/>
      <c r="Y29" s="3522"/>
      <c r="Z29" s="1335" t="str">
        <f t="shared" si="15"/>
        <v>有无电梯</v>
      </c>
      <c r="AA29" s="1336">
        <f t="shared" si="3"/>
        <v>1</v>
      </c>
      <c r="AB29" s="1336">
        <f t="shared" si="4"/>
        <v>1</v>
      </c>
      <c r="AC29" s="1336">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8"/>
      <c r="M30" s="3019"/>
      <c r="N30" s="3019"/>
      <c r="O30" s="3027"/>
      <c r="P30" s="3522"/>
      <c r="Q30" s="1333" t="str">
        <f t="shared" si="11"/>
        <v>建筑面积</v>
      </c>
      <c r="R30" s="630" t="s">
        <v>25</v>
      </c>
      <c r="S30" s="631" t="e">
        <f t="shared" si="12"/>
        <v>#N/A</v>
      </c>
      <c r="T30" s="630" t="s">
        <v>25</v>
      </c>
      <c r="U30" s="631" t="e">
        <f t="shared" si="13"/>
        <v>#N/A</v>
      </c>
      <c r="V30" s="630" t="s">
        <v>25</v>
      </c>
      <c r="W30" s="631" t="e">
        <f t="shared" si="14"/>
        <v>#N/A</v>
      </c>
      <c r="X30" s="1334"/>
      <c r="Y30" s="3522"/>
      <c r="Z30" s="1335" t="str">
        <f t="shared" si="15"/>
        <v>建筑面积</v>
      </c>
      <c r="AA30" s="1336" t="e">
        <f t="shared" si="3"/>
        <v>#N/A</v>
      </c>
      <c r="AB30" s="1336" t="e">
        <f t="shared" si="4"/>
        <v>#N/A</v>
      </c>
      <c r="AC30" s="1336"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20"/>
      <c r="M31" s="3021"/>
      <c r="N31" s="3021"/>
      <c r="O31" s="3022"/>
      <c r="P31" s="3522"/>
      <c r="Q31" s="1326" t="str">
        <f t="shared" si="11"/>
        <v>是否封闭</v>
      </c>
      <c r="R31" s="626" t="s">
        <v>25</v>
      </c>
      <c r="S31" s="627">
        <f t="shared" si="12"/>
        <v>100</v>
      </c>
      <c r="T31" s="626" t="s">
        <v>25</v>
      </c>
      <c r="U31" s="627">
        <f t="shared" si="13"/>
        <v>100</v>
      </c>
      <c r="V31" s="626" t="s">
        <v>25</v>
      </c>
      <c r="W31" s="627">
        <f t="shared" si="14"/>
        <v>100</v>
      </c>
      <c r="X31" s="628"/>
      <c r="Y31" s="3522"/>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8"/>
      <c r="M32" s="3019"/>
      <c r="N32" s="3019"/>
      <c r="O32" s="3027"/>
      <c r="P32" s="3522" t="s">
        <v>2273</v>
      </c>
      <c r="Q32" s="1333">
        <f t="shared" si="11"/>
        <v>111</v>
      </c>
      <c r="R32" s="630" t="s">
        <v>25</v>
      </c>
      <c r="S32" s="631">
        <f t="shared" si="12"/>
        <v>100</v>
      </c>
      <c r="T32" s="630" t="s">
        <v>25</v>
      </c>
      <c r="U32" s="631">
        <f t="shared" si="13"/>
        <v>100</v>
      </c>
      <c r="V32" s="630" t="s">
        <v>25</v>
      </c>
      <c r="W32" s="631">
        <f t="shared" si="14"/>
        <v>100</v>
      </c>
      <c r="X32" s="1334"/>
      <c r="Y32" s="3522" t="s">
        <v>2273</v>
      </c>
      <c r="Z32" s="1335">
        <f t="shared" si="15"/>
        <v>111</v>
      </c>
      <c r="AA32" s="1336">
        <f t="shared" si="3"/>
        <v>1</v>
      </c>
      <c r="AB32" s="1336">
        <f t="shared" si="4"/>
        <v>1</v>
      </c>
      <c r="AC32" s="1336">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8"/>
      <c r="M33" s="3019"/>
      <c r="N33" s="3019"/>
      <c r="O33" s="3027"/>
      <c r="P33" s="3522"/>
      <c r="Q33" s="1333">
        <f t="shared" si="11"/>
        <v>111</v>
      </c>
      <c r="R33" s="630" t="s">
        <v>25</v>
      </c>
      <c r="S33" s="631">
        <f t="shared" si="12"/>
        <v>100</v>
      </c>
      <c r="T33" s="630" t="s">
        <v>25</v>
      </c>
      <c r="U33" s="631">
        <f t="shared" si="13"/>
        <v>100</v>
      </c>
      <c r="V33" s="630" t="s">
        <v>25</v>
      </c>
      <c r="W33" s="631">
        <f t="shared" si="14"/>
        <v>100</v>
      </c>
      <c r="X33" s="1334"/>
      <c r="Y33" s="3522"/>
      <c r="Z33" s="1335">
        <f t="shared" si="15"/>
        <v>111</v>
      </c>
      <c r="AA33" s="1336">
        <f t="shared" si="3"/>
        <v>1</v>
      </c>
      <c r="AB33" s="1336">
        <f t="shared" si="4"/>
        <v>1</v>
      </c>
      <c r="AC33" s="1336">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8"/>
      <c r="M34" s="3019"/>
      <c r="N34" s="3019"/>
      <c r="O34" s="3027"/>
      <c r="P34" s="3522"/>
      <c r="Q34" s="1333">
        <f t="shared" si="11"/>
        <v>111</v>
      </c>
      <c r="R34" s="630" t="s">
        <v>25</v>
      </c>
      <c r="S34" s="631">
        <f t="shared" si="12"/>
        <v>100</v>
      </c>
      <c r="T34" s="630" t="s">
        <v>25</v>
      </c>
      <c r="U34" s="631">
        <f t="shared" si="13"/>
        <v>100</v>
      </c>
      <c r="V34" s="630" t="s">
        <v>25</v>
      </c>
      <c r="W34" s="631">
        <f t="shared" si="14"/>
        <v>100</v>
      </c>
      <c r="X34" s="1334"/>
      <c r="Y34" s="3522"/>
      <c r="Z34" s="1335">
        <f t="shared" si="15"/>
        <v>111</v>
      </c>
      <c r="AA34" s="1336">
        <f t="shared" si="3"/>
        <v>1</v>
      </c>
      <c r="AB34" s="1336">
        <f t="shared" si="4"/>
        <v>1</v>
      </c>
      <c r="AC34" s="1336">
        <f t="shared" si="5"/>
        <v>1</v>
      </c>
    </row>
    <row r="35" spans="1:29" ht="15">
      <c r="A35" s="367" t="s">
        <v>2285</v>
      </c>
      <c r="B35" s="368"/>
      <c r="C35" s="1152" t="s">
        <v>1</v>
      </c>
      <c r="D35" s="1153"/>
      <c r="E35" s="1154"/>
      <c r="F35" s="1155"/>
      <c r="G35" s="1156"/>
      <c r="H35" s="1157"/>
      <c r="I35" s="1154"/>
      <c r="J35" s="1157"/>
      <c r="K35" s="639"/>
      <c r="L35" s="3030"/>
      <c r="N35" s="3019"/>
      <c r="P35" s="3490" t="str">
        <f>A35</f>
        <v>成交单价（元/平方米）</v>
      </c>
      <c r="Q35" s="3490"/>
      <c r="R35" s="3524">
        <f>E35</f>
        <v>0</v>
      </c>
      <c r="S35" s="3524"/>
      <c r="T35" s="3524">
        <f>G35</f>
        <v>0</v>
      </c>
      <c r="U35" s="3524"/>
      <c r="V35" s="3524">
        <f>I35</f>
        <v>0</v>
      </c>
      <c r="W35" s="3524"/>
      <c r="X35" s="617"/>
      <c r="Y35" s="637"/>
      <c r="Z35" s="617"/>
      <c r="AA35" s="617"/>
      <c r="AB35" s="617"/>
      <c r="AC35" s="617"/>
    </row>
    <row r="36" spans="1:29" ht="15.75" thickBot="1">
      <c r="A36" s="374" t="s">
        <v>2368</v>
      </c>
      <c r="B36" s="375"/>
      <c r="C36" s="1158" t="e">
        <f>R37</f>
        <v>#DIV/0!</v>
      </c>
      <c r="D36" s="1792" t="s">
        <v>2740</v>
      </c>
      <c r="E36" s="1159" t="e">
        <f>R36</f>
        <v>#DIV/0!</v>
      </c>
      <c r="F36" s="1794"/>
      <c r="G36" s="1158" t="e">
        <f>T36</f>
        <v>#DIV/0!</v>
      </c>
      <c r="H36" s="1794"/>
      <c r="I36" s="1159" t="e">
        <f>V36</f>
        <v>#DIV/0!</v>
      </c>
      <c r="J36" s="1794"/>
      <c r="K36" s="2506">
        <f>F36+H36+J36</f>
        <v>0</v>
      </c>
      <c r="L36" s="3030"/>
      <c r="N36" s="3019"/>
      <c r="P36" s="3490" t="str">
        <f>A36</f>
        <v>比较价值（元/平方米）</v>
      </c>
      <c r="Q36" s="3490"/>
      <c r="R36" s="3524" t="e">
        <f>IF(E1="售价",ROUND(PRODUCT(R35,AA7:AA34),0),ROUND(PRODUCT(R35,AA7:AA34),1))</f>
        <v>#DIV/0!</v>
      </c>
      <c r="S36" s="3524"/>
      <c r="T36" s="3524" t="e">
        <f>IF(E1="售价",ROUND(PRODUCT(T35,AB7:AB34),0),ROUND(PRODUCT(T35,AB7:AB34),1))</f>
        <v>#DIV/0!</v>
      </c>
      <c r="U36" s="3524"/>
      <c r="V36" s="3524" t="e">
        <f>IF(E1="售价",ROUND(PRODUCT(V35,AC7:AC34),0),ROUND(PRODUCT(V35,AC7:AC34),1))</f>
        <v>#DIV/0!</v>
      </c>
      <c r="W36" s="3524"/>
      <c r="X36" s="617"/>
      <c r="Y36" s="617"/>
      <c r="Z36" s="617"/>
      <c r="AA36" s="617"/>
      <c r="AB36" s="617"/>
      <c r="AC36" s="617"/>
    </row>
    <row r="37" spans="1:29" ht="15.75" thickBot="1">
      <c r="A37" s="378" t="s">
        <v>2391</v>
      </c>
      <c r="B37" s="379"/>
      <c r="C37" s="1160" t="e">
        <f>R37</f>
        <v>#DIV/0!</v>
      </c>
      <c r="D37" s="1160"/>
      <c r="E37" s="1160"/>
      <c r="F37" s="1160"/>
      <c r="G37" s="1160"/>
      <c r="H37" s="1160"/>
      <c r="I37" s="1160"/>
      <c r="J37" s="1160"/>
      <c r="K37" s="640"/>
      <c r="L37" s="3030"/>
      <c r="P37" s="3525" t="str">
        <f>A37</f>
        <v>估价对象XX用房的比较价值（楼面单价，元/平方米）</v>
      </c>
      <c r="Q37" s="3526"/>
      <c r="R37" s="3527" t="e">
        <f>IF(E1="售价",ROUND(IF(D36="简单平均",AVERAGE(R36:W36),R36*F36+T36*H36+V36*J36),0),ROUND(IF(D36="简单平均",AVERAGE(R36:V36),R36*F36+T36*H36+V36*J36),1))</f>
        <v>#DIV/0!</v>
      </c>
      <c r="S37" s="3527"/>
      <c r="T37" s="3527"/>
      <c r="U37" s="3527"/>
      <c r="V37" s="3527"/>
      <c r="W37" s="3527"/>
      <c r="X37" s="617"/>
      <c r="Y37" s="617"/>
      <c r="Z37" s="617"/>
      <c r="AA37" s="617"/>
      <c r="AB37" s="617"/>
      <c r="AC37" s="617"/>
    </row>
    <row r="38" spans="1:29">
      <c r="G38" s="3033"/>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4"/>
      <c r="L42" s="3031"/>
    </row>
    <row r="43" spans="1:29" s="388" customFormat="1">
      <c r="B43" s="3032"/>
      <c r="C43" s="3035"/>
      <c r="K43" s="3034"/>
      <c r="L43" s="3031"/>
    </row>
    <row r="44" spans="1:29">
      <c r="B44" s="3032"/>
      <c r="C44" s="3035"/>
    </row>
    <row r="45" spans="1:29" ht="21.75" thickBot="1">
      <c r="A45" s="619" t="s">
        <v>2373</v>
      </c>
      <c r="B45" s="617"/>
      <c r="C45" s="620"/>
      <c r="D45" s="620"/>
      <c r="E45" s="620"/>
      <c r="F45" s="621"/>
      <c r="G45" s="621"/>
      <c r="H45" s="620"/>
      <c r="I45" s="620"/>
      <c r="J45" s="620"/>
      <c r="K45" s="622"/>
      <c r="L45" s="623"/>
      <c r="M45" s="620"/>
      <c r="N45" s="3036"/>
      <c r="O45" s="3036"/>
      <c r="P45" s="389"/>
      <c r="Q45" s="390"/>
    </row>
    <row r="46" spans="1:29" s="394" customFormat="1" ht="15">
      <c r="A46" s="391" t="s">
        <v>2256</v>
      </c>
      <c r="B46" s="392"/>
      <c r="C46" s="1186" t="str">
        <f>YEAR(C7)&amp;"-"&amp;MONTH(C7)</f>
        <v>2021-4</v>
      </c>
      <c r="D46" s="1187">
        <f>EDATE(C46,-1)</f>
        <v>44256</v>
      </c>
      <c r="E46" s="1187">
        <f t="shared" ref="E46:O46" si="16">EDATE(D46,-1)</f>
        <v>44228</v>
      </c>
      <c r="F46" s="1187">
        <f t="shared" si="16"/>
        <v>44197</v>
      </c>
      <c r="G46" s="1187">
        <f t="shared" si="16"/>
        <v>44166</v>
      </c>
      <c r="H46" s="1187">
        <f t="shared" si="16"/>
        <v>44136</v>
      </c>
      <c r="I46" s="1187">
        <f t="shared" si="16"/>
        <v>44105</v>
      </c>
      <c r="J46" s="1187">
        <f t="shared" si="16"/>
        <v>44075</v>
      </c>
      <c r="K46" s="1187">
        <f t="shared" si="16"/>
        <v>44044</v>
      </c>
      <c r="L46" s="1187">
        <f t="shared" si="16"/>
        <v>44013</v>
      </c>
      <c r="M46" s="1187">
        <f t="shared" si="16"/>
        <v>43983</v>
      </c>
      <c r="N46" s="1187">
        <f t="shared" si="16"/>
        <v>43952</v>
      </c>
      <c r="O46" s="1187">
        <f t="shared" si="16"/>
        <v>43922</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2271</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5" customFormat="1" ht="28.5" customHeight="1">
      <c r="A1" s="1946" t="s">
        <v>2438</v>
      </c>
      <c r="B1" s="1947"/>
      <c r="C1" s="1948" t="s">
        <v>2439</v>
      </c>
      <c r="D1" s="1947"/>
      <c r="E1" s="1947"/>
      <c r="F1" s="1949" t="s">
        <v>2241</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1914</v>
      </c>
      <c r="B2" s="1957" t="e">
        <f>F66</f>
        <v>#DIV/0!</v>
      </c>
      <c r="C2" s="1654" t="s">
        <v>2440</v>
      </c>
      <c r="D2" s="3005"/>
      <c r="E2" s="3005"/>
      <c r="F2" s="3004"/>
      <c r="G2" s="3005"/>
      <c r="H2" s="3005"/>
      <c r="I2" s="3005"/>
      <c r="J2" s="3005"/>
      <c r="K2" s="3006"/>
      <c r="L2" s="3007"/>
      <c r="M2" s="3005"/>
      <c r="N2" s="3005"/>
      <c r="O2" s="3005"/>
      <c r="P2" s="1952"/>
      <c r="Q2" s="1952"/>
      <c r="R2" s="1952"/>
      <c r="S2" s="1952"/>
      <c r="T2" s="1952"/>
      <c r="U2" s="1952"/>
      <c r="V2" s="1952"/>
      <c r="W2" s="1952"/>
      <c r="X2" s="1952"/>
      <c r="Y2" s="1952"/>
      <c r="Z2" s="1952"/>
      <c r="AA2" s="1952"/>
      <c r="AB2" s="1952"/>
      <c r="AC2" s="1953"/>
      <c r="AD2" s="1954"/>
    </row>
    <row r="3" spans="1:30" s="1955" customFormat="1" ht="28.5" customHeight="1" thickBot="1">
      <c r="A3" s="1656" t="s">
        <v>1915</v>
      </c>
      <c r="B3" s="1958" t="e">
        <f>ROUND(B2/'数据-取费表'!B5,0)</f>
        <v>#DIV/0!</v>
      </c>
      <c r="C3" s="1654" t="s">
        <v>2441</v>
      </c>
      <c r="D3" s="3005"/>
      <c r="E3" s="3005"/>
      <c r="F3" s="3004"/>
      <c r="G3" s="3005"/>
      <c r="H3" s="3005"/>
      <c r="I3" s="3005"/>
      <c r="J3" s="3005"/>
      <c r="K3" s="3006"/>
      <c r="L3" s="3007"/>
      <c r="M3" s="3005"/>
      <c r="N3" s="3005"/>
      <c r="O3" s="3005"/>
      <c r="P3" s="1952"/>
      <c r="Q3" s="1952"/>
      <c r="R3" s="1952"/>
      <c r="S3" s="1952"/>
      <c r="T3" s="1952"/>
      <c r="U3" s="1952"/>
      <c r="V3" s="1952"/>
      <c r="W3" s="1952"/>
      <c r="X3" s="1952"/>
      <c r="Y3" s="1952"/>
      <c r="Z3" s="1952"/>
      <c r="AA3" s="1952"/>
      <c r="AB3" s="1959"/>
      <c r="AC3" s="1960"/>
    </row>
    <row r="4" spans="1:30" ht="15">
      <c r="A4" s="1660" t="s">
        <v>2243</v>
      </c>
      <c r="B4" s="1661"/>
      <c r="C4" s="3410" t="s">
        <v>2244</v>
      </c>
      <c r="D4" s="3411"/>
      <c r="E4" s="3412" t="s">
        <v>2245</v>
      </c>
      <c r="F4" s="3413"/>
      <c r="G4" s="3410" t="s">
        <v>2246</v>
      </c>
      <c r="H4" s="3411"/>
      <c r="I4" s="3410" t="s">
        <v>2247</v>
      </c>
      <c r="J4" s="3411"/>
      <c r="K4" s="1961" t="s">
        <v>2248</v>
      </c>
      <c r="L4" s="2990"/>
      <c r="M4" s="2991"/>
      <c r="N4" s="2991"/>
      <c r="O4" s="2991"/>
      <c r="P4" s="3414" t="s">
        <v>2249</v>
      </c>
      <c r="Q4" s="3415"/>
      <c r="R4" s="3420" t="s">
        <v>2245</v>
      </c>
      <c r="S4" s="3421"/>
      <c r="T4" s="3420" t="s">
        <v>2246</v>
      </c>
      <c r="U4" s="3421"/>
      <c r="V4" s="3426" t="s">
        <v>2247</v>
      </c>
      <c r="W4" s="3426"/>
      <c r="X4" s="1663"/>
      <c r="Y4" s="3420" t="s">
        <v>2249</v>
      </c>
      <c r="Z4" s="3421"/>
      <c r="AA4" s="3407" t="s">
        <v>2245</v>
      </c>
      <c r="AB4" s="3408" t="s">
        <v>2246</v>
      </c>
      <c r="AC4" s="3407" t="s">
        <v>2247</v>
      </c>
    </row>
    <row r="5" spans="1:30" ht="15">
      <c r="A5" s="1665"/>
      <c r="B5" s="1666"/>
      <c r="C5" s="3433" t="s">
        <v>2250</v>
      </c>
      <c r="D5" s="3430"/>
      <c r="E5" s="3427" t="s">
        <v>2251</v>
      </c>
      <c r="F5" s="3428"/>
      <c r="G5" s="3433" t="s">
        <v>2252</v>
      </c>
      <c r="H5" s="3430"/>
      <c r="I5" s="3433" t="s">
        <v>2253</v>
      </c>
      <c r="J5" s="3430"/>
      <c r="K5" s="1961"/>
      <c r="L5" s="2990"/>
      <c r="M5" s="2991"/>
      <c r="N5" s="2991"/>
      <c r="O5" s="2991"/>
      <c r="P5" s="3416"/>
      <c r="Q5" s="3417"/>
      <c r="R5" s="3422"/>
      <c r="S5" s="3423"/>
      <c r="T5" s="3422"/>
      <c r="U5" s="3423"/>
      <c r="V5" s="3426"/>
      <c r="W5" s="3426"/>
      <c r="X5" s="1663"/>
      <c r="Y5" s="3422"/>
      <c r="Z5" s="3423"/>
      <c r="AA5" s="3408"/>
      <c r="AB5" s="3408"/>
      <c r="AC5" s="3408"/>
    </row>
    <row r="6" spans="1:30" ht="15.75" thickBot="1">
      <c r="A6" s="1668"/>
      <c r="B6" s="1669"/>
      <c r="C6" s="3431" t="s">
        <v>2254</v>
      </c>
      <c r="D6" s="3432"/>
      <c r="E6" s="3434" t="s">
        <v>2254</v>
      </c>
      <c r="F6" s="3435"/>
      <c r="G6" s="3431" t="s">
        <v>2254</v>
      </c>
      <c r="H6" s="3432"/>
      <c r="I6" s="3431" t="s">
        <v>2254</v>
      </c>
      <c r="J6" s="3432"/>
      <c r="K6" s="1961" t="s">
        <v>2255</v>
      </c>
      <c r="L6" s="2990"/>
      <c r="M6" s="2991"/>
      <c r="N6" s="2991"/>
      <c r="O6" s="2991"/>
      <c r="P6" s="3418"/>
      <c r="Q6" s="3419"/>
      <c r="R6" s="3422"/>
      <c r="S6" s="3423"/>
      <c r="T6" s="3424"/>
      <c r="U6" s="3425"/>
      <c r="V6" s="3426"/>
      <c r="W6" s="3426"/>
      <c r="X6" s="1663"/>
      <c r="Y6" s="3424"/>
      <c r="Z6" s="3425"/>
      <c r="AA6" s="3409"/>
      <c r="AB6" s="3409"/>
      <c r="AC6" s="3409"/>
    </row>
    <row r="7" spans="1:30" s="1682" customFormat="1" ht="15.75" thickBot="1">
      <c r="A7" s="1670" t="s">
        <v>2256</v>
      </c>
      <c r="B7" s="1671"/>
      <c r="C7" s="1672">
        <f>'数据-取费表'!B2</f>
        <v>44296</v>
      </c>
      <c r="D7" s="1673">
        <v>100</v>
      </c>
      <c r="E7" s="1674"/>
      <c r="F7" s="1675">
        <f>SUMIF(70:70,YEAR(E7)&amp;"-"&amp;INT((MONTH(E7)+2)/3),71:71)</f>
        <v>0</v>
      </c>
      <c r="G7" s="1962"/>
      <c r="H7" s="1673">
        <f>SUMIF(70:70,YEAR(G7)&amp;"-"&amp;INT((MONTH(G7)+2)/3),71:71)</f>
        <v>0</v>
      </c>
      <c r="I7" s="1962"/>
      <c r="J7" s="1673">
        <f>SUMIF(70:70,YEAR(I7)&amp;"-"&amp;INT((MONTH(I7)+2)/3),71:71)</f>
        <v>0</v>
      </c>
      <c r="K7" s="1963"/>
      <c r="L7" s="2990"/>
      <c r="M7" s="2963"/>
      <c r="N7" s="2963"/>
      <c r="O7" s="2963"/>
      <c r="P7" s="3443" t="s">
        <v>2257</v>
      </c>
      <c r="Q7" s="3445"/>
      <c r="R7" s="1678" t="s">
        <v>25</v>
      </c>
      <c r="S7" s="1679">
        <f t="shared" ref="S7:S15" si="0">F7</f>
        <v>0</v>
      </c>
      <c r="T7" s="1678" t="s">
        <v>25</v>
      </c>
      <c r="U7" s="1679">
        <f t="shared" ref="U7:U15" si="1">H7</f>
        <v>0</v>
      </c>
      <c r="V7" s="1678" t="s">
        <v>25</v>
      </c>
      <c r="W7" s="1679">
        <f t="shared" ref="W7:W15" si="2">J7</f>
        <v>0</v>
      </c>
      <c r="X7" s="1680"/>
      <c r="Y7" s="3443" t="s">
        <v>2257</v>
      </c>
      <c r="Z7" s="3444"/>
      <c r="AA7" s="1681" t="e">
        <f>D7/F7</f>
        <v>#DIV/0!</v>
      </c>
      <c r="AB7" s="1681" t="e">
        <f>D7/H7</f>
        <v>#DIV/0!</v>
      </c>
      <c r="AC7" s="1681" t="e">
        <f>D7/J7</f>
        <v>#DIV/0!</v>
      </c>
    </row>
    <row r="8" spans="1:30" s="1682" customFormat="1" ht="15.75" thickBot="1">
      <c r="A8" s="1670" t="s">
        <v>2258</v>
      </c>
      <c r="B8" s="1671"/>
      <c r="C8" s="1683" t="s">
        <v>2442</v>
      </c>
      <c r="D8" s="1673">
        <v>100</v>
      </c>
      <c r="E8" s="1683"/>
      <c r="F8" s="1675">
        <f>SUMIF(73:73,E8,74:74)-SUMIF(73:73,C8,74:74)+100</f>
        <v>0</v>
      </c>
      <c r="G8" s="1683"/>
      <c r="H8" s="1673">
        <f>SUMIF(73:73,G8,74:74)-SUMIF(73:73,C8,74:74)+100</f>
        <v>0</v>
      </c>
      <c r="I8" s="1683"/>
      <c r="J8" s="1673">
        <f>SUMIF(73:73,I8,74:74)-SUMIF(73:73,C8,74:74)+100</f>
        <v>0</v>
      </c>
      <c r="K8" s="1963"/>
      <c r="L8" s="2990"/>
      <c r="M8" s="2963"/>
      <c r="N8" s="2963"/>
      <c r="O8" s="2963"/>
      <c r="P8" s="3443" t="s">
        <v>2260</v>
      </c>
      <c r="Q8" s="3444"/>
      <c r="R8" s="1678" t="s">
        <v>25</v>
      </c>
      <c r="S8" s="1679">
        <f t="shared" si="0"/>
        <v>0</v>
      </c>
      <c r="T8" s="1678" t="s">
        <v>25</v>
      </c>
      <c r="U8" s="1679">
        <f t="shared" si="1"/>
        <v>0</v>
      </c>
      <c r="V8" s="1678" t="s">
        <v>25</v>
      </c>
      <c r="W8" s="1679">
        <f t="shared" si="2"/>
        <v>0</v>
      </c>
      <c r="X8" s="1680"/>
      <c r="Y8" s="3443" t="s">
        <v>2260</v>
      </c>
      <c r="Z8" s="3444"/>
      <c r="AA8" s="1681" t="e">
        <f t="shared" ref="AA8:AA45" si="3">D8/F8</f>
        <v>#DIV/0!</v>
      </c>
      <c r="AB8" s="1681" t="e">
        <f t="shared" ref="AB8:AB45" si="4">D8/H8</f>
        <v>#DIV/0!</v>
      </c>
      <c r="AC8" s="1681" t="e">
        <f t="shared" ref="AC8:AC45" si="5">D8/J8</f>
        <v>#DIV/0!</v>
      </c>
    </row>
    <row r="9" spans="1:30" s="1682" customFormat="1">
      <c r="A9" s="1633" t="s">
        <v>2261</v>
      </c>
      <c r="B9" s="1684" t="s">
        <v>2262</v>
      </c>
      <c r="C9" s="1964"/>
      <c r="D9" s="1686">
        <v>100</v>
      </c>
      <c r="E9" s="1964"/>
      <c r="F9" s="1686">
        <f>SUMIF(75:75,E9,76:76)-SUMIF(75:75,C9,76:76)+100</f>
        <v>100</v>
      </c>
      <c r="G9" s="1964"/>
      <c r="H9" s="1686">
        <f>SUMIF(75:75,G9,76:76)-SUMIF(75:75,C9,76:76)+100</f>
        <v>100</v>
      </c>
      <c r="I9" s="1964"/>
      <c r="J9" s="1686">
        <f>SUMIF(75:75,I9,76:76)-SUMIF(75:75,C9,76:76)+100</f>
        <v>100</v>
      </c>
      <c r="K9" s="1963"/>
      <c r="L9" s="2990"/>
      <c r="M9" s="2963"/>
      <c r="N9" s="2963"/>
      <c r="O9" s="3037"/>
      <c r="P9" s="3447" t="s">
        <v>2263</v>
      </c>
      <c r="Q9" s="1632" t="str">
        <f t="shared" ref="Q9:Q15" si="6">B9</f>
        <v>用途</v>
      </c>
      <c r="R9" s="1678" t="s">
        <v>25</v>
      </c>
      <c r="S9" s="1679">
        <f t="shared" si="0"/>
        <v>100</v>
      </c>
      <c r="T9" s="1678" t="s">
        <v>25</v>
      </c>
      <c r="U9" s="1679">
        <f t="shared" si="1"/>
        <v>100</v>
      </c>
      <c r="V9" s="1678" t="s">
        <v>25</v>
      </c>
      <c r="W9" s="1679">
        <f t="shared" si="2"/>
        <v>100</v>
      </c>
      <c r="X9" s="1680"/>
      <c r="Y9" s="3337" t="s">
        <v>2264</v>
      </c>
      <c r="Z9" s="1690" t="str">
        <f t="shared" ref="Z9:Z15" si="7">Q9</f>
        <v>用途</v>
      </c>
      <c r="AA9" s="1681">
        <f t="shared" si="3"/>
        <v>1</v>
      </c>
      <c r="AB9" s="1681">
        <f t="shared" si="4"/>
        <v>1</v>
      </c>
      <c r="AC9" s="1681">
        <f t="shared" si="5"/>
        <v>1</v>
      </c>
    </row>
    <row r="10" spans="1:30" s="1698" customFormat="1" ht="27">
      <c r="A10" s="1691"/>
      <c r="B10" s="1692" t="s">
        <v>2265</v>
      </c>
      <c r="C10" s="1704"/>
      <c r="D10" s="1694">
        <v>100</v>
      </c>
      <c r="E10" s="1756"/>
      <c r="F10" s="1694">
        <f>ROUND(100/'数据-取费表'!B14,0)</f>
        <v>108</v>
      </c>
      <c r="G10" s="1754"/>
      <c r="H10" s="1694">
        <f>ROUND(100/'数据-取费表'!B14,0)</f>
        <v>108</v>
      </c>
      <c r="I10" s="1754"/>
      <c r="J10" s="1694">
        <f>ROUND(100/'数据-取费表'!B14,0)</f>
        <v>108</v>
      </c>
      <c r="K10" s="1965"/>
      <c r="L10" s="2992"/>
      <c r="M10" s="2993"/>
      <c r="N10" s="2993"/>
      <c r="O10" s="3038"/>
      <c r="P10" s="3447"/>
      <c r="Q10" s="1632" t="str">
        <f t="shared" si="6"/>
        <v>土地使用年限（年）</v>
      </c>
      <c r="R10" s="1678" t="s">
        <v>25</v>
      </c>
      <c r="S10" s="1679">
        <f t="shared" si="0"/>
        <v>108</v>
      </c>
      <c r="T10" s="1678" t="s">
        <v>25</v>
      </c>
      <c r="U10" s="1679">
        <f t="shared" si="1"/>
        <v>108</v>
      </c>
      <c r="V10" s="1678" t="s">
        <v>25</v>
      </c>
      <c r="W10" s="1679">
        <f t="shared" si="2"/>
        <v>108</v>
      </c>
      <c r="X10" s="1680"/>
      <c r="Y10" s="3337"/>
      <c r="Z10" s="1690" t="str">
        <f t="shared" si="7"/>
        <v>土地使用年限（年）</v>
      </c>
      <c r="AA10" s="1681">
        <f t="shared" si="3"/>
        <v>0.92592592592592593</v>
      </c>
      <c r="AB10" s="1681">
        <f t="shared" si="4"/>
        <v>0.92592592592592593</v>
      </c>
      <c r="AC10" s="1681">
        <f t="shared" si="5"/>
        <v>0.92592592592592593</v>
      </c>
    </row>
    <row r="11" spans="1:30" ht="15">
      <c r="A11" s="1699"/>
      <c r="B11" s="1692" t="s">
        <v>2266</v>
      </c>
      <c r="C11" s="1700"/>
      <c r="D11" s="1694">
        <v>100</v>
      </c>
      <c r="E11" s="1700"/>
      <c r="F11" s="1694" t="e">
        <f>LOOKUP(E11,80:80,81:81)-LOOKUP(C11,80:80,81:81)+100</f>
        <v>#N/A</v>
      </c>
      <c r="G11" s="1701"/>
      <c r="H11" s="1694" t="e">
        <f>LOOKUP(G11,80:80,81:81)-LOOKUP(C11,80:80,81:81)+100</f>
        <v>#N/A</v>
      </c>
      <c r="I11" s="1700"/>
      <c r="J11" s="1694" t="e">
        <f>LOOKUP(I11,80:80,81:81)-LOOKUP(C11,80:80,81:81)+100</f>
        <v>#N/A</v>
      </c>
      <c r="K11" s="1966"/>
      <c r="L11" s="2994"/>
      <c r="M11" s="2991"/>
      <c r="N11" s="2991"/>
      <c r="O11" s="3039"/>
      <c r="P11" s="3447"/>
      <c r="Q11" s="1632" t="str">
        <f t="shared" si="6"/>
        <v>容积率</v>
      </c>
      <c r="R11" s="1678" t="s">
        <v>25</v>
      </c>
      <c r="S11" s="1679" t="e">
        <f t="shared" si="0"/>
        <v>#N/A</v>
      </c>
      <c r="T11" s="1678" t="s">
        <v>25</v>
      </c>
      <c r="U11" s="1679" t="e">
        <f t="shared" si="1"/>
        <v>#N/A</v>
      </c>
      <c r="V11" s="1678" t="s">
        <v>25</v>
      </c>
      <c r="W11" s="1679" t="e">
        <f t="shared" si="2"/>
        <v>#N/A</v>
      </c>
      <c r="X11" s="1680"/>
      <c r="Y11" s="3337"/>
      <c r="Z11" s="1690" t="str">
        <f t="shared" si="7"/>
        <v>容积率</v>
      </c>
      <c r="AA11" s="1681" t="e">
        <f t="shared" si="3"/>
        <v>#N/A</v>
      </c>
      <c r="AB11" s="1681" t="e">
        <f t="shared" si="4"/>
        <v>#N/A</v>
      </c>
      <c r="AC11" s="1681" t="e">
        <f t="shared" si="5"/>
        <v>#N/A</v>
      </c>
    </row>
    <row r="12" spans="1:30" s="1682" customFormat="1" ht="15">
      <c r="A12" s="1702"/>
      <c r="B12" s="1703" t="s">
        <v>2443</v>
      </c>
      <c r="C12" s="1704"/>
      <c r="D12" s="1705">
        <v>100</v>
      </c>
      <c r="E12" s="1756"/>
      <c r="F12" s="1694">
        <f>SUMIF(82:82,E12,83:83)-SUMIF(82:82,C12,83:83)+100</f>
        <v>100</v>
      </c>
      <c r="G12" s="1754"/>
      <c r="H12" s="1694">
        <f>SUMIF(82:82,G12,83:83)-SUMIF(82:82,C12,83:83)+100</f>
        <v>100</v>
      </c>
      <c r="I12" s="1756"/>
      <c r="J12" s="1694">
        <f>SUMIF(82:82,I12,83:83)-SUMIF(82:82,C12,83:83)+100</f>
        <v>100</v>
      </c>
      <c r="K12" s="1965"/>
      <c r="L12" s="2990"/>
      <c r="M12" s="2963"/>
      <c r="N12" s="2963"/>
      <c r="O12" s="3037"/>
      <c r="P12" s="3447"/>
      <c r="Q12" s="1632" t="str">
        <f t="shared" si="6"/>
        <v>配建</v>
      </c>
      <c r="R12" s="1678" t="s">
        <v>25</v>
      </c>
      <c r="S12" s="1679">
        <f t="shared" si="0"/>
        <v>100</v>
      </c>
      <c r="T12" s="1678" t="s">
        <v>25</v>
      </c>
      <c r="U12" s="1679">
        <f t="shared" si="1"/>
        <v>100</v>
      </c>
      <c r="V12" s="1678" t="s">
        <v>25</v>
      </c>
      <c r="W12" s="1679">
        <f t="shared" si="2"/>
        <v>100</v>
      </c>
      <c r="X12" s="1680"/>
      <c r="Y12" s="3337"/>
      <c r="Z12" s="1690" t="str">
        <f t="shared" si="7"/>
        <v>配建</v>
      </c>
      <c r="AA12" s="1681">
        <f>D12/F12</f>
        <v>1</v>
      </c>
      <c r="AB12" s="1681">
        <f>D12/H12</f>
        <v>1</v>
      </c>
      <c r="AC12" s="1681">
        <f>D12/J12</f>
        <v>1</v>
      </c>
    </row>
    <row r="13" spans="1:30" ht="15">
      <c r="A13" s="1699"/>
      <c r="B13" s="1703">
        <v>111</v>
      </c>
      <c r="C13" s="1707"/>
      <c r="D13" s="1708">
        <v>100</v>
      </c>
      <c r="E13" s="1863"/>
      <c r="F13" s="1694">
        <f>SUMIF(84:84,E13,85:85)-SUMIF(84:84,C13,85:85)+100</f>
        <v>100</v>
      </c>
      <c r="G13" s="1967"/>
      <c r="H13" s="1708">
        <f>SUMIF(84:84,G13,85:85)-SUMIF(84:84,C13,85:85)+100</f>
        <v>100</v>
      </c>
      <c r="I13" s="1967"/>
      <c r="J13" s="1708">
        <f>SUMIF(84:84,I13,85:85)-SUMIF(84:84,C13,85:85)+100</f>
        <v>100</v>
      </c>
      <c r="K13" s="1965"/>
      <c r="L13" s="2995"/>
      <c r="M13" s="2991"/>
      <c r="N13" s="2991"/>
      <c r="O13" s="3039"/>
      <c r="P13" s="3447"/>
      <c r="Q13" s="1632">
        <f t="shared" si="6"/>
        <v>111</v>
      </c>
      <c r="R13" s="1678" t="s">
        <v>25</v>
      </c>
      <c r="S13" s="1679">
        <f t="shared" si="0"/>
        <v>100</v>
      </c>
      <c r="T13" s="1678" t="s">
        <v>25</v>
      </c>
      <c r="U13" s="1679">
        <f t="shared" si="1"/>
        <v>100</v>
      </c>
      <c r="V13" s="1678" t="s">
        <v>25</v>
      </c>
      <c r="W13" s="1679">
        <f t="shared" si="2"/>
        <v>100</v>
      </c>
      <c r="X13" s="1680"/>
      <c r="Y13" s="3337"/>
      <c r="Z13" s="1690">
        <f t="shared" si="7"/>
        <v>111</v>
      </c>
      <c r="AA13" s="1681">
        <f>D13/F13</f>
        <v>1</v>
      </c>
      <c r="AB13" s="1681">
        <f>D13/H13</f>
        <v>1</v>
      </c>
      <c r="AC13" s="1681">
        <f>D13/J13</f>
        <v>1</v>
      </c>
    </row>
    <row r="14" spans="1:30" ht="15.75" thickBot="1">
      <c r="A14" s="1709"/>
      <c r="B14" s="1710">
        <v>111</v>
      </c>
      <c r="C14" s="1711"/>
      <c r="D14" s="1712">
        <v>100</v>
      </c>
      <c r="E14" s="1863"/>
      <c r="F14" s="1712">
        <f>SUMIF(86:86,E14,87:87)-SUMIF(86:86,C14,87:87)+100</f>
        <v>100</v>
      </c>
      <c r="G14" s="1967"/>
      <c r="H14" s="1712">
        <f>SUMIF(86:86,G14,87:87)-SUMIF(86:86,C14,87:87)+100</f>
        <v>100</v>
      </c>
      <c r="I14" s="1967"/>
      <c r="J14" s="1712">
        <f>SUMIF(86:86,I14,87:87)-SUMIF(86:86,C14,87:87)+100</f>
        <v>100</v>
      </c>
      <c r="K14" s="1965"/>
      <c r="L14" s="2995"/>
      <c r="M14" s="2991"/>
      <c r="N14" s="2991"/>
      <c r="O14" s="3039"/>
      <c r="P14" s="3447"/>
      <c r="Q14" s="1632">
        <f t="shared" si="6"/>
        <v>111</v>
      </c>
      <c r="R14" s="1678" t="s">
        <v>25</v>
      </c>
      <c r="S14" s="1679">
        <f t="shared" si="0"/>
        <v>100</v>
      </c>
      <c r="T14" s="1678" t="s">
        <v>25</v>
      </c>
      <c r="U14" s="1679">
        <f t="shared" si="1"/>
        <v>100</v>
      </c>
      <c r="V14" s="1678" t="s">
        <v>25</v>
      </c>
      <c r="W14" s="1679">
        <f t="shared" si="2"/>
        <v>100</v>
      </c>
      <c r="X14" s="1680"/>
      <c r="Y14" s="3337"/>
      <c r="Z14" s="1690">
        <f t="shared" si="7"/>
        <v>111</v>
      </c>
      <c r="AA14" s="1681">
        <f>D14/F14</f>
        <v>1</v>
      </c>
      <c r="AB14" s="1681">
        <f>D14/H14</f>
        <v>1</v>
      </c>
      <c r="AC14" s="1681">
        <f>D14/J14</f>
        <v>1</v>
      </c>
    </row>
    <row r="15" spans="1:30" ht="15">
      <c r="A15" s="1660" t="s">
        <v>2267</v>
      </c>
      <c r="B15" s="1968" t="s">
        <v>1704</v>
      </c>
      <c r="C15" s="1969" t="str">
        <f>估价对象房地状况!C15</f>
        <v>较好</v>
      </c>
      <c r="D15" s="1717">
        <v>100</v>
      </c>
      <c r="E15" s="1718"/>
      <c r="F15" s="1717">
        <f>SUMIF(88:88,E16,89:89)-SUMIF(88:88,C16,89:89)+100</f>
        <v>100</v>
      </c>
      <c r="G15" s="1718"/>
      <c r="H15" s="1717">
        <f>SUMIF(88:88,G16,89:89)-SUMIF(88:88,C16,89:89)+100</f>
        <v>100</v>
      </c>
      <c r="I15" s="1720"/>
      <c r="J15" s="1717">
        <f>SUMIF(88:88,I16,89:89)-SUMIF(88:88,C16,89:89)+100</f>
        <v>100</v>
      </c>
      <c r="K15" s="1966"/>
      <c r="L15" s="2995"/>
      <c r="M15" s="2991"/>
      <c r="N15" s="2991"/>
      <c r="O15" s="3039"/>
      <c r="P15" s="3436" t="s">
        <v>2268</v>
      </c>
      <c r="Q15" s="1613" t="str">
        <f t="shared" si="6"/>
        <v>居住社区成熟度</v>
      </c>
      <c r="R15" s="1722" t="s">
        <v>25</v>
      </c>
      <c r="S15" s="1723">
        <f t="shared" si="0"/>
        <v>100</v>
      </c>
      <c r="T15" s="1722" t="s">
        <v>25</v>
      </c>
      <c r="U15" s="1723">
        <f t="shared" si="1"/>
        <v>100</v>
      </c>
      <c r="V15" s="1722" t="s">
        <v>25</v>
      </c>
      <c r="W15" s="1723">
        <f t="shared" si="2"/>
        <v>100</v>
      </c>
      <c r="X15" s="1663"/>
      <c r="Y15" s="3436" t="s">
        <v>2268</v>
      </c>
      <c r="Z15" s="1724" t="str">
        <f t="shared" si="7"/>
        <v>居住社区成熟度</v>
      </c>
      <c r="AA15" s="1725">
        <f t="shared" si="3"/>
        <v>1</v>
      </c>
      <c r="AB15" s="1725">
        <f t="shared" si="4"/>
        <v>1</v>
      </c>
      <c r="AC15" s="1725">
        <f t="shared" si="5"/>
        <v>1</v>
      </c>
    </row>
    <row r="16" spans="1:30" ht="15">
      <c r="A16" s="1665"/>
      <c r="B16" s="1970"/>
      <c r="C16" s="1971"/>
      <c r="D16" s="1728"/>
      <c r="E16" s="1729"/>
      <c r="F16" s="1728"/>
      <c r="G16" s="1729"/>
      <c r="H16" s="1732"/>
      <c r="I16" s="1731"/>
      <c r="J16" s="1728"/>
      <c r="K16" s="1965"/>
      <c r="L16" s="2995"/>
      <c r="M16" s="2991"/>
      <c r="N16" s="2991"/>
      <c r="O16" s="3039"/>
      <c r="P16" s="3437"/>
      <c r="Q16" s="1613"/>
      <c r="R16" s="1722"/>
      <c r="S16" s="1723"/>
      <c r="T16" s="1722"/>
      <c r="U16" s="1723"/>
      <c r="V16" s="1722"/>
      <c r="W16" s="1723"/>
      <c r="X16" s="1663"/>
      <c r="Y16" s="3437"/>
      <c r="Z16" s="1724"/>
      <c r="AA16" s="1725">
        <v>1</v>
      </c>
      <c r="AB16" s="1725">
        <v>1</v>
      </c>
      <c r="AC16" s="1725">
        <v>1</v>
      </c>
    </row>
    <row r="17" spans="1:29" ht="71.25">
      <c r="A17" s="1665"/>
      <c r="B17" s="1972" t="s">
        <v>2352</v>
      </c>
      <c r="C17" s="1973" t="str">
        <f>估价对象房地状况!C16</f>
        <v>估价对象位于XX商圈，周边商业氛围成熟，人流量大，商业繁华度好</v>
      </c>
      <c r="D17" s="1732">
        <v>100</v>
      </c>
      <c r="E17" s="1736"/>
      <c r="F17" s="1732">
        <f>SUMIF(90:90,E18,91:91)-SUMIF(90:90,C18,91:91)+100</f>
        <v>100</v>
      </c>
      <c r="G17" s="1736"/>
      <c r="H17" s="1739">
        <f>SUMIF(90:90,G18,91:91)-SUMIF(90:90,C18,91:91)+100</f>
        <v>100</v>
      </c>
      <c r="I17" s="1738"/>
      <c r="J17" s="1739">
        <f>SUMIF(90:90,I18,91:91)-SUMIF(90:90,C18,91:91)+100</f>
        <v>100</v>
      </c>
      <c r="K17" s="1966"/>
      <c r="L17" s="2995"/>
      <c r="M17" s="2991"/>
      <c r="N17" s="2991"/>
      <c r="O17" s="3039"/>
      <c r="P17" s="3437"/>
      <c r="Q17" s="1613" t="str">
        <f>B17</f>
        <v>商业繁华度</v>
      </c>
      <c r="R17" s="1722" t="s">
        <v>25</v>
      </c>
      <c r="S17" s="1723">
        <f>F17</f>
        <v>100</v>
      </c>
      <c r="T17" s="1722" t="s">
        <v>25</v>
      </c>
      <c r="U17" s="1723">
        <f>H17</f>
        <v>100</v>
      </c>
      <c r="V17" s="1722" t="s">
        <v>25</v>
      </c>
      <c r="W17" s="1723">
        <f>J17</f>
        <v>100</v>
      </c>
      <c r="X17" s="1663"/>
      <c r="Y17" s="3437"/>
      <c r="Z17" s="1724" t="str">
        <f>Q17</f>
        <v>商业繁华度</v>
      </c>
      <c r="AA17" s="1725">
        <f t="shared" si="3"/>
        <v>1</v>
      </c>
      <c r="AB17" s="1725">
        <f t="shared" si="4"/>
        <v>1</v>
      </c>
      <c r="AC17" s="1725">
        <f t="shared" si="5"/>
        <v>1</v>
      </c>
    </row>
    <row r="18" spans="1:29" ht="15">
      <c r="A18" s="1665"/>
      <c r="B18" s="1974"/>
      <c r="C18" s="1975"/>
      <c r="D18" s="1732"/>
      <c r="E18" s="1742"/>
      <c r="F18" s="1732"/>
      <c r="G18" s="1742"/>
      <c r="H18" s="1728"/>
      <c r="I18" s="1743"/>
      <c r="J18" s="1728"/>
      <c r="K18" s="1965"/>
      <c r="L18" s="2995"/>
      <c r="M18" s="2991"/>
      <c r="N18" s="2991"/>
      <c r="O18" s="3039"/>
      <c r="P18" s="3437"/>
      <c r="Q18" s="1613"/>
      <c r="R18" s="1722"/>
      <c r="S18" s="1723"/>
      <c r="T18" s="1722"/>
      <c r="U18" s="1723"/>
      <c r="V18" s="1722"/>
      <c r="W18" s="1723"/>
      <c r="X18" s="1663"/>
      <c r="Y18" s="3437"/>
      <c r="Z18" s="1724"/>
      <c r="AA18" s="1725">
        <v>1</v>
      </c>
      <c r="AB18" s="1725">
        <v>1</v>
      </c>
      <c r="AC18" s="1725">
        <v>1</v>
      </c>
    </row>
    <row r="19" spans="1:29" ht="71.25">
      <c r="A19" s="1665"/>
      <c r="B19" s="1972" t="s">
        <v>2381</v>
      </c>
      <c r="C19" s="1973" t="str">
        <f>估价对象房地状况!C17</f>
        <v>估价对象位于XX商圈，周边办公楼项目较多，入驻率高，办公集聚程度较好</v>
      </c>
      <c r="D19" s="1739">
        <v>100</v>
      </c>
      <c r="E19" s="1744"/>
      <c r="F19" s="1739">
        <f>SUMIF(92:92,E20,93:93)-SUMIF(92:92,C20,93:93)+100</f>
        <v>100</v>
      </c>
      <c r="G19" s="1744"/>
      <c r="H19" s="1732">
        <f>SUMIF(92:92,G20,93:93)-SUMIF(92:92,C20,93:93)+100</f>
        <v>100</v>
      </c>
      <c r="I19" s="1746"/>
      <c r="J19" s="1732">
        <f>SUMIF(92:92,I20,93:93)-SUMIF(92:92,C20,93:93)+100</f>
        <v>100</v>
      </c>
      <c r="K19" s="1966"/>
      <c r="L19" s="2995"/>
      <c r="M19" s="2991"/>
      <c r="N19" s="2991"/>
      <c r="O19" s="3039"/>
      <c r="P19" s="3437"/>
      <c r="Q19" s="1613" t="str">
        <f>B19</f>
        <v>办公集聚程度</v>
      </c>
      <c r="R19" s="1722" t="s">
        <v>25</v>
      </c>
      <c r="S19" s="1723">
        <f>F19</f>
        <v>100</v>
      </c>
      <c r="T19" s="1722" t="s">
        <v>25</v>
      </c>
      <c r="U19" s="1723">
        <f>H19</f>
        <v>100</v>
      </c>
      <c r="V19" s="1722" t="s">
        <v>25</v>
      </c>
      <c r="W19" s="1723">
        <f>J19</f>
        <v>100</v>
      </c>
      <c r="X19" s="1663"/>
      <c r="Y19" s="3437"/>
      <c r="Z19" s="1724" t="str">
        <f>Q19</f>
        <v>办公集聚程度</v>
      </c>
      <c r="AA19" s="1725">
        <f t="shared" si="3"/>
        <v>1</v>
      </c>
      <c r="AB19" s="1725">
        <f t="shared" si="4"/>
        <v>1</v>
      </c>
      <c r="AC19" s="1725">
        <f t="shared" si="5"/>
        <v>1</v>
      </c>
    </row>
    <row r="20" spans="1:29" ht="15">
      <c r="A20" s="1665"/>
      <c r="B20" s="1974"/>
      <c r="C20" s="1971"/>
      <c r="D20" s="1728"/>
      <c r="E20" s="1729"/>
      <c r="F20" s="1728"/>
      <c r="G20" s="1729"/>
      <c r="H20" s="1728"/>
      <c r="I20" s="1731"/>
      <c r="J20" s="1728"/>
      <c r="K20" s="1965"/>
      <c r="L20" s="2995"/>
      <c r="M20" s="2991"/>
      <c r="N20" s="2991"/>
      <c r="O20" s="3039"/>
      <c r="P20" s="3437"/>
      <c r="Q20" s="1613"/>
      <c r="R20" s="1722"/>
      <c r="S20" s="1723"/>
      <c r="T20" s="1722"/>
      <c r="U20" s="1723"/>
      <c r="V20" s="1722"/>
      <c r="W20" s="1723"/>
      <c r="X20" s="1663"/>
      <c r="Y20" s="3437"/>
      <c r="Z20" s="1724"/>
      <c r="AA20" s="1725">
        <v>1</v>
      </c>
      <c r="AB20" s="1725">
        <v>1</v>
      </c>
      <c r="AC20" s="1725">
        <v>1</v>
      </c>
    </row>
    <row r="21" spans="1:29" ht="15">
      <c r="A21" s="1665"/>
      <c r="B21" s="1972" t="s">
        <v>2404</v>
      </c>
      <c r="C21" s="1976" t="str">
        <f>估价对象房地状况!C18</f>
        <v>较好</v>
      </c>
      <c r="D21" s="1732">
        <v>100</v>
      </c>
      <c r="E21" s="1736"/>
      <c r="F21" s="1739">
        <f>SUMIF(94:94,E22,95:95)-SUMIF(94:94,C22,95:95)+100</f>
        <v>100</v>
      </c>
      <c r="G21" s="1736"/>
      <c r="H21" s="1732">
        <f>SUMIF(94:94,G22,95:95)-SUMIF(94:94,C22,95:95)+100</f>
        <v>100</v>
      </c>
      <c r="I21" s="1738"/>
      <c r="J21" s="1732">
        <f>SUMIF(94:94,I22,95:95)-SUMIF(94:94,C22,95:95)+100</f>
        <v>100</v>
      </c>
      <c r="K21" s="1966"/>
      <c r="L21" s="2995"/>
      <c r="M21" s="2991"/>
      <c r="N21" s="2991"/>
      <c r="O21" s="3039"/>
      <c r="P21" s="3437"/>
      <c r="Q21" s="1613" t="str">
        <f>B21</f>
        <v>交通便捷度</v>
      </c>
      <c r="R21" s="1722" t="s">
        <v>25</v>
      </c>
      <c r="S21" s="1723">
        <f>F21</f>
        <v>100</v>
      </c>
      <c r="T21" s="1722" t="s">
        <v>25</v>
      </c>
      <c r="U21" s="1723">
        <f>H21</f>
        <v>100</v>
      </c>
      <c r="V21" s="1722" t="s">
        <v>25</v>
      </c>
      <c r="W21" s="1723">
        <f>J21</f>
        <v>100</v>
      </c>
      <c r="X21" s="1663"/>
      <c r="Y21" s="3437"/>
      <c r="Z21" s="1724" t="str">
        <f>Q21</f>
        <v>交通便捷度</v>
      </c>
      <c r="AA21" s="1725">
        <f t="shared" si="3"/>
        <v>1</v>
      </c>
      <c r="AB21" s="1725">
        <f t="shared" si="4"/>
        <v>1</v>
      </c>
      <c r="AC21" s="1725">
        <f t="shared" si="5"/>
        <v>1</v>
      </c>
    </row>
    <row r="22" spans="1:29" ht="15">
      <c r="A22" s="1665"/>
      <c r="B22" s="1977"/>
      <c r="C22" s="1971"/>
      <c r="D22" s="1732"/>
      <c r="E22" s="1729"/>
      <c r="F22" s="1728"/>
      <c r="G22" s="1729"/>
      <c r="H22" s="1728"/>
      <c r="I22" s="1731"/>
      <c r="J22" s="1728"/>
      <c r="K22" s="1965"/>
      <c r="L22" s="2995"/>
      <c r="M22" s="2991"/>
      <c r="N22" s="2991"/>
      <c r="O22" s="3039"/>
      <c r="P22" s="3437"/>
      <c r="Q22" s="1613"/>
      <c r="R22" s="1722"/>
      <c r="S22" s="1723"/>
      <c r="T22" s="1722"/>
      <c r="U22" s="1723"/>
      <c r="V22" s="1722"/>
      <c r="W22" s="1723"/>
      <c r="X22" s="1663"/>
      <c r="Y22" s="3437"/>
      <c r="Z22" s="1724"/>
      <c r="AA22" s="1725">
        <v>1</v>
      </c>
      <c r="AB22" s="1725">
        <v>1</v>
      </c>
      <c r="AC22" s="1725">
        <v>1</v>
      </c>
    </row>
    <row r="23" spans="1:29" ht="15">
      <c r="A23" s="1665"/>
      <c r="B23" s="1455" t="s">
        <v>2444</v>
      </c>
      <c r="C23" s="1978">
        <f>估价对象房地状况!C19</f>
        <v>0</v>
      </c>
      <c r="D23" s="1739">
        <v>100</v>
      </c>
      <c r="E23" s="1736"/>
      <c r="F23" s="1739">
        <f>SUMIF(96:96,E24,97:97)-SUMIF(96:96,C24,97:97)+100</f>
        <v>100</v>
      </c>
      <c r="G23" s="1738"/>
      <c r="H23" s="1739">
        <f>SUMIF(96:96,G24,97:97)-SUMIF(96:96,C24,97:97)+100</f>
        <v>100</v>
      </c>
      <c r="I23" s="1738"/>
      <c r="J23" s="1739">
        <f>SUMIF(96:96,I24,97:97)-SUMIF(96:96,C24,97:97)+100</f>
        <v>100</v>
      </c>
      <c r="K23" s="1966"/>
      <c r="L23" s="2995"/>
      <c r="M23" s="2991"/>
      <c r="N23" s="2991"/>
      <c r="O23" s="3039"/>
      <c r="P23" s="3437"/>
      <c r="Q23" s="1613" t="str">
        <f t="shared" ref="Q23:Q37" si="8">B23</f>
        <v>区域土地利用方向</v>
      </c>
      <c r="R23" s="1722" t="s">
        <v>25</v>
      </c>
      <c r="S23" s="1723">
        <f>F23</f>
        <v>100</v>
      </c>
      <c r="T23" s="1722" t="s">
        <v>25</v>
      </c>
      <c r="U23" s="1723">
        <f>H23</f>
        <v>100</v>
      </c>
      <c r="V23" s="1722" t="s">
        <v>25</v>
      </c>
      <c r="W23" s="1723">
        <f>J23</f>
        <v>100</v>
      </c>
      <c r="X23" s="1663"/>
      <c r="Y23" s="3437"/>
      <c r="Z23" s="1724" t="str">
        <f>Q23</f>
        <v>区域土地利用方向</v>
      </c>
      <c r="AA23" s="1725">
        <f t="shared" si="3"/>
        <v>1</v>
      </c>
      <c r="AB23" s="1725">
        <f t="shared" si="4"/>
        <v>1</v>
      </c>
      <c r="AC23" s="1725">
        <f t="shared" si="5"/>
        <v>1</v>
      </c>
    </row>
    <row r="24" spans="1:29" ht="15">
      <c r="A24" s="1665"/>
      <c r="B24" s="1456"/>
      <c r="C24" s="1979"/>
      <c r="D24" s="1728"/>
      <c r="E24" s="1729"/>
      <c r="F24" s="1728"/>
      <c r="G24" s="1731"/>
      <c r="H24" s="1728"/>
      <c r="I24" s="1731"/>
      <c r="J24" s="1728"/>
      <c r="K24" s="1980"/>
      <c r="L24" s="2995"/>
      <c r="M24" s="2991"/>
      <c r="N24" s="2991"/>
      <c r="O24" s="3039"/>
      <c r="P24" s="3437"/>
      <c r="Q24" s="1613"/>
      <c r="R24" s="1722"/>
      <c r="S24" s="1723"/>
      <c r="T24" s="1722"/>
      <c r="U24" s="1723"/>
      <c r="V24" s="1722"/>
      <c r="W24" s="1723"/>
      <c r="X24" s="1663"/>
      <c r="Y24" s="3437"/>
      <c r="Z24" s="1724"/>
      <c r="AA24" s="1725"/>
      <c r="AB24" s="1725"/>
      <c r="AC24" s="1725"/>
    </row>
    <row r="25" spans="1:29" ht="27">
      <c r="A25" s="1665"/>
      <c r="B25" s="1977" t="s">
        <v>2445</v>
      </c>
      <c r="C25" s="1973" t="str">
        <f>估价对象房地状况!C20</f>
        <v>较好</v>
      </c>
      <c r="D25" s="1732">
        <v>100</v>
      </c>
      <c r="E25" s="1736"/>
      <c r="F25" s="1732">
        <f>SUMIF(98:98,E26,99:99)-SUMIF(98:98,C26,99:99)+100</f>
        <v>100</v>
      </c>
      <c r="G25" s="1736"/>
      <c r="H25" s="1732">
        <f>SUMIF(98:98,G26,99:99)-SUMIF(98:98,C26,99:99)+100</f>
        <v>100</v>
      </c>
      <c r="I25" s="1738"/>
      <c r="J25" s="1732">
        <f>SUMIF(98:98,I26,99:99)-SUMIF(98:98,C26,99:99)+100</f>
        <v>100</v>
      </c>
      <c r="K25" s="1966"/>
      <c r="L25" s="2995"/>
      <c r="M25" s="2991"/>
      <c r="N25" s="2991"/>
      <c r="O25" s="3039"/>
      <c r="P25" s="3437"/>
      <c r="Q25" s="1613" t="str">
        <f t="shared" si="8"/>
        <v>自然及人文环境状况</v>
      </c>
      <c r="R25" s="1722" t="s">
        <v>25</v>
      </c>
      <c r="S25" s="1723">
        <f>F25</f>
        <v>100</v>
      </c>
      <c r="T25" s="1722" t="s">
        <v>25</v>
      </c>
      <c r="U25" s="1723">
        <f>H25</f>
        <v>100</v>
      </c>
      <c r="V25" s="1722" t="s">
        <v>25</v>
      </c>
      <c r="W25" s="1723">
        <f>J25</f>
        <v>100</v>
      </c>
      <c r="X25" s="1663"/>
      <c r="Y25" s="3437"/>
      <c r="Z25" s="1724" t="str">
        <f>Q25</f>
        <v>自然及人文环境状况</v>
      </c>
      <c r="AA25" s="1725">
        <f t="shared" si="3"/>
        <v>1</v>
      </c>
      <c r="AB25" s="1725">
        <f t="shared" si="4"/>
        <v>1</v>
      </c>
      <c r="AC25" s="1725">
        <f t="shared" si="5"/>
        <v>1</v>
      </c>
    </row>
    <row r="26" spans="1:29" ht="15">
      <c r="A26" s="1665"/>
      <c r="B26" s="1974"/>
      <c r="C26" s="1971"/>
      <c r="D26" s="1728"/>
      <c r="E26" s="1971"/>
      <c r="F26" s="1728"/>
      <c r="G26" s="1971"/>
      <c r="H26" s="1728"/>
      <c r="I26" s="1727"/>
      <c r="J26" s="1728"/>
      <c r="K26" s="1965"/>
      <c r="L26" s="2995"/>
      <c r="M26" s="2991"/>
      <c r="N26" s="2991"/>
      <c r="O26" s="3039"/>
      <c r="P26" s="3437"/>
      <c r="Q26" s="1613"/>
      <c r="R26" s="1722"/>
      <c r="S26" s="1723"/>
      <c r="T26" s="1722"/>
      <c r="U26" s="1723"/>
      <c r="V26" s="1722"/>
      <c r="W26" s="1723"/>
      <c r="X26" s="1663"/>
      <c r="Y26" s="3437"/>
      <c r="Z26" s="1724"/>
      <c r="AA26" s="1725">
        <v>1</v>
      </c>
      <c r="AB26" s="1725">
        <v>1</v>
      </c>
      <c r="AC26" s="1725">
        <v>1</v>
      </c>
    </row>
    <row r="27" spans="1:29" ht="15">
      <c r="A27" s="1665"/>
      <c r="B27" s="1977" t="s">
        <v>2353</v>
      </c>
      <c r="C27" s="1976" t="str">
        <f>估价对象房地状况!C21</f>
        <v>较好</v>
      </c>
      <c r="D27" s="1732">
        <v>100</v>
      </c>
      <c r="E27" s="1736"/>
      <c r="F27" s="1732">
        <f>SUMIF(100:100,E28,101:101)-SUMIF(100:100,C28,101:101)+100</f>
        <v>100</v>
      </c>
      <c r="G27" s="1736"/>
      <c r="H27" s="1732">
        <f>SUMIF(100:100,G28,101:101)-SUMIF(100:100,C28,101:101)+100</f>
        <v>100</v>
      </c>
      <c r="I27" s="1738"/>
      <c r="J27" s="1732">
        <f>SUMIF(100:100,I28,101:101)-SUMIF(100:100,C28,101:101)+100</f>
        <v>100</v>
      </c>
      <c r="K27" s="1981"/>
      <c r="L27" s="2995"/>
      <c r="M27" s="2991"/>
      <c r="N27" s="2991"/>
      <c r="O27" s="3039"/>
      <c r="P27" s="3437"/>
      <c r="Q27" s="1632" t="str">
        <f t="shared" ref="Q27" si="9">B27</f>
        <v>公共配套设施</v>
      </c>
      <c r="R27" s="1678" t="s">
        <v>25</v>
      </c>
      <c r="S27" s="1679">
        <f>F27</f>
        <v>100</v>
      </c>
      <c r="T27" s="1678" t="s">
        <v>25</v>
      </c>
      <c r="U27" s="1679">
        <f>H27</f>
        <v>100</v>
      </c>
      <c r="V27" s="1678" t="s">
        <v>25</v>
      </c>
      <c r="W27" s="1679">
        <f>J27</f>
        <v>100</v>
      </c>
      <c r="X27" s="1663"/>
      <c r="Y27" s="3437"/>
      <c r="Z27" s="1690" t="str">
        <f>Q27</f>
        <v>公共配套设施</v>
      </c>
      <c r="AA27" s="1725">
        <f>D27/F27</f>
        <v>1</v>
      </c>
      <c r="AB27" s="1725">
        <f>D27/H27</f>
        <v>1</v>
      </c>
      <c r="AC27" s="1725">
        <f>D27/J27</f>
        <v>1</v>
      </c>
    </row>
    <row r="28" spans="1:29" ht="15">
      <c r="A28" s="1665"/>
      <c r="B28" s="1974"/>
      <c r="C28" s="1982"/>
      <c r="D28" s="1728"/>
      <c r="E28" s="1982"/>
      <c r="F28" s="1728"/>
      <c r="G28" s="1982"/>
      <c r="H28" s="1728"/>
      <c r="I28" s="1982"/>
      <c r="J28" s="1728"/>
      <c r="K28" s="1965"/>
      <c r="L28" s="2995"/>
      <c r="M28" s="2991"/>
      <c r="N28" s="2991"/>
      <c r="O28" s="3039"/>
      <c r="P28" s="3437"/>
      <c r="Q28" s="1613"/>
      <c r="R28" s="1722"/>
      <c r="S28" s="1723"/>
      <c r="T28" s="1722"/>
      <c r="U28" s="1723"/>
      <c r="V28" s="1722"/>
      <c r="W28" s="1723"/>
      <c r="X28" s="1663"/>
      <c r="Y28" s="3437"/>
      <c r="Z28" s="1690"/>
      <c r="AA28" s="1725">
        <v>1</v>
      </c>
      <c r="AB28" s="1725">
        <v>1</v>
      </c>
      <c r="AC28" s="1725">
        <v>1</v>
      </c>
    </row>
    <row r="29" spans="1:29" s="1682" customFormat="1" ht="15">
      <c r="A29" s="1983"/>
      <c r="B29" s="1977" t="s">
        <v>2354</v>
      </c>
      <c r="C29" s="1984" t="str">
        <f>估价对象房地状况!C22</f>
        <v>七通</v>
      </c>
      <c r="D29" s="1732">
        <v>100</v>
      </c>
      <c r="E29" s="1736"/>
      <c r="F29" s="1732">
        <f>SUMIF(102:102,E30,103:103)-SUMIF(102:102,C30,103:103)+100</f>
        <v>100</v>
      </c>
      <c r="G29" s="1736"/>
      <c r="H29" s="1732">
        <f>SUMIF(102:102,G30,103:103)-SUMIF(102:102,C30,103:103)+100</f>
        <v>100</v>
      </c>
      <c r="I29" s="1738"/>
      <c r="J29" s="1732">
        <f>SUMIF(102:102,I30,103:103)-SUMIF(102:102,C30,103:103)+100</f>
        <v>100</v>
      </c>
      <c r="K29" s="1981"/>
      <c r="L29" s="2990"/>
      <c r="M29" s="2963"/>
      <c r="N29" s="2963"/>
      <c r="O29" s="3037"/>
      <c r="P29" s="3437"/>
      <c r="Q29" s="1632" t="str">
        <f t="shared" si="8"/>
        <v>基础设施水平</v>
      </c>
      <c r="R29" s="1678" t="s">
        <v>25</v>
      </c>
      <c r="S29" s="1679">
        <f>F29</f>
        <v>100</v>
      </c>
      <c r="T29" s="1678" t="s">
        <v>25</v>
      </c>
      <c r="U29" s="1679">
        <f>H29</f>
        <v>100</v>
      </c>
      <c r="V29" s="1678" t="s">
        <v>25</v>
      </c>
      <c r="W29" s="1679">
        <f>J29</f>
        <v>100</v>
      </c>
      <c r="X29" s="1680"/>
      <c r="Y29" s="3437"/>
      <c r="Z29" s="1690" t="str">
        <f>Q29</f>
        <v>基础设施水平</v>
      </c>
      <c r="AA29" s="1725">
        <f>D29/F29</f>
        <v>1</v>
      </c>
      <c r="AB29" s="1725">
        <f>D29/H29</f>
        <v>1</v>
      </c>
      <c r="AC29" s="1725">
        <f>D29/J29</f>
        <v>1</v>
      </c>
    </row>
    <row r="30" spans="1:29" s="1682" customFormat="1" ht="15">
      <c r="A30" s="1983"/>
      <c r="B30" s="1974"/>
      <c r="C30" s="1982"/>
      <c r="D30" s="1728"/>
      <c r="E30" s="1982"/>
      <c r="F30" s="1728"/>
      <c r="G30" s="1982"/>
      <c r="H30" s="1728"/>
      <c r="I30" s="1982"/>
      <c r="J30" s="1728"/>
      <c r="K30" s="1965"/>
      <c r="L30" s="2990"/>
      <c r="M30" s="2963"/>
      <c r="N30" s="2963"/>
      <c r="O30" s="3037"/>
      <c r="P30" s="3437"/>
      <c r="Q30" s="1632"/>
      <c r="R30" s="1678"/>
      <c r="S30" s="1679"/>
      <c r="T30" s="1678"/>
      <c r="U30" s="1679"/>
      <c r="V30" s="1678"/>
      <c r="W30" s="1679"/>
      <c r="X30" s="1680"/>
      <c r="Y30" s="3437"/>
      <c r="Z30" s="1690"/>
      <c r="AA30" s="1725">
        <v>1</v>
      </c>
      <c r="AB30" s="1725">
        <v>1</v>
      </c>
      <c r="AC30" s="1725">
        <v>1</v>
      </c>
    </row>
    <row r="31" spans="1:29" ht="15">
      <c r="A31" s="1665"/>
      <c r="B31" s="1974" t="s">
        <v>2355</v>
      </c>
      <c r="C31" s="1979"/>
      <c r="D31" s="1708">
        <v>100</v>
      </c>
      <c r="E31" s="1979"/>
      <c r="F31" s="1708">
        <f>SUMIF(104:104,E31,105:105)-SUMIF(104:104,C31,105:105)+100</f>
        <v>100</v>
      </c>
      <c r="G31" s="1979"/>
      <c r="H31" s="1708">
        <f>SUMIF(104:104,G31,105:105)-SUMIF(104:104,C31,105:105)+100</f>
        <v>100</v>
      </c>
      <c r="I31" s="1979"/>
      <c r="J31" s="1708">
        <f>SUMIF(104:104,I31,105:105)-SUMIF(104:104,C31,105:105)+100</f>
        <v>100</v>
      </c>
      <c r="K31" s="1966"/>
      <c r="L31" s="2995"/>
      <c r="M31" s="2991"/>
      <c r="N31" s="2991"/>
      <c r="O31" s="3039"/>
      <c r="P31" s="3437"/>
      <c r="Q31" s="1613" t="str">
        <f t="shared" si="8"/>
        <v>临街状况</v>
      </c>
      <c r="R31" s="1722" t="s">
        <v>25</v>
      </c>
      <c r="S31" s="1723">
        <f t="shared" ref="S31:S45" si="10">F31</f>
        <v>100</v>
      </c>
      <c r="T31" s="1722" t="s">
        <v>25</v>
      </c>
      <c r="U31" s="1723">
        <f t="shared" ref="U31:U45" si="11">H31</f>
        <v>100</v>
      </c>
      <c r="V31" s="1722" t="s">
        <v>25</v>
      </c>
      <c r="W31" s="1723">
        <f t="shared" ref="W31:W45" si="12">J31</f>
        <v>100</v>
      </c>
      <c r="X31" s="1663"/>
      <c r="Y31" s="3437"/>
      <c r="Z31" s="1724" t="str">
        <f t="shared" ref="Z31:Z45" si="13">Q31</f>
        <v>临街状况</v>
      </c>
      <c r="AA31" s="1725">
        <f t="shared" si="3"/>
        <v>1</v>
      </c>
      <c r="AB31" s="1725">
        <f t="shared" si="4"/>
        <v>1</v>
      </c>
      <c r="AC31" s="1725">
        <f t="shared" si="5"/>
        <v>1</v>
      </c>
    </row>
    <row r="32" spans="1:29" ht="27">
      <c r="A32" s="1665"/>
      <c r="B32" s="1977" t="s">
        <v>2385</v>
      </c>
      <c r="C32" s="1736"/>
      <c r="D32" s="1732">
        <v>100</v>
      </c>
      <c r="E32" s="1736"/>
      <c r="F32" s="1732">
        <f>SUMIF(106:106,E33,107:107)-SUMIF(106:106,C33,107:107)+100</f>
        <v>100</v>
      </c>
      <c r="G32" s="1736"/>
      <c r="H32" s="1732">
        <f>SUMIF(106:106,G33,107:107)-SUMIF(106:106,C33,107:107)+100</f>
        <v>100</v>
      </c>
      <c r="I32" s="1738"/>
      <c r="J32" s="1732">
        <f>SUMIF(106:106,I33,107:107)-SUMIF(106:106,C33,107:107)+100</f>
        <v>100</v>
      </c>
      <c r="K32" s="1966"/>
      <c r="L32" s="2995"/>
      <c r="M32" s="2991"/>
      <c r="N32" s="2991"/>
      <c r="O32" s="3039"/>
      <c r="P32" s="3437"/>
      <c r="Q32" s="1613" t="str">
        <f t="shared" si="8"/>
        <v>毗邻道路的类型与等级</v>
      </c>
      <c r="R32" s="1722" t="s">
        <v>25</v>
      </c>
      <c r="S32" s="1723">
        <f t="shared" si="10"/>
        <v>100</v>
      </c>
      <c r="T32" s="1722" t="s">
        <v>25</v>
      </c>
      <c r="U32" s="1723">
        <f t="shared" si="11"/>
        <v>100</v>
      </c>
      <c r="V32" s="1722" t="s">
        <v>25</v>
      </c>
      <c r="W32" s="1723">
        <f t="shared" si="12"/>
        <v>100</v>
      </c>
      <c r="X32" s="1663"/>
      <c r="Y32" s="3437"/>
      <c r="Z32" s="1724" t="str">
        <f t="shared" si="13"/>
        <v>毗邻道路的类型与等级</v>
      </c>
      <c r="AA32" s="1725">
        <f t="shared" si="3"/>
        <v>1</v>
      </c>
      <c r="AB32" s="1725">
        <f t="shared" si="4"/>
        <v>1</v>
      </c>
      <c r="AC32" s="1725">
        <f t="shared" si="5"/>
        <v>1</v>
      </c>
    </row>
    <row r="33" spans="1:29" ht="15">
      <c r="A33" s="1665"/>
      <c r="B33" s="1974"/>
      <c r="C33" s="1971"/>
      <c r="D33" s="1728"/>
      <c r="E33" s="1971"/>
      <c r="F33" s="1728"/>
      <c r="G33" s="1971"/>
      <c r="H33" s="1728"/>
      <c r="I33" s="1727"/>
      <c r="J33" s="1728"/>
      <c r="K33" s="1985"/>
      <c r="L33" s="2995"/>
      <c r="M33" s="2991"/>
      <c r="N33" s="2991"/>
      <c r="O33" s="3039"/>
      <c r="P33" s="3437"/>
      <c r="Q33" s="1613"/>
      <c r="R33" s="1722"/>
      <c r="S33" s="1723"/>
      <c r="T33" s="1722"/>
      <c r="U33" s="1723"/>
      <c r="V33" s="1722"/>
      <c r="W33" s="1723"/>
      <c r="X33" s="1663"/>
      <c r="Y33" s="3437"/>
      <c r="Z33" s="1724"/>
      <c r="AA33" s="1725">
        <v>1</v>
      </c>
      <c r="AB33" s="1725">
        <v>1</v>
      </c>
      <c r="AC33" s="1725">
        <v>1</v>
      </c>
    </row>
    <row r="34" spans="1:29" ht="15">
      <c r="A34" s="1665"/>
      <c r="B34" s="1986" t="s">
        <v>2446</v>
      </c>
      <c r="C34" s="1979"/>
      <c r="D34" s="1708">
        <v>100</v>
      </c>
      <c r="E34" s="1979"/>
      <c r="F34" s="1708">
        <f>SUMIF(108:108,E34,109:109)-SUMIF(108:108,C34,109:109)+100</f>
        <v>100</v>
      </c>
      <c r="G34" s="1979"/>
      <c r="H34" s="1708">
        <f>SUMIF(108:108,G34,109:109)-SUMIF(108:108,C34,109:109)+100</f>
        <v>100</v>
      </c>
      <c r="I34" s="1987"/>
      <c r="J34" s="1708">
        <f>SUMIF(108:108,I34,109:109)-SUMIF(108:108,C34,109:109)+100</f>
        <v>100</v>
      </c>
      <c r="K34" s="1988"/>
      <c r="L34" s="2995"/>
      <c r="M34" s="2991"/>
      <c r="N34" s="2991"/>
      <c r="O34" s="3039"/>
      <c r="P34" s="3437"/>
      <c r="Q34" s="1613" t="str">
        <f t="shared" si="8"/>
        <v>土地级别</v>
      </c>
      <c r="R34" s="1722" t="s">
        <v>25</v>
      </c>
      <c r="S34" s="1723">
        <f t="shared" si="10"/>
        <v>100</v>
      </c>
      <c r="T34" s="1722" t="s">
        <v>25</v>
      </c>
      <c r="U34" s="1723">
        <f t="shared" si="11"/>
        <v>100</v>
      </c>
      <c r="V34" s="1722" t="s">
        <v>25</v>
      </c>
      <c r="W34" s="1723">
        <f t="shared" si="12"/>
        <v>100</v>
      </c>
      <c r="X34" s="1663"/>
      <c r="Y34" s="3437"/>
      <c r="Z34" s="1724" t="str">
        <f t="shared" si="13"/>
        <v>土地级别</v>
      </c>
      <c r="AA34" s="1725">
        <f t="shared" si="3"/>
        <v>1</v>
      </c>
      <c r="AB34" s="1725">
        <f t="shared" si="4"/>
        <v>1</v>
      </c>
      <c r="AC34" s="1725">
        <f t="shared" si="5"/>
        <v>1</v>
      </c>
    </row>
    <row r="35" spans="1:29" ht="15">
      <c r="A35" s="1665"/>
      <c r="B35" s="1989">
        <v>111</v>
      </c>
      <c r="C35" s="1775"/>
      <c r="D35" s="1708">
        <v>100</v>
      </c>
      <c r="E35" s="1775"/>
      <c r="F35" s="1708">
        <f>SUMIF(110:110,E35,111:111)-SUMIF(110:110,C35,111:111)+100</f>
        <v>100</v>
      </c>
      <c r="G35" s="1775"/>
      <c r="H35" s="1708">
        <f>SUMIF(110:110,G35,111:111)-SUMIF(110:110,C35,111:111)+100</f>
        <v>100</v>
      </c>
      <c r="I35" s="1967"/>
      <c r="J35" s="1708">
        <f>SUMIF(110:110,I35,111:111)-SUMIF(110:110,C35,111:111)+100</f>
        <v>100</v>
      </c>
      <c r="K35" s="1985"/>
      <c r="L35" s="2995"/>
      <c r="M35" s="2991"/>
      <c r="N35" s="2991"/>
      <c r="O35" s="3039"/>
      <c r="P35" s="3437"/>
      <c r="Q35" s="1613">
        <f t="shared" si="8"/>
        <v>111</v>
      </c>
      <c r="R35" s="1722" t="s">
        <v>25</v>
      </c>
      <c r="S35" s="1723">
        <f t="shared" si="10"/>
        <v>100</v>
      </c>
      <c r="T35" s="1722" t="s">
        <v>25</v>
      </c>
      <c r="U35" s="1723">
        <f t="shared" si="11"/>
        <v>100</v>
      </c>
      <c r="V35" s="1722" t="s">
        <v>25</v>
      </c>
      <c r="W35" s="1723">
        <f t="shared" si="12"/>
        <v>100</v>
      </c>
      <c r="X35" s="1663"/>
      <c r="Y35" s="3437"/>
      <c r="Z35" s="1724">
        <f t="shared" si="13"/>
        <v>111</v>
      </c>
      <c r="AA35" s="1725">
        <f t="shared" si="3"/>
        <v>1</v>
      </c>
      <c r="AB35" s="1725">
        <f t="shared" si="4"/>
        <v>1</v>
      </c>
      <c r="AC35" s="1725">
        <f t="shared" si="5"/>
        <v>1</v>
      </c>
    </row>
    <row r="36" spans="1:29" ht="15">
      <c r="A36" s="1990"/>
      <c r="B36" s="1991">
        <v>111</v>
      </c>
      <c r="C36" s="1775"/>
      <c r="D36" s="1708">
        <v>100</v>
      </c>
      <c r="E36" s="1775"/>
      <c r="F36" s="1708">
        <f>SUMIF(112:112,E37,113:113)-SUMIF(112:112,C37,113:113)+100</f>
        <v>100</v>
      </c>
      <c r="G36" s="1775"/>
      <c r="H36" s="1708">
        <f>SUMIF(112:112,G36,113:113)-SUMIF(112:112,C36,113:113)+100</f>
        <v>100</v>
      </c>
      <c r="I36" s="1967"/>
      <c r="J36" s="1708">
        <f>SUMIF(112:112,I36,113:113)-SUMIF(112:112,C36,113:113)+100</f>
        <v>100</v>
      </c>
      <c r="K36" s="1985"/>
      <c r="L36" s="2995"/>
      <c r="M36" s="2991"/>
      <c r="N36" s="2991"/>
      <c r="O36" s="3039"/>
      <c r="P36" s="3485" t="s">
        <v>2273</v>
      </c>
      <c r="Q36" s="1613">
        <f t="shared" si="8"/>
        <v>111</v>
      </c>
      <c r="R36" s="1722" t="s">
        <v>25</v>
      </c>
      <c r="S36" s="1723">
        <f t="shared" si="10"/>
        <v>100</v>
      </c>
      <c r="T36" s="1722" t="s">
        <v>25</v>
      </c>
      <c r="U36" s="1723">
        <f t="shared" si="11"/>
        <v>100</v>
      </c>
      <c r="V36" s="1722" t="s">
        <v>25</v>
      </c>
      <c r="W36" s="1723">
        <f t="shared" si="12"/>
        <v>100</v>
      </c>
      <c r="X36" s="1663"/>
      <c r="Y36" s="3441" t="s">
        <v>2273</v>
      </c>
      <c r="Z36" s="1724">
        <f t="shared" si="13"/>
        <v>111</v>
      </c>
      <c r="AA36" s="1725">
        <f t="shared" si="3"/>
        <v>1</v>
      </c>
      <c r="AB36" s="1725">
        <f t="shared" si="4"/>
        <v>1</v>
      </c>
      <c r="AC36" s="1725">
        <f t="shared" si="5"/>
        <v>1</v>
      </c>
    </row>
    <row r="37" spans="1:29" s="1767" customFormat="1" ht="15.75" thickBot="1">
      <c r="A37" s="1992"/>
      <c r="B37" s="1993">
        <v>111</v>
      </c>
      <c r="C37" s="1994"/>
      <c r="D37" s="1995">
        <v>100</v>
      </c>
      <c r="E37" s="1994"/>
      <c r="F37" s="1712">
        <f>SUMIF(114:114,E37,115:115)-SUMIF(114:114,C37,115:115)+100</f>
        <v>100</v>
      </c>
      <c r="G37" s="1994"/>
      <c r="H37" s="1712">
        <f>SUMIF(114:114,G37,115:115)-SUMIF(114:114,C37,115:115)+100</f>
        <v>100</v>
      </c>
      <c r="I37" s="1996"/>
      <c r="J37" s="1712">
        <f>SUMIF(114:114,I37,115:115)-SUMIF(114:114,C37,115:115)+100</f>
        <v>100</v>
      </c>
      <c r="K37" s="1985"/>
      <c r="L37" s="2994"/>
      <c r="M37" s="2055"/>
      <c r="N37" s="2055"/>
      <c r="O37" s="3040"/>
      <c r="P37" s="3441"/>
      <c r="Q37" s="1613">
        <f t="shared" si="8"/>
        <v>111</v>
      </c>
      <c r="R37" s="1763" t="s">
        <v>25</v>
      </c>
      <c r="S37" s="1764">
        <f t="shared" si="10"/>
        <v>100</v>
      </c>
      <c r="T37" s="1763" t="s">
        <v>25</v>
      </c>
      <c r="U37" s="1764">
        <f t="shared" si="11"/>
        <v>100</v>
      </c>
      <c r="V37" s="1763" t="s">
        <v>25</v>
      </c>
      <c r="W37" s="1764">
        <f t="shared" si="12"/>
        <v>100</v>
      </c>
      <c r="X37" s="1765"/>
      <c r="Y37" s="3441"/>
      <c r="Z37" s="1766">
        <f t="shared" si="13"/>
        <v>111</v>
      </c>
      <c r="AA37" s="1725">
        <f t="shared" si="3"/>
        <v>1</v>
      </c>
      <c r="AB37" s="1725">
        <f t="shared" si="4"/>
        <v>1</v>
      </c>
      <c r="AC37" s="1725">
        <f t="shared" si="5"/>
        <v>1</v>
      </c>
    </row>
    <row r="38" spans="1:29" ht="15">
      <c r="A38" s="1660" t="s">
        <v>2271</v>
      </c>
      <c r="B38" s="1740" t="s">
        <v>2447</v>
      </c>
      <c r="C38" s="1997"/>
      <c r="D38" s="1759">
        <v>100</v>
      </c>
      <c r="E38" s="1997"/>
      <c r="F38" s="1759" t="e">
        <f>LOOKUP(E38,117:117,118:118)-LOOKUP(C38,117:117,118:118)+100</f>
        <v>#N/A</v>
      </c>
      <c r="G38" s="1997"/>
      <c r="H38" s="1759" t="e">
        <f>LOOKUP(G38,117:117,118:118)-LOOKUP(C38,117:117,118:118)+100</f>
        <v>#N/A</v>
      </c>
      <c r="I38" s="1845"/>
      <c r="J38" s="1759" t="e">
        <f>LOOKUP(I38,117:117,118:118)-LOOKUP(C38,117:117,118:118)+100</f>
        <v>#N/A</v>
      </c>
      <c r="K38" s="1985"/>
      <c r="L38" s="2995"/>
      <c r="M38" s="2991"/>
      <c r="N38" s="2991"/>
      <c r="O38" s="3039"/>
      <c r="P38" s="3441"/>
      <c r="Q38" s="1613" t="str">
        <f>B38</f>
        <v>宗地面积</v>
      </c>
      <c r="R38" s="1722" t="s">
        <v>25</v>
      </c>
      <c r="S38" s="1723" t="e">
        <f t="shared" si="10"/>
        <v>#N/A</v>
      </c>
      <c r="T38" s="1722" t="s">
        <v>25</v>
      </c>
      <c r="U38" s="1723" t="e">
        <f t="shared" si="11"/>
        <v>#N/A</v>
      </c>
      <c r="V38" s="1722" t="s">
        <v>25</v>
      </c>
      <c r="W38" s="1723" t="e">
        <f t="shared" si="12"/>
        <v>#N/A</v>
      </c>
      <c r="X38" s="1663"/>
      <c r="Y38" s="3441"/>
      <c r="Z38" s="1724" t="str">
        <f t="shared" si="13"/>
        <v>宗地面积</v>
      </c>
      <c r="AA38" s="1725" t="e">
        <f t="shared" si="3"/>
        <v>#N/A</v>
      </c>
      <c r="AB38" s="1725" t="e">
        <f t="shared" si="4"/>
        <v>#N/A</v>
      </c>
      <c r="AC38" s="1725" t="e">
        <f t="shared" si="5"/>
        <v>#N/A</v>
      </c>
    </row>
    <row r="39" spans="1:29" ht="15">
      <c r="A39" s="1768"/>
      <c r="B39" s="1692" t="s">
        <v>2448</v>
      </c>
      <c r="C39" s="1752"/>
      <c r="D39" s="1708">
        <v>100</v>
      </c>
      <c r="E39" s="1752"/>
      <c r="F39" s="1708">
        <f>SUMIF(119:119,E39,120:120)-SUMIF(119:119,C39,120:120)+100</f>
        <v>100</v>
      </c>
      <c r="G39" s="1752"/>
      <c r="H39" s="1708">
        <f>SUMIF(119:119,G39,120:120)-SUMIF(119:119,C39,120:120)+100</f>
        <v>100</v>
      </c>
      <c r="I39" s="1752"/>
      <c r="J39" s="1708">
        <f>SUMIF(119:119,I39,120:120)-SUMIF(119:119,C39,120:120)+100</f>
        <v>100</v>
      </c>
      <c r="K39" s="1988"/>
      <c r="L39" s="2995"/>
      <c r="M39" s="2991"/>
      <c r="N39" s="2991"/>
      <c r="O39" s="3039"/>
      <c r="P39" s="3441"/>
      <c r="Q39" s="1613" t="str">
        <f t="shared" ref="Q39:Q45" si="14">B39</f>
        <v>宗地形状</v>
      </c>
      <c r="R39" s="1722" t="s">
        <v>25</v>
      </c>
      <c r="S39" s="1723">
        <f t="shared" si="10"/>
        <v>100</v>
      </c>
      <c r="T39" s="1722" t="s">
        <v>25</v>
      </c>
      <c r="U39" s="1723">
        <f t="shared" si="11"/>
        <v>100</v>
      </c>
      <c r="V39" s="1722" t="s">
        <v>25</v>
      </c>
      <c r="W39" s="1723">
        <f t="shared" si="12"/>
        <v>100</v>
      </c>
      <c r="X39" s="1663"/>
      <c r="Y39" s="3441"/>
      <c r="Z39" s="1724" t="str">
        <f t="shared" si="13"/>
        <v>宗地形状</v>
      </c>
      <c r="AA39" s="1725">
        <f t="shared" si="3"/>
        <v>1</v>
      </c>
      <c r="AB39" s="1725">
        <f t="shared" si="4"/>
        <v>1</v>
      </c>
      <c r="AC39" s="1725">
        <f t="shared" si="5"/>
        <v>1</v>
      </c>
    </row>
    <row r="40" spans="1:29" ht="15">
      <c r="A40" s="1768"/>
      <c r="B40" s="1692" t="s">
        <v>2449</v>
      </c>
      <c r="C40" s="1752"/>
      <c r="D40" s="1708">
        <v>100</v>
      </c>
      <c r="E40" s="1752"/>
      <c r="F40" s="1708">
        <f>SUMIF(121:121,E40,122:122)-SUMIF(121:121,C40,122:122)+100</f>
        <v>100</v>
      </c>
      <c r="G40" s="1752"/>
      <c r="H40" s="1708">
        <f>SUMIF(121:121,G40,122:122)-SUMIF(121:121,C40,122:122)+100</f>
        <v>100</v>
      </c>
      <c r="I40" s="1752"/>
      <c r="J40" s="1708">
        <f>SUMIF(121:121,I40,122:122)-SUMIF(121:121,C40,122:122)+100</f>
        <v>100</v>
      </c>
      <c r="K40" s="1988"/>
      <c r="L40" s="2995"/>
      <c r="M40" s="2991"/>
      <c r="N40" s="2991"/>
      <c r="O40" s="3039"/>
      <c r="P40" s="3441"/>
      <c r="Q40" s="1613" t="str">
        <f t="shared" si="14"/>
        <v>临街宽度及深度</v>
      </c>
      <c r="R40" s="1722" t="s">
        <v>25</v>
      </c>
      <c r="S40" s="1723">
        <f t="shared" si="10"/>
        <v>100</v>
      </c>
      <c r="T40" s="1722" t="s">
        <v>25</v>
      </c>
      <c r="U40" s="1723">
        <f t="shared" si="11"/>
        <v>100</v>
      </c>
      <c r="V40" s="1722" t="s">
        <v>25</v>
      </c>
      <c r="W40" s="1723">
        <f t="shared" si="12"/>
        <v>100</v>
      </c>
      <c r="X40" s="1663"/>
      <c r="Y40" s="3441"/>
      <c r="Z40" s="1724" t="str">
        <f t="shared" si="13"/>
        <v>临街宽度及深度</v>
      </c>
      <c r="AA40" s="1725">
        <f t="shared" si="3"/>
        <v>1</v>
      </c>
      <c r="AB40" s="1725">
        <f t="shared" si="4"/>
        <v>1</v>
      </c>
      <c r="AC40" s="1725">
        <f t="shared" si="5"/>
        <v>1</v>
      </c>
    </row>
    <row r="41" spans="1:29" s="1682" customFormat="1" ht="15">
      <c r="A41" s="1771"/>
      <c r="B41" s="1692" t="s">
        <v>2450</v>
      </c>
      <c r="C41" s="1998"/>
      <c r="D41" s="1694">
        <v>100</v>
      </c>
      <c r="E41" s="1998"/>
      <c r="F41" s="1708">
        <f>SUMIF(123:123,E41,124:124)-SUMIF(123:123,C41,124:124)+100</f>
        <v>100</v>
      </c>
      <c r="G41" s="1998"/>
      <c r="H41" s="1708">
        <f>SUMIF(123:123,G41,124:124)-SUMIF(123:123,C41,124:124)+100</f>
        <v>100</v>
      </c>
      <c r="I41" s="1998"/>
      <c r="J41" s="1708">
        <f>SUMIF(123:123,I41,124:124)-SUMIF(123:123,C41,124:124)+100</f>
        <v>100</v>
      </c>
      <c r="K41" s="1988"/>
      <c r="L41" s="2990"/>
      <c r="M41" s="2963"/>
      <c r="N41" s="2963"/>
      <c r="O41" s="3037"/>
      <c r="P41" s="3441"/>
      <c r="Q41" s="1613" t="str">
        <f t="shared" si="14"/>
        <v>宗地开发程度</v>
      </c>
      <c r="R41" s="1678" t="s">
        <v>25</v>
      </c>
      <c r="S41" s="1679">
        <f t="shared" si="10"/>
        <v>100</v>
      </c>
      <c r="T41" s="1678" t="s">
        <v>25</v>
      </c>
      <c r="U41" s="1679">
        <f t="shared" si="11"/>
        <v>100</v>
      </c>
      <c r="V41" s="1678" t="s">
        <v>25</v>
      </c>
      <c r="W41" s="1679">
        <f t="shared" si="12"/>
        <v>100</v>
      </c>
      <c r="X41" s="1680"/>
      <c r="Y41" s="3441"/>
      <c r="Z41" s="1690" t="str">
        <f t="shared" si="13"/>
        <v>宗地开发程度</v>
      </c>
      <c r="AA41" s="1681">
        <f t="shared" si="3"/>
        <v>1</v>
      </c>
      <c r="AB41" s="1681">
        <f t="shared" si="4"/>
        <v>1</v>
      </c>
      <c r="AC41" s="1681">
        <f t="shared" si="5"/>
        <v>1</v>
      </c>
    </row>
    <row r="42" spans="1:29" ht="15">
      <c r="A42" s="1768"/>
      <c r="B42" s="1692" t="s">
        <v>2451</v>
      </c>
      <c r="C42" s="1752"/>
      <c r="D42" s="1708">
        <v>100</v>
      </c>
      <c r="E42" s="1752"/>
      <c r="F42" s="1708">
        <f>SUMIF(125:125,E42,126:126)-SUMIF(125:125,C42,126:126)+100</f>
        <v>100</v>
      </c>
      <c r="G42" s="1752"/>
      <c r="H42" s="1708">
        <f>SUMIF(125:125,G42,126:126)-SUMIF(125:125,C42,126:126)+100</f>
        <v>100</v>
      </c>
      <c r="I42" s="1752"/>
      <c r="J42" s="1708">
        <f>SUMIF(125:125,I42,126:126)-SUMIF(125:125,C42,126:126)+100</f>
        <v>100</v>
      </c>
      <c r="K42" s="1988"/>
      <c r="L42" s="2995"/>
      <c r="M42" s="2991"/>
      <c r="N42" s="2991"/>
      <c r="O42" s="3039"/>
      <c r="P42" s="3441" t="s">
        <v>2273</v>
      </c>
      <c r="Q42" s="1613" t="str">
        <f t="shared" si="14"/>
        <v>工程地质条件</v>
      </c>
      <c r="R42" s="1722" t="s">
        <v>25</v>
      </c>
      <c r="S42" s="1723">
        <f t="shared" si="10"/>
        <v>100</v>
      </c>
      <c r="T42" s="1722" t="s">
        <v>25</v>
      </c>
      <c r="U42" s="1723">
        <f t="shared" si="11"/>
        <v>100</v>
      </c>
      <c r="V42" s="1722" t="s">
        <v>25</v>
      </c>
      <c r="W42" s="1723">
        <f t="shared" si="12"/>
        <v>100</v>
      </c>
      <c r="X42" s="1663"/>
      <c r="Y42" s="3441" t="s">
        <v>2273</v>
      </c>
      <c r="Z42" s="1724" t="str">
        <f t="shared" si="13"/>
        <v>工程地质条件</v>
      </c>
      <c r="AA42" s="1725">
        <f t="shared" si="3"/>
        <v>1</v>
      </c>
      <c r="AB42" s="1725">
        <f t="shared" si="4"/>
        <v>1</v>
      </c>
      <c r="AC42" s="1725">
        <f t="shared" si="5"/>
        <v>1</v>
      </c>
    </row>
    <row r="43" spans="1:29" ht="15">
      <c r="A43" s="1768"/>
      <c r="B43" s="1999">
        <v>111</v>
      </c>
      <c r="C43" s="1967"/>
      <c r="D43" s="1708">
        <v>100</v>
      </c>
      <c r="E43" s="1967"/>
      <c r="F43" s="1708">
        <f>SUMIF(127:127,E43,128:128)-SUMIF(127:127,C43,128:128)+100</f>
        <v>100</v>
      </c>
      <c r="G43" s="1967"/>
      <c r="H43" s="1708">
        <f>SUMIF(127:127,G43,128:128)-SUMIF(127:127,C43,128:128)+100</f>
        <v>100</v>
      </c>
      <c r="I43" s="1863"/>
      <c r="J43" s="1708">
        <f>SUMIF(127:127,I43,128:128)-SUMIF(127:127,C43,128:128)+100</f>
        <v>100</v>
      </c>
      <c r="K43" s="1985"/>
      <c r="L43" s="2995"/>
      <c r="M43" s="2991"/>
      <c r="N43" s="2991"/>
      <c r="O43" s="3039"/>
      <c r="P43" s="3441"/>
      <c r="Q43" s="1613">
        <f t="shared" si="14"/>
        <v>111</v>
      </c>
      <c r="R43" s="1722" t="s">
        <v>25</v>
      </c>
      <c r="S43" s="1723">
        <f t="shared" si="10"/>
        <v>100</v>
      </c>
      <c r="T43" s="1722" t="s">
        <v>25</v>
      </c>
      <c r="U43" s="1723">
        <f t="shared" si="11"/>
        <v>100</v>
      </c>
      <c r="V43" s="1722" t="s">
        <v>25</v>
      </c>
      <c r="W43" s="1723">
        <f t="shared" si="12"/>
        <v>100</v>
      </c>
      <c r="X43" s="1663"/>
      <c r="Y43" s="3441"/>
      <c r="Z43" s="1724">
        <f t="shared" si="13"/>
        <v>111</v>
      </c>
      <c r="AA43" s="1725">
        <f t="shared" si="3"/>
        <v>1</v>
      </c>
      <c r="AB43" s="1725">
        <f t="shared" si="4"/>
        <v>1</v>
      </c>
      <c r="AC43" s="1725">
        <f t="shared" si="5"/>
        <v>1</v>
      </c>
    </row>
    <row r="44" spans="1:29" ht="15">
      <c r="A44" s="1768"/>
      <c r="B44" s="1999">
        <v>111</v>
      </c>
      <c r="C44" s="1967"/>
      <c r="D44" s="1708">
        <v>100</v>
      </c>
      <c r="E44" s="1967"/>
      <c r="F44" s="1708">
        <f>SUMIF(129:129,E44,130:130)-SUMIF(129:129,C44,130:130)+100</f>
        <v>100</v>
      </c>
      <c r="G44" s="1967"/>
      <c r="H44" s="1708">
        <f>SUMIF(129:129,G44,130:130)-SUMIF(129:129,C44,130:130)+100</f>
        <v>100</v>
      </c>
      <c r="I44" s="1863"/>
      <c r="J44" s="1708">
        <f>SUMIF(129:129,I44,130:130)-SUMIF(129:129,C44,130:130)+100</f>
        <v>100</v>
      </c>
      <c r="K44" s="1985"/>
      <c r="L44" s="2995"/>
      <c r="M44" s="2991"/>
      <c r="N44" s="2991"/>
      <c r="O44" s="3039"/>
      <c r="P44" s="3441"/>
      <c r="Q44" s="1613">
        <f t="shared" si="14"/>
        <v>111</v>
      </c>
      <c r="R44" s="1722" t="s">
        <v>25</v>
      </c>
      <c r="S44" s="1723">
        <f t="shared" si="10"/>
        <v>100</v>
      </c>
      <c r="T44" s="1722" t="s">
        <v>25</v>
      </c>
      <c r="U44" s="1723">
        <f t="shared" si="11"/>
        <v>100</v>
      </c>
      <c r="V44" s="1722" t="s">
        <v>25</v>
      </c>
      <c r="W44" s="1723">
        <f t="shared" si="12"/>
        <v>100</v>
      </c>
      <c r="X44" s="1663"/>
      <c r="Y44" s="3441"/>
      <c r="Z44" s="1724">
        <f t="shared" si="13"/>
        <v>111</v>
      </c>
      <c r="AA44" s="1725">
        <f t="shared" si="3"/>
        <v>1</v>
      </c>
      <c r="AB44" s="1725">
        <f t="shared" si="4"/>
        <v>1</v>
      </c>
      <c r="AC44" s="1725">
        <f t="shared" si="5"/>
        <v>1</v>
      </c>
    </row>
    <row r="45" spans="1:29" s="1767" customFormat="1" ht="15.75" thickBot="1">
      <c r="A45" s="1760"/>
      <c r="B45" s="1999">
        <v>111</v>
      </c>
      <c r="C45" s="2000"/>
      <c r="D45" s="3140">
        <v>100</v>
      </c>
      <c r="E45" s="1967"/>
      <c r="F45" s="1712">
        <f>SUMIF(131:131,E45,132:132)-SUMIF(131:131,C45,132:132)+100</f>
        <v>100</v>
      </c>
      <c r="G45" s="1967"/>
      <c r="H45" s="1712">
        <f>SUMIF(131:131,G45,132:132)-SUMIF(131:131,C45,132:132)+100</f>
        <v>100</v>
      </c>
      <c r="I45" s="1967"/>
      <c r="J45" s="1712">
        <f>SUMIF(131:131,I45,132:132)-SUMIF(131:131,C45,132:132)+100</f>
        <v>100</v>
      </c>
      <c r="K45" s="2001"/>
      <c r="L45" s="2994"/>
      <c r="M45" s="2055"/>
      <c r="N45" s="2055"/>
      <c r="O45" s="3040"/>
      <c r="P45" s="3441"/>
      <c r="Q45" s="1613">
        <f t="shared" si="14"/>
        <v>111</v>
      </c>
      <c r="R45" s="1763" t="s">
        <v>25</v>
      </c>
      <c r="S45" s="1764">
        <f t="shared" si="10"/>
        <v>100</v>
      </c>
      <c r="T45" s="1763" t="s">
        <v>25</v>
      </c>
      <c r="U45" s="1764">
        <f t="shared" si="11"/>
        <v>100</v>
      </c>
      <c r="V45" s="1763" t="s">
        <v>25</v>
      </c>
      <c r="W45" s="1764">
        <f t="shared" si="12"/>
        <v>100</v>
      </c>
      <c r="X45" s="1765"/>
      <c r="Y45" s="3441"/>
      <c r="Z45" s="1766">
        <f t="shared" si="13"/>
        <v>111</v>
      </c>
      <c r="AA45" s="1725">
        <f t="shared" si="3"/>
        <v>1</v>
      </c>
      <c r="AB45" s="1725">
        <f t="shared" si="4"/>
        <v>1</v>
      </c>
      <c r="AC45" s="1725">
        <f t="shared" si="5"/>
        <v>1</v>
      </c>
    </row>
    <row r="46" spans="1:29" ht="15">
      <c r="A46" s="1777" t="s">
        <v>2415</v>
      </c>
      <c r="B46" s="2002" t="s">
        <v>2452</v>
      </c>
      <c r="C46" s="2003" t="s">
        <v>1</v>
      </c>
      <c r="D46" s="2004"/>
      <c r="E46" s="2005"/>
      <c r="F46" s="2006"/>
      <c r="G46" s="2007"/>
      <c r="H46" s="2008"/>
      <c r="I46" s="2005"/>
      <c r="J46" s="2008"/>
      <c r="K46" s="2009"/>
      <c r="L46" s="2996"/>
      <c r="N46" s="2991"/>
      <c r="P46" s="3447" t="str">
        <f>A46</f>
        <v>成交单价</v>
      </c>
      <c r="Q46" s="3447"/>
      <c r="R46" s="3426">
        <f>E46</f>
        <v>0</v>
      </c>
      <c r="S46" s="3426"/>
      <c r="T46" s="3426">
        <f>G46</f>
        <v>0</v>
      </c>
      <c r="U46" s="3426"/>
      <c r="V46" s="3426">
        <f>I46</f>
        <v>0</v>
      </c>
      <c r="W46" s="3426"/>
      <c r="X46" s="1787"/>
      <c r="Y46" s="1788"/>
      <c r="Z46" s="1787"/>
      <c r="AA46" s="1787"/>
      <c r="AB46" s="1787"/>
      <c r="AC46" s="1787"/>
    </row>
    <row r="47" spans="1:29" ht="15.75" thickBot="1">
      <c r="A47" s="1789" t="s">
        <v>2368</v>
      </c>
      <c r="B47" s="2010"/>
      <c r="C47" s="2011" t="e">
        <f>R48</f>
        <v>#DIV/0!</v>
      </c>
      <c r="D47" s="1792" t="s">
        <v>2740</v>
      </c>
      <c r="E47" s="2011" t="e">
        <f>R47</f>
        <v>#DIV/0!</v>
      </c>
      <c r="F47" s="1794"/>
      <c r="G47" s="2012" t="e">
        <f>T47</f>
        <v>#DIV/0!</v>
      </c>
      <c r="H47" s="1794"/>
      <c r="I47" s="2011" t="e">
        <f>V47</f>
        <v>#DIV/0!</v>
      </c>
      <c r="J47" s="1794"/>
      <c r="K47" s="2506">
        <f>F47+H47+J47</f>
        <v>0</v>
      </c>
      <c r="L47" s="2996"/>
      <c r="P47" s="3447" t="str">
        <f>A47</f>
        <v>比较价值（元/平方米）</v>
      </c>
      <c r="Q47" s="3447"/>
      <c r="R47" s="3528" t="e">
        <f>ROUND(PRODUCT(R46,AA7:AA45),0)</f>
        <v>#DIV/0!</v>
      </c>
      <c r="S47" s="3528"/>
      <c r="T47" s="3528" t="e">
        <f>ROUND(PRODUCT(T46,AB7:AB45),0)</f>
        <v>#DIV/0!</v>
      </c>
      <c r="U47" s="3528"/>
      <c r="V47" s="3528" t="e">
        <f>ROUND(PRODUCT(V46,AC7:AC45),0)</f>
        <v>#DIV/0!</v>
      </c>
      <c r="W47" s="3528"/>
      <c r="X47" s="1787"/>
      <c r="Y47" s="1787"/>
      <c r="Z47" s="1787"/>
      <c r="AA47" s="1787"/>
      <c r="AB47" s="1787"/>
      <c r="AC47" s="1787"/>
    </row>
    <row r="48" spans="1:29" ht="15.75" thickBot="1">
      <c r="A48" s="1795" t="s">
        <v>2391</v>
      </c>
      <c r="B48" s="1796"/>
      <c r="C48" s="2013" t="e">
        <f>R48</f>
        <v>#DIV/0!</v>
      </c>
      <c r="D48" s="2013"/>
      <c r="E48" s="2013"/>
      <c r="F48" s="2013"/>
      <c r="G48" s="2013"/>
      <c r="H48" s="2013"/>
      <c r="I48" s="2013"/>
      <c r="J48" s="2013"/>
      <c r="K48" s="2014"/>
      <c r="L48" s="2996"/>
      <c r="P48" s="3453" t="str">
        <f>A48</f>
        <v>估价对象XX用房的比较价值（楼面单价，元/平方米）</v>
      </c>
      <c r="Q48" s="3454"/>
      <c r="R48" s="3529" t="e">
        <f>ROUND(IF(D47="简单平均",AVERAGE(R47:W47),R47*F47+T47*H47+V47*J47),0)</f>
        <v>#DIV/0!</v>
      </c>
      <c r="S48" s="3529"/>
      <c r="T48" s="3529"/>
      <c r="U48" s="3529"/>
      <c r="V48" s="3529"/>
      <c r="W48" s="3529"/>
      <c r="X48" s="1787"/>
      <c r="Y48" s="1787"/>
      <c r="Z48" s="1787"/>
      <c r="AA48" s="1787"/>
      <c r="AB48" s="1787"/>
      <c r="AC48" s="1787"/>
    </row>
    <row r="49" spans="1:14">
      <c r="G49" s="3000"/>
    </row>
    <row r="51" spans="1:14" ht="13.5" customHeight="1">
      <c r="C51" s="383" t="s">
        <v>2370</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2371</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2372</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3"/>
      <c r="L53" s="2997"/>
    </row>
    <row r="54" spans="1:14" s="1809" customFormat="1" ht="15" thickBot="1">
      <c r="B54" s="3001"/>
      <c r="C54" s="3002"/>
      <c r="K54" s="3003"/>
      <c r="L54" s="2997"/>
    </row>
    <row r="55" spans="1:14" ht="27">
      <c r="A55" s="564" t="s">
        <v>2453</v>
      </c>
      <c r="B55" s="2015" t="s">
        <v>2454</v>
      </c>
      <c r="C55" s="2016" t="s">
        <v>2455</v>
      </c>
      <c r="D55" s="2017" t="s">
        <v>2456</v>
      </c>
      <c r="E55" s="2018" t="s">
        <v>2457</v>
      </c>
      <c r="F55" s="2019" t="s">
        <v>2458</v>
      </c>
      <c r="G55" s="1914" t="s">
        <v>2459</v>
      </c>
      <c r="H55" s="1914" t="str">
        <f>项目基本情况!G8</f>
        <v>吉林省长春市</v>
      </c>
      <c r="I55" s="1591" t="s">
        <v>2460</v>
      </c>
      <c r="J55" s="2020"/>
      <c r="K55" s="1801"/>
    </row>
    <row r="56" spans="1:14" s="2027" customFormat="1">
      <c r="A56" s="2021" t="s">
        <v>2461</v>
      </c>
      <c r="B56" s="2022" t="e">
        <f>C48</f>
        <v>#DIV/0!</v>
      </c>
      <c r="C56" s="280">
        <v>1</v>
      </c>
      <c r="D56" s="2023">
        <v>1</v>
      </c>
      <c r="E56" s="2024">
        <v>120</v>
      </c>
      <c r="F56" s="2025" t="e">
        <f t="shared" ref="F56:F65" si="15">ROUND(B56*E56,0)</f>
        <v>#DIV/0!</v>
      </c>
      <c r="G56" s="2026">
        <v>1</v>
      </c>
      <c r="H56" s="2026">
        <v>1</v>
      </c>
      <c r="I56" s="1809"/>
      <c r="J56" s="1809"/>
      <c r="K56" s="3003"/>
      <c r="L56" s="2997"/>
      <c r="M56" s="1809"/>
      <c r="N56" s="1809"/>
    </row>
    <row r="57" spans="1:14" s="2027" customFormat="1">
      <c r="A57" s="2028" t="s">
        <v>2462</v>
      </c>
      <c r="B57" s="2029" t="e">
        <f>ROUND($C$48*C57*D57,0)</f>
        <v>#DIV/0!</v>
      </c>
      <c r="C57" s="50">
        <f>IF($C$55="北京市系数",G57,H57)</f>
        <v>0</v>
      </c>
      <c r="D57" s="2030">
        <v>0.25</v>
      </c>
      <c r="E57" s="2024">
        <v>0</v>
      </c>
      <c r="F57" s="2025" t="e">
        <f t="shared" si="15"/>
        <v>#DIV/0!</v>
      </c>
      <c r="G57" s="2026">
        <f>SUMIF(修正!$A$45:$A$56,项目基本情况!$F$9,修正!B45:B56)</f>
        <v>0</v>
      </c>
      <c r="H57" s="2031"/>
      <c r="I57" s="1664"/>
      <c r="J57" s="1905"/>
      <c r="K57" s="1906"/>
      <c r="L57" s="1906"/>
      <c r="M57" s="1664"/>
      <c r="N57" s="1664"/>
    </row>
    <row r="58" spans="1:14" s="2027" customFormat="1">
      <c r="A58" s="2028" t="s">
        <v>2463</v>
      </c>
      <c r="B58" s="2029" t="e">
        <f t="shared" ref="B58:B65" si="16">ROUND($C$48*C58*D58,0)</f>
        <v>#DIV/0!</v>
      </c>
      <c r="C58" s="50">
        <f t="shared" ref="C58:C65" si="17">IF($C$55="北京市系数",G58,H58)</f>
        <v>0</v>
      </c>
      <c r="D58" s="2030">
        <v>0.25</v>
      </c>
      <c r="E58" s="2024">
        <v>0</v>
      </c>
      <c r="F58" s="2025" t="e">
        <f t="shared" si="15"/>
        <v>#DIV/0!</v>
      </c>
      <c r="G58" s="2026">
        <f>SUMIF(修正!$A$45:$A$56,项目基本情况!$F$9,修正!C45:C56)</f>
        <v>0</v>
      </c>
      <c r="H58" s="2031"/>
      <c r="I58" s="1809"/>
      <c r="J58" s="1809"/>
      <c r="K58" s="3003"/>
      <c r="L58" s="2997"/>
      <c r="M58" s="1809"/>
      <c r="N58" s="1809"/>
    </row>
    <row r="59" spans="1:14" s="2027" customFormat="1">
      <c r="A59" s="2028" t="s">
        <v>2464</v>
      </c>
      <c r="B59" s="2029" t="e">
        <f t="shared" si="16"/>
        <v>#DIV/0!</v>
      </c>
      <c r="C59" s="50">
        <f t="shared" si="17"/>
        <v>0</v>
      </c>
      <c r="D59" s="2030">
        <v>0.25</v>
      </c>
      <c r="E59" s="2024">
        <v>0</v>
      </c>
      <c r="F59" s="2025" t="e">
        <f t="shared" si="15"/>
        <v>#DIV/0!</v>
      </c>
      <c r="G59" s="2026">
        <f>SUMIF(修正!$A$45:$A$56,项目基本情况!$F$9,修正!D45:D56)</f>
        <v>0</v>
      </c>
      <c r="H59" s="2031"/>
      <c r="I59" s="1664"/>
      <c r="J59" s="1905"/>
      <c r="K59" s="1906"/>
      <c r="L59" s="1906"/>
      <c r="M59" s="1664"/>
      <c r="N59" s="1664"/>
    </row>
    <row r="60" spans="1:14" s="2027" customFormat="1">
      <c r="A60" s="2028" t="s">
        <v>2465</v>
      </c>
      <c r="B60" s="2029" t="e">
        <f t="shared" si="16"/>
        <v>#DIV/0!</v>
      </c>
      <c r="C60" s="50">
        <f t="shared" si="17"/>
        <v>0</v>
      </c>
      <c r="D60" s="2030">
        <v>0.25</v>
      </c>
      <c r="E60" s="2024">
        <v>0</v>
      </c>
      <c r="F60" s="2025" t="e">
        <f t="shared" si="15"/>
        <v>#DIV/0!</v>
      </c>
      <c r="G60" s="2026">
        <f>SUMIF(修正!$A$45:$A$56,项目基本情况!$F$9,修正!E45:E56)</f>
        <v>0</v>
      </c>
      <c r="H60" s="2031"/>
      <c r="I60" s="1809"/>
      <c r="J60" s="1809"/>
      <c r="K60" s="3003"/>
      <c r="L60" s="2997"/>
      <c r="M60" s="1809"/>
      <c r="N60" s="1809"/>
    </row>
    <row r="61" spans="1:14" s="2027" customFormat="1">
      <c r="A61" s="2028" t="s">
        <v>2466</v>
      </c>
      <c r="B61" s="2029" t="e">
        <f t="shared" si="16"/>
        <v>#DIV/0!</v>
      </c>
      <c r="C61" s="50">
        <f t="shared" si="17"/>
        <v>0</v>
      </c>
      <c r="D61" s="2030">
        <v>0.25</v>
      </c>
      <c r="E61" s="2024">
        <v>0</v>
      </c>
      <c r="F61" s="2025" t="e">
        <f t="shared" si="15"/>
        <v>#DIV/0!</v>
      </c>
      <c r="G61" s="2026">
        <f>SUMIF(修正!A45:A56,项目基本情况!F9,修正!F45:F56)</f>
        <v>0</v>
      </c>
      <c r="H61" s="2031"/>
      <c r="I61" s="1664"/>
      <c r="J61" s="1905"/>
      <c r="K61" s="1906"/>
      <c r="L61" s="1906"/>
      <c r="M61" s="1664"/>
      <c r="N61" s="1664"/>
    </row>
    <row r="62" spans="1:14" s="2027" customFormat="1">
      <c r="A62" s="2028" t="s">
        <v>2467</v>
      </c>
      <c r="B62" s="2029" t="e">
        <f t="shared" si="16"/>
        <v>#DIV/0!</v>
      </c>
      <c r="C62" s="50">
        <f t="shared" si="17"/>
        <v>0</v>
      </c>
      <c r="D62" s="2030">
        <v>0.25</v>
      </c>
      <c r="E62" s="2024">
        <v>0</v>
      </c>
      <c r="F62" s="2025" t="e">
        <f t="shared" si="15"/>
        <v>#DIV/0!</v>
      </c>
      <c r="G62" s="2026">
        <f>SUMIF(修正!A45:A56,项目基本情况!F9,修正!G45:G56)</f>
        <v>0</v>
      </c>
      <c r="H62" s="2031"/>
      <c r="I62" s="1809"/>
      <c r="J62" s="1809"/>
      <c r="K62" s="3003"/>
      <c r="L62" s="2997"/>
      <c r="M62" s="1809"/>
      <c r="N62" s="1809"/>
    </row>
    <row r="63" spans="1:14" s="2027" customFormat="1">
      <c r="A63" s="2028" t="s">
        <v>2468</v>
      </c>
      <c r="B63" s="2029" t="e">
        <f t="shared" si="16"/>
        <v>#DIV/0!</v>
      </c>
      <c r="C63" s="50">
        <f>IF($C$55="北京市系数",G63,H63)</f>
        <v>0</v>
      </c>
      <c r="D63" s="2030">
        <v>0.25</v>
      </c>
      <c r="E63" s="2024">
        <v>0</v>
      </c>
      <c r="F63" s="2025" t="e">
        <f t="shared" si="15"/>
        <v>#DIV/0!</v>
      </c>
      <c r="G63" s="2026">
        <f>SUMIF(修正!A45:A56,项目基本情况!F9,修正!H45:H56)</f>
        <v>0</v>
      </c>
      <c r="H63" s="2031"/>
      <c r="I63" s="1664"/>
      <c r="J63" s="1905"/>
      <c r="K63" s="1906"/>
      <c r="L63" s="1906"/>
      <c r="M63" s="1664"/>
      <c r="N63" s="1664"/>
    </row>
    <row r="64" spans="1:14" s="2027" customFormat="1">
      <c r="A64" s="2028" t="s">
        <v>2469</v>
      </c>
      <c r="B64" s="2029" t="e">
        <f t="shared" si="16"/>
        <v>#DIV/0!</v>
      </c>
      <c r="C64" s="50">
        <f t="shared" si="17"/>
        <v>0</v>
      </c>
      <c r="D64" s="2030">
        <v>0.25</v>
      </c>
      <c r="E64" s="2024">
        <v>0</v>
      </c>
      <c r="F64" s="2025" t="e">
        <f t="shared" si="15"/>
        <v>#DIV/0!</v>
      </c>
      <c r="G64" s="2026">
        <f>G63</f>
        <v>0</v>
      </c>
      <c r="H64" s="2031"/>
      <c r="I64" s="1809"/>
      <c r="J64" s="1809"/>
      <c r="K64" s="3003"/>
      <c r="L64" s="2997"/>
      <c r="M64" s="1809"/>
      <c r="N64" s="1809"/>
    </row>
    <row r="65" spans="1:17" s="2027" customFormat="1">
      <c r="A65" s="2028" t="s">
        <v>2470</v>
      </c>
      <c r="B65" s="2029" t="e">
        <f t="shared" si="16"/>
        <v>#DIV/0!</v>
      </c>
      <c r="C65" s="50">
        <f t="shared" si="17"/>
        <v>0</v>
      </c>
      <c r="D65" s="2030">
        <v>0.25</v>
      </c>
      <c r="E65" s="2024">
        <v>0</v>
      </c>
      <c r="F65" s="2025" t="e">
        <f t="shared" si="15"/>
        <v>#DIV/0!</v>
      </c>
      <c r="G65" s="2026">
        <f>G63</f>
        <v>0</v>
      </c>
      <c r="H65" s="2031"/>
      <c r="I65" s="1664"/>
      <c r="J65" s="1905"/>
      <c r="K65" s="1906"/>
      <c r="L65" s="1906"/>
      <c r="M65" s="1664"/>
      <c r="N65" s="1664"/>
    </row>
    <row r="66" spans="1:17" s="2027" customFormat="1" ht="13.5" thickBot="1">
      <c r="A66" s="2032" t="s">
        <v>2471</v>
      </c>
      <c r="B66" s="2033" t="s">
        <v>39</v>
      </c>
      <c r="C66" s="2033" t="s">
        <v>40</v>
      </c>
      <c r="D66" s="2033" t="s">
        <v>36</v>
      </c>
      <c r="E66" s="2033">
        <f>SUM(E56:E65)</f>
        <v>120</v>
      </c>
      <c r="F66" s="2034" t="e">
        <f>SUM(F56:F65)</f>
        <v>#DIV/0!</v>
      </c>
      <c r="G66" s="2035"/>
      <c r="H66" s="2035"/>
      <c r="I66" s="3041"/>
      <c r="J66" s="3041"/>
      <c r="K66" s="3041"/>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2021-4-1</v>
      </c>
      <c r="D68" s="2036">
        <f>EDATE(C68,-3)</f>
        <v>44197</v>
      </c>
      <c r="E68" s="2036">
        <f t="shared" ref="E68:O68" si="18">EDATE(D68,-3)</f>
        <v>44105</v>
      </c>
      <c r="F68" s="2036">
        <f t="shared" si="18"/>
        <v>44013</v>
      </c>
      <c r="G68" s="2036">
        <f t="shared" si="18"/>
        <v>43922</v>
      </c>
      <c r="H68" s="2036">
        <f t="shared" si="18"/>
        <v>43831</v>
      </c>
      <c r="I68" s="2036">
        <f t="shared" si="18"/>
        <v>43739</v>
      </c>
      <c r="J68" s="2036">
        <f t="shared" si="18"/>
        <v>43647</v>
      </c>
      <c r="K68" s="2036">
        <f t="shared" si="18"/>
        <v>43556</v>
      </c>
      <c r="L68" s="2036">
        <f t="shared" si="18"/>
        <v>43466</v>
      </c>
      <c r="M68" s="2036">
        <f t="shared" si="18"/>
        <v>43374</v>
      </c>
      <c r="N68" s="2036">
        <f t="shared" si="18"/>
        <v>43282</v>
      </c>
      <c r="O68" s="2036">
        <f t="shared" si="18"/>
        <v>43191</v>
      </c>
    </row>
    <row r="69" spans="1:17" ht="21.75" thickBot="1">
      <c r="A69" s="1812" t="s">
        <v>2373</v>
      </c>
      <c r="B69" s="1787"/>
      <c r="C69" s="1813"/>
      <c r="D69" s="1813"/>
      <c r="E69" s="1813"/>
      <c r="F69" s="1813"/>
      <c r="G69" s="1813"/>
      <c r="H69" s="1813"/>
      <c r="I69" s="2038"/>
      <c r="J69" s="2038"/>
      <c r="K69" s="2039"/>
      <c r="L69" s="2040"/>
      <c r="M69" s="2038"/>
      <c r="N69" s="2038"/>
      <c r="O69" s="2038"/>
      <c r="P69" s="2041"/>
      <c r="Q69" s="1817"/>
    </row>
    <row r="70" spans="1:17" s="2046" customFormat="1" ht="15">
      <c r="A70" s="2042" t="s">
        <v>2472</v>
      </c>
      <c r="B70" s="2043"/>
      <c r="C70" s="2044" t="str">
        <f>YEAR(C68)&amp;"-"&amp;ROUNDUP(MONTH(C68)/3,0)</f>
        <v>2021-2</v>
      </c>
      <c r="D70" s="2044" t="str">
        <f>YEAR(D68)&amp;"-"&amp;ROUNDUP(MONTH(D68)/3,0)</f>
        <v>2021-1</v>
      </c>
      <c r="E70" s="2044" t="str">
        <f t="shared" ref="E70:O70" si="19">YEAR(E68)&amp;"-"&amp;ROUNDUP(MONTH(E68)/3,0)</f>
        <v>2020-4</v>
      </c>
      <c r="F70" s="2044" t="str">
        <f t="shared" si="19"/>
        <v>2020-3</v>
      </c>
      <c r="G70" s="2044" t="str">
        <f t="shared" si="19"/>
        <v>2020-2</v>
      </c>
      <c r="H70" s="2044" t="str">
        <f t="shared" si="19"/>
        <v>2020-1</v>
      </c>
      <c r="I70" s="2044" t="str">
        <f t="shared" si="19"/>
        <v>2019-4</v>
      </c>
      <c r="J70" s="2044" t="str">
        <f t="shared" si="19"/>
        <v>2019-3</v>
      </c>
      <c r="K70" s="2044" t="str">
        <f t="shared" si="19"/>
        <v>2019-2</v>
      </c>
      <c r="L70" s="2044" t="str">
        <f t="shared" si="19"/>
        <v>2019-1</v>
      </c>
      <c r="M70" s="2044" t="str">
        <f t="shared" si="19"/>
        <v>2018-4</v>
      </c>
      <c r="N70" s="2044" t="str">
        <f t="shared" si="19"/>
        <v>2018-3</v>
      </c>
      <c r="O70" s="2044" t="str">
        <f t="shared" si="19"/>
        <v>2018-2</v>
      </c>
      <c r="P70" s="2045"/>
    </row>
    <row r="71" spans="1:17" s="1682" customFormat="1" ht="29.25" customHeight="1">
      <c r="A71" s="2047" t="s">
        <v>2473</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2" customFormat="1" ht="15.75" thickBot="1">
      <c r="A72" s="1830" t="s">
        <v>2293</v>
      </c>
      <c r="B72" s="1831"/>
      <c r="C72" s="1832"/>
      <c r="D72" s="1833"/>
      <c r="E72" s="1833"/>
      <c r="F72" s="1833"/>
      <c r="G72" s="1833"/>
      <c r="H72" s="1833"/>
      <c r="I72" s="1833"/>
      <c r="J72" s="1833"/>
      <c r="K72" s="1833"/>
      <c r="L72" s="1833"/>
      <c r="M72" s="1834"/>
      <c r="N72" s="1833"/>
      <c r="O72" s="2051"/>
      <c r="P72" s="1817"/>
      <c r="Q72" s="1817"/>
    </row>
    <row r="73" spans="1:17" s="1682" customFormat="1" ht="15">
      <c r="A73" s="1835" t="s">
        <v>2258</v>
      </c>
      <c r="B73" s="1825"/>
      <c r="C73" s="1836" t="s">
        <v>2259</v>
      </c>
      <c r="D73" s="409"/>
      <c r="E73" s="409"/>
      <c r="F73" s="409"/>
      <c r="G73" s="409"/>
      <c r="H73" s="409"/>
      <c r="I73" s="409"/>
      <c r="J73" s="409"/>
      <c r="K73" s="409"/>
      <c r="L73" s="409"/>
      <c r="M73" s="1837"/>
      <c r="N73" s="3008"/>
      <c r="O73" s="3008"/>
      <c r="P73" s="2052"/>
      <c r="Q73" s="1817"/>
    </row>
    <row r="74" spans="1:17" s="1682" customFormat="1" ht="15.75" thickBot="1">
      <c r="A74" s="1835"/>
      <c r="B74" s="1825"/>
      <c r="C74" s="1826">
        <v>100</v>
      </c>
      <c r="D74" s="1827"/>
      <c r="E74" s="1827"/>
      <c r="F74" s="1827"/>
      <c r="G74" s="1827"/>
      <c r="H74" s="1827"/>
      <c r="I74" s="1827"/>
      <c r="J74" s="1827"/>
      <c r="K74" s="1827"/>
      <c r="L74" s="1827"/>
      <c r="M74" s="1841"/>
      <c r="N74" s="3008"/>
      <c r="O74" s="3008"/>
      <c r="P74" s="1817"/>
      <c r="Q74" s="1817"/>
    </row>
    <row r="75" spans="1:17">
      <c r="A75" s="1842" t="s">
        <v>2296</v>
      </c>
      <c r="B75" s="1843" t="s">
        <v>2262</v>
      </c>
      <c r="C75" s="1845"/>
      <c r="D75" s="1845"/>
      <c r="E75" s="1845"/>
      <c r="F75" s="1845"/>
      <c r="G75" s="1845"/>
      <c r="H75" s="1845"/>
      <c r="I75" s="1845"/>
      <c r="J75" s="1845"/>
      <c r="K75" s="417"/>
      <c r="L75" s="417"/>
      <c r="M75" s="1846"/>
      <c r="N75" s="3009"/>
      <c r="O75" s="3009"/>
      <c r="P75" s="2053"/>
      <c r="Q75" s="1817"/>
    </row>
    <row r="76" spans="1:17" ht="15.75" thickBot="1">
      <c r="A76" s="1849"/>
      <c r="B76" s="1850"/>
      <c r="C76" s="1851"/>
      <c r="D76" s="1851"/>
      <c r="E76" s="1851"/>
      <c r="F76" s="1851"/>
      <c r="G76" s="1851"/>
      <c r="H76" s="1851"/>
      <c r="I76" s="1851"/>
      <c r="J76" s="1851"/>
      <c r="K76" s="1851"/>
      <c r="L76" s="1851"/>
      <c r="M76" s="1852"/>
      <c r="N76" s="3010"/>
      <c r="O76" s="3010"/>
      <c r="P76" s="2053"/>
      <c r="Q76" s="1817"/>
    </row>
    <row r="77" spans="1:17" ht="27.75" thickTop="1">
      <c r="A77" s="1849"/>
      <c r="B77" s="1854" t="s">
        <v>2265</v>
      </c>
      <c r="C77" s="1855"/>
      <c r="D77" s="1855"/>
      <c r="E77" s="1855"/>
      <c r="F77" s="1855"/>
      <c r="G77" s="1855"/>
      <c r="H77" s="1855"/>
      <c r="I77" s="1855"/>
      <c r="J77" s="1855"/>
      <c r="K77" s="428"/>
      <c r="L77" s="428"/>
      <c r="M77" s="1856"/>
      <c r="N77" s="3009"/>
      <c r="O77" s="3009"/>
      <c r="P77" s="2053"/>
      <c r="Q77" s="1817"/>
    </row>
    <row r="78" spans="1:17" ht="15.75" thickBot="1">
      <c r="A78" s="1849"/>
      <c r="B78" s="1857"/>
      <c r="C78" s="1858"/>
      <c r="D78" s="1858"/>
      <c r="E78" s="1858"/>
      <c r="F78" s="1858"/>
      <c r="G78" s="1858"/>
      <c r="H78" s="1858"/>
      <c r="I78" s="1858"/>
      <c r="J78" s="1858"/>
      <c r="K78" s="1858"/>
      <c r="L78" s="1858"/>
      <c r="M78" s="1859"/>
      <c r="N78" s="3010"/>
      <c r="O78" s="3010"/>
      <c r="P78" s="2053"/>
      <c r="Q78" s="1817"/>
    </row>
    <row r="79" spans="1:17" ht="15.75" thickTop="1">
      <c r="A79" s="1849"/>
      <c r="B79" s="1860" t="s">
        <v>2266</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8" t="str">
        <f>M80&amp;"（含）"&amp;"-"&amp;P80</f>
        <v>（含）-</v>
      </c>
      <c r="N79" s="3010"/>
      <c r="O79" s="3010"/>
      <c r="P79" s="2053"/>
      <c r="Q79" s="1817"/>
    </row>
    <row r="80" spans="1:17" ht="15">
      <c r="A80" s="1849"/>
      <c r="B80" s="1862"/>
      <c r="C80" s="1863"/>
      <c r="D80" s="1863"/>
      <c r="E80" s="1863"/>
      <c r="F80" s="1863"/>
      <c r="G80" s="1863"/>
      <c r="H80" s="1863"/>
      <c r="I80" s="1863"/>
      <c r="J80" s="1863"/>
      <c r="K80" s="438"/>
      <c r="L80" s="438"/>
      <c r="M80" s="1864"/>
      <c r="N80" s="3009"/>
      <c r="O80" s="3009"/>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0"/>
      <c r="O81" s="3010"/>
      <c r="P81" s="2053"/>
      <c r="Q81" s="1817"/>
    </row>
    <row r="82" spans="1:17" s="1767" customFormat="1" ht="15.75" thickTop="1">
      <c r="A82" s="1865"/>
      <c r="B82" s="1854" t="str">
        <f>B12</f>
        <v>配建</v>
      </c>
      <c r="C82" s="468"/>
      <c r="D82" s="468"/>
      <c r="E82" s="468"/>
      <c r="F82" s="468"/>
      <c r="G82" s="468"/>
      <c r="H82" s="443"/>
      <c r="I82" s="443"/>
      <c r="J82" s="443"/>
      <c r="K82" s="443"/>
      <c r="L82" s="443"/>
      <c r="M82" s="1866"/>
      <c r="N82" s="3011"/>
      <c r="O82" s="3011"/>
      <c r="P82" s="2054"/>
      <c r="Q82" s="1869"/>
    </row>
    <row r="83" spans="1:17" s="1767" customFormat="1" ht="15.75" thickBot="1">
      <c r="A83" s="1865"/>
      <c r="B83" s="1857"/>
      <c r="C83" s="1870"/>
      <c r="D83" s="1851"/>
      <c r="E83" s="1851"/>
      <c r="F83" s="1851"/>
      <c r="G83" s="1851"/>
      <c r="H83" s="1851"/>
      <c r="I83" s="1851"/>
      <c r="J83" s="1851"/>
      <c r="K83" s="1851"/>
      <c r="L83" s="1851"/>
      <c r="M83" s="1852"/>
      <c r="N83" s="3010"/>
      <c r="O83" s="3010"/>
      <c r="P83" s="2054"/>
      <c r="Q83" s="1869"/>
    </row>
    <row r="84" spans="1:17" s="1767" customFormat="1" ht="15.75" thickTop="1">
      <c r="A84" s="1865"/>
      <c r="B84" s="1854">
        <f>B13</f>
        <v>111</v>
      </c>
      <c r="C84" s="468"/>
      <c r="D84" s="468"/>
      <c r="E84" s="468"/>
      <c r="F84" s="468"/>
      <c r="G84" s="468"/>
      <c r="H84" s="443"/>
      <c r="I84" s="443"/>
      <c r="J84" s="443"/>
      <c r="K84" s="443"/>
      <c r="L84" s="443"/>
      <c r="M84" s="1866"/>
      <c r="N84" s="3011"/>
      <c r="O84" s="3011"/>
      <c r="P84" s="2055"/>
      <c r="Q84" s="1872"/>
    </row>
    <row r="85" spans="1:17" s="1767" customFormat="1" ht="15.75" thickBot="1">
      <c r="A85" s="1865"/>
      <c r="B85" s="1857"/>
      <c r="C85" s="1870"/>
      <c r="D85" s="1870"/>
      <c r="E85" s="1870"/>
      <c r="F85" s="1870"/>
      <c r="G85" s="1870"/>
      <c r="H85" s="1873"/>
      <c r="I85" s="1873"/>
      <c r="J85" s="1873"/>
      <c r="K85" s="1873"/>
      <c r="L85" s="1873"/>
      <c r="M85" s="1874"/>
      <c r="N85" s="3011"/>
      <c r="O85" s="3011"/>
      <c r="P85" s="2054"/>
      <c r="Q85" s="1869"/>
    </row>
    <row r="86" spans="1:17" s="1767" customFormat="1" ht="15.75" thickTop="1">
      <c r="A86" s="1865"/>
      <c r="B86" s="1860">
        <f>B14</f>
        <v>111</v>
      </c>
      <c r="C86" s="409"/>
      <c r="D86" s="409"/>
      <c r="E86" s="409"/>
      <c r="F86" s="409"/>
      <c r="G86" s="409"/>
      <c r="H86" s="453"/>
      <c r="I86" s="453"/>
      <c r="J86" s="453"/>
      <c r="K86" s="453"/>
      <c r="L86" s="453"/>
      <c r="M86" s="1875"/>
      <c r="N86" s="3011"/>
      <c r="O86" s="3011"/>
      <c r="P86" s="2054"/>
      <c r="Q86" s="1869"/>
    </row>
    <row r="87" spans="1:17" s="1767" customFormat="1" ht="15.75" thickBot="1">
      <c r="A87" s="1876"/>
      <c r="B87" s="1877"/>
      <c r="C87" s="1878"/>
      <c r="D87" s="1878"/>
      <c r="E87" s="1878"/>
      <c r="F87" s="1878"/>
      <c r="G87" s="1878"/>
      <c r="H87" s="1879"/>
      <c r="I87" s="1879"/>
      <c r="J87" s="1879"/>
      <c r="K87" s="1879"/>
      <c r="L87" s="1879"/>
      <c r="M87" s="1880"/>
      <c r="N87" s="3011"/>
      <c r="O87" s="3011"/>
      <c r="P87" s="2054"/>
      <c r="Q87" s="1869"/>
    </row>
    <row r="88" spans="1:17">
      <c r="A88" s="1842" t="s">
        <v>2267</v>
      </c>
      <c r="B88" s="1843" t="s">
        <v>2304</v>
      </c>
      <c r="C88" s="1881" t="s">
        <v>2305</v>
      </c>
      <c r="D88" s="1881" t="s">
        <v>2306</v>
      </c>
      <c r="E88" s="1881" t="s">
        <v>2307</v>
      </c>
      <c r="F88" s="1881" t="s">
        <v>2308</v>
      </c>
      <c r="G88" s="1881" t="s">
        <v>2309</v>
      </c>
      <c r="H88" s="1844"/>
      <c r="I88" s="1844"/>
      <c r="J88" s="1844"/>
      <c r="K88" s="463"/>
      <c r="L88" s="463"/>
      <c r="M88" s="1882"/>
      <c r="N88" s="3009"/>
      <c r="O88" s="3009"/>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0"/>
      <c r="O89" s="3010"/>
      <c r="P89" s="2053"/>
      <c r="Q89" s="1817"/>
    </row>
    <row r="90" spans="1:17" ht="15.75" thickTop="1">
      <c r="A90" s="1849"/>
      <c r="B90" s="1854" t="s">
        <v>2474</v>
      </c>
      <c r="C90" s="579" t="s">
        <v>2305</v>
      </c>
      <c r="D90" s="579" t="s">
        <v>2306</v>
      </c>
      <c r="E90" s="579" t="s">
        <v>2307</v>
      </c>
      <c r="F90" s="579" t="s">
        <v>2308</v>
      </c>
      <c r="G90" s="579" t="s">
        <v>2309</v>
      </c>
      <c r="H90" s="1855"/>
      <c r="I90" s="1855"/>
      <c r="J90" s="1855"/>
      <c r="K90" s="428"/>
      <c r="L90" s="428"/>
      <c r="M90" s="1856"/>
      <c r="N90" s="3009"/>
      <c r="O90" s="3009"/>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0"/>
      <c r="O91" s="3010"/>
      <c r="P91" s="2053"/>
      <c r="Q91" s="1817"/>
    </row>
    <row r="92" spans="1:17" ht="15.75" thickTop="1">
      <c r="A92" s="1849"/>
      <c r="B92" s="1854" t="s">
        <v>2392</v>
      </c>
      <c r="C92" s="579" t="s">
        <v>2305</v>
      </c>
      <c r="D92" s="579" t="s">
        <v>2306</v>
      </c>
      <c r="E92" s="579" t="s">
        <v>2307</v>
      </c>
      <c r="F92" s="579" t="s">
        <v>2308</v>
      </c>
      <c r="G92" s="579" t="s">
        <v>2309</v>
      </c>
      <c r="H92" s="1855"/>
      <c r="I92" s="1855"/>
      <c r="J92" s="1855"/>
      <c r="K92" s="428"/>
      <c r="L92" s="428"/>
      <c r="M92" s="1856"/>
      <c r="N92" s="3009"/>
      <c r="O92" s="3009"/>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0"/>
      <c r="O93" s="3010"/>
      <c r="P93" s="2053"/>
      <c r="Q93" s="1817"/>
    </row>
    <row r="94" spans="1:17" ht="15.75" thickTop="1">
      <c r="A94" s="1849"/>
      <c r="B94" s="1854" t="s">
        <v>2310</v>
      </c>
      <c r="C94" s="579" t="s">
        <v>2305</v>
      </c>
      <c r="D94" s="579" t="s">
        <v>2306</v>
      </c>
      <c r="E94" s="579" t="s">
        <v>2307</v>
      </c>
      <c r="F94" s="579" t="s">
        <v>2308</v>
      </c>
      <c r="G94" s="579" t="s">
        <v>2309</v>
      </c>
      <c r="H94" s="1855"/>
      <c r="I94" s="1855"/>
      <c r="J94" s="1855"/>
      <c r="K94" s="428"/>
      <c r="L94" s="428"/>
      <c r="M94" s="1856"/>
      <c r="N94" s="3009"/>
      <c r="O94" s="3009"/>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0"/>
      <c r="O95" s="3010"/>
      <c r="P95" s="2053"/>
      <c r="Q95" s="1817"/>
    </row>
    <row r="96" spans="1:17" s="1682" customFormat="1" ht="15.75" thickTop="1">
      <c r="A96" s="1885"/>
      <c r="B96" s="1854" t="s">
        <v>2475</v>
      </c>
      <c r="C96" s="579" t="s">
        <v>2305</v>
      </c>
      <c r="D96" s="579" t="s">
        <v>2306</v>
      </c>
      <c r="E96" s="579" t="s">
        <v>2307</v>
      </c>
      <c r="F96" s="579" t="s">
        <v>2308</v>
      </c>
      <c r="G96" s="579" t="s">
        <v>2309</v>
      </c>
      <c r="H96" s="579"/>
      <c r="I96" s="579"/>
      <c r="J96" s="579"/>
      <c r="K96" s="579"/>
      <c r="L96" s="579"/>
      <c r="M96" s="2056"/>
      <c r="N96" s="3008"/>
      <c r="O96" s="3008"/>
      <c r="P96" s="2053"/>
      <c r="Q96" s="1817"/>
    </row>
    <row r="97" spans="1:17" s="1682"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0"/>
      <c r="O97" s="3010"/>
      <c r="P97" s="2053"/>
      <c r="Q97" s="1817"/>
    </row>
    <row r="98" spans="1:17" s="1682" customFormat="1" ht="27.75" thickTop="1">
      <c r="A98" s="1885"/>
      <c r="B98" s="1854" t="s">
        <v>2476</v>
      </c>
      <c r="C98" s="1881" t="s">
        <v>2305</v>
      </c>
      <c r="D98" s="1881" t="s">
        <v>2306</v>
      </c>
      <c r="E98" s="1881" t="s">
        <v>2307</v>
      </c>
      <c r="F98" s="1881" t="s">
        <v>2308</v>
      </c>
      <c r="G98" s="1881" t="s">
        <v>2309</v>
      </c>
      <c r="H98" s="579"/>
      <c r="I98" s="579"/>
      <c r="J98" s="579"/>
      <c r="K98" s="579"/>
      <c r="L98" s="579"/>
      <c r="M98" s="2056"/>
      <c r="N98" s="3008"/>
      <c r="O98" s="3008"/>
      <c r="P98" s="2053"/>
      <c r="Q98" s="1817"/>
    </row>
    <row r="99" spans="1:17" s="1682"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0"/>
      <c r="O99" s="3010"/>
      <c r="P99" s="2053"/>
      <c r="Q99" s="1817"/>
    </row>
    <row r="100" spans="1:17" s="1682" customFormat="1" ht="15.75" thickTop="1">
      <c r="A100" s="1885"/>
      <c r="B100" s="1860" t="s">
        <v>2353</v>
      </c>
      <c r="C100" s="1881" t="s">
        <v>2305</v>
      </c>
      <c r="D100" s="1881" t="s">
        <v>2306</v>
      </c>
      <c r="E100" s="1881" t="s">
        <v>2307</v>
      </c>
      <c r="F100" s="1881" t="s">
        <v>2308</v>
      </c>
      <c r="G100" s="1881" t="s">
        <v>2309</v>
      </c>
      <c r="H100" s="1855"/>
      <c r="I100" s="1855"/>
      <c r="J100" s="1855"/>
      <c r="K100" s="1855"/>
      <c r="L100" s="1855"/>
      <c r="M100" s="1883"/>
      <c r="N100" s="3010"/>
      <c r="O100" s="3010"/>
      <c r="P100" s="2053"/>
      <c r="Q100" s="1817"/>
    </row>
    <row r="101" spans="1:17" s="1682"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2"/>
      <c r="N101" s="3010"/>
      <c r="O101" s="3010"/>
      <c r="P101" s="2053"/>
      <c r="Q101" s="1817"/>
    </row>
    <row r="102" spans="1:17" s="1767" customFormat="1" ht="15.75" thickTop="1">
      <c r="A102" s="1865"/>
      <c r="B102" s="1854" t="s">
        <v>2354</v>
      </c>
      <c r="C102" s="1855" t="s">
        <v>2312</v>
      </c>
      <c r="D102" s="1855" t="s">
        <v>2313</v>
      </c>
      <c r="E102" s="1855" t="s">
        <v>2314</v>
      </c>
      <c r="F102" s="1855" t="s">
        <v>2315</v>
      </c>
      <c r="G102" s="1855" t="s">
        <v>2316</v>
      </c>
      <c r="H102" s="489"/>
      <c r="I102" s="489"/>
      <c r="J102" s="489"/>
      <c r="K102" s="489"/>
      <c r="L102" s="489"/>
      <c r="M102" s="1900"/>
      <c r="N102" s="3011"/>
      <c r="O102" s="3011"/>
      <c r="P102" s="2054"/>
      <c r="Q102" s="1869"/>
    </row>
    <row r="103" spans="1:17" s="1767"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1"/>
      <c r="O103" s="3011"/>
      <c r="P103" s="2054"/>
      <c r="Q103" s="1869"/>
    </row>
    <row r="104" spans="1:17" ht="15.75" thickTop="1">
      <c r="A104" s="1849"/>
      <c r="B104" s="1854" t="str">
        <f>B31</f>
        <v>临街状况</v>
      </c>
      <c r="C104" s="1855" t="s">
        <v>2477</v>
      </c>
      <c r="D104" s="1855" t="s">
        <v>2478</v>
      </c>
      <c r="E104" s="1855" t="s">
        <v>2479</v>
      </c>
      <c r="F104" s="1855" t="s">
        <v>2480</v>
      </c>
      <c r="G104" s="1855"/>
      <c r="H104" s="1855"/>
      <c r="I104" s="1855"/>
      <c r="J104" s="1855"/>
      <c r="K104" s="428"/>
      <c r="L104" s="428"/>
      <c r="M104" s="1856"/>
      <c r="N104" s="3009"/>
      <c r="O104" s="3009"/>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0"/>
      <c r="O105" s="3010"/>
      <c r="P105" s="2053"/>
      <c r="Q105" s="1817"/>
    </row>
    <row r="106" spans="1:17" ht="27.75" thickTop="1">
      <c r="A106" s="1849"/>
      <c r="B106" s="1854" t="s">
        <v>2385</v>
      </c>
      <c r="C106" s="468"/>
      <c r="D106" s="468"/>
      <c r="E106" s="468"/>
      <c r="F106" s="468"/>
      <c r="G106" s="468"/>
      <c r="H106" s="1575"/>
      <c r="I106" s="1575"/>
      <c r="J106" s="1575"/>
      <c r="K106" s="473"/>
      <c r="L106" s="473"/>
      <c r="M106" s="1889"/>
      <c r="N106" s="3009"/>
      <c r="O106" s="3009"/>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0"/>
      <c r="O107" s="3010"/>
      <c r="P107" s="2053"/>
      <c r="Q107" s="1817"/>
    </row>
    <row r="108" spans="1:17" ht="15.75" thickTop="1">
      <c r="A108" s="1849"/>
      <c r="B108" s="1854" t="s">
        <v>2446</v>
      </c>
      <c r="C108" s="1575"/>
      <c r="D108" s="1575"/>
      <c r="E108" s="1575"/>
      <c r="F108" s="1575"/>
      <c r="G108" s="1575"/>
      <c r="H108" s="1575"/>
      <c r="I108" s="1575"/>
      <c r="J108" s="1575"/>
      <c r="K108" s="473"/>
      <c r="L108" s="473"/>
      <c r="M108" s="1889"/>
      <c r="N108" s="3009"/>
      <c r="O108" s="3009"/>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0"/>
      <c r="O109" s="3010"/>
      <c r="P109" s="2053"/>
      <c r="Q109" s="1817"/>
    </row>
    <row r="110" spans="1:17" ht="15.75" thickTop="1">
      <c r="A110" s="1849"/>
      <c r="B110" s="1860">
        <f>B35</f>
        <v>111</v>
      </c>
      <c r="C110" s="468"/>
      <c r="D110" s="468"/>
      <c r="E110" s="468"/>
      <c r="F110" s="468"/>
      <c r="G110" s="1890"/>
      <c r="H110" s="1890"/>
      <c r="I110" s="1890"/>
      <c r="J110" s="1890"/>
      <c r="K110" s="477"/>
      <c r="L110" s="477"/>
      <c r="M110" s="1891"/>
      <c r="N110" s="3009"/>
      <c r="O110" s="3009"/>
      <c r="P110" s="2053"/>
      <c r="Q110" s="1817"/>
    </row>
    <row r="111" spans="1:17" ht="15.75" thickBot="1">
      <c r="A111" s="1849"/>
      <c r="B111" s="1877"/>
      <c r="C111" s="1870"/>
      <c r="D111" s="1870"/>
      <c r="E111" s="1870"/>
      <c r="F111" s="1870"/>
      <c r="G111" s="1893"/>
      <c r="H111" s="1893"/>
      <c r="I111" s="1893"/>
      <c r="J111" s="1893"/>
      <c r="K111" s="1893"/>
      <c r="L111" s="1893"/>
      <c r="M111" s="1894"/>
      <c r="N111" s="3010"/>
      <c r="O111" s="3010"/>
      <c r="P111" s="2053"/>
      <c r="Q111" s="1817"/>
    </row>
    <row r="112" spans="1:17" ht="15" thickTop="1">
      <c r="A112" s="1990"/>
      <c r="B112" s="1854">
        <f>B36</f>
        <v>111</v>
      </c>
      <c r="C112" s="409"/>
      <c r="D112" s="409"/>
      <c r="E112" s="409"/>
      <c r="F112" s="409"/>
      <c r="G112" s="1575"/>
      <c r="H112" s="1575"/>
      <c r="I112" s="1575"/>
      <c r="J112" s="1575"/>
      <c r="K112" s="473"/>
      <c r="L112" s="473"/>
      <c r="M112" s="1889"/>
      <c r="N112" s="3009"/>
      <c r="O112" s="3009"/>
      <c r="P112" s="2053"/>
      <c r="Q112" s="1817"/>
    </row>
    <row r="113" spans="1:17" ht="15.75" thickBot="1">
      <c r="A113" s="1849"/>
      <c r="B113" s="1857"/>
      <c r="C113" s="1878"/>
      <c r="D113" s="1878"/>
      <c r="E113" s="1878"/>
      <c r="F113" s="1878"/>
      <c r="G113" s="1851"/>
      <c r="H113" s="1851"/>
      <c r="I113" s="1851"/>
      <c r="J113" s="1851"/>
      <c r="K113" s="1851"/>
      <c r="L113" s="1851"/>
      <c r="M113" s="1852"/>
      <c r="N113" s="3010"/>
      <c r="O113" s="3010"/>
      <c r="P113" s="2053"/>
      <c r="Q113" s="1817"/>
    </row>
    <row r="114" spans="1:17" s="1767" customFormat="1" ht="15" thickTop="1">
      <c r="A114" s="1895"/>
      <c r="B114" s="1896">
        <f>B37</f>
        <v>111</v>
      </c>
      <c r="C114" s="1897"/>
      <c r="D114" s="1897"/>
      <c r="E114" s="1897"/>
      <c r="F114" s="1897"/>
      <c r="G114" s="1897"/>
      <c r="H114" s="1897"/>
      <c r="I114" s="1897"/>
      <c r="J114" s="485"/>
      <c r="K114" s="485"/>
      <c r="L114" s="485"/>
      <c r="M114" s="1898"/>
      <c r="N114" s="3011"/>
      <c r="O114" s="3011"/>
      <c r="P114" s="2054"/>
      <c r="Q114" s="1869"/>
    </row>
    <row r="115" spans="1:17" s="1767" customFormat="1" ht="15.75" thickBot="1">
      <c r="A115" s="1865"/>
      <c r="B115" s="1860"/>
      <c r="C115" s="1827"/>
      <c r="D115" s="2057"/>
      <c r="E115" s="2057"/>
      <c r="F115" s="2057"/>
      <c r="G115" s="2057"/>
      <c r="H115" s="2057"/>
      <c r="I115" s="2057"/>
      <c r="J115" s="2057"/>
      <c r="K115" s="2057"/>
      <c r="L115" s="2057"/>
      <c r="M115" s="2058"/>
      <c r="N115" s="3010"/>
      <c r="O115" s="3010"/>
      <c r="P115" s="2054"/>
      <c r="Q115" s="1869"/>
    </row>
    <row r="116" spans="1:17">
      <c r="A116" s="1842" t="s">
        <v>2271</v>
      </c>
      <c r="B116" s="1843" t="s">
        <v>2481</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59" t="str">
        <f>M117&amp;"(含)"&amp;"-"&amp;P117</f>
        <v>(含)-</v>
      </c>
      <c r="N116" s="3009"/>
      <c r="O116" s="3009"/>
      <c r="P116" s="2053"/>
      <c r="Q116" s="1817"/>
    </row>
    <row r="117" spans="1:17" ht="15">
      <c r="A117" s="1849"/>
      <c r="B117" s="1860"/>
      <c r="C117" s="1897"/>
      <c r="D117" s="1897"/>
      <c r="E117" s="1897"/>
      <c r="F117" s="1897"/>
      <c r="G117" s="1897"/>
      <c r="H117" s="1897"/>
      <c r="I117" s="1897"/>
      <c r="J117" s="485"/>
      <c r="K117" s="485"/>
      <c r="L117" s="485"/>
      <c r="M117" s="1898"/>
      <c r="N117" s="3009"/>
      <c r="O117" s="3009"/>
      <c r="P117" s="2053"/>
      <c r="Q117" s="1817"/>
    </row>
    <row r="118" spans="1:17" ht="15.75" thickBot="1">
      <c r="A118" s="1849"/>
      <c r="B118" s="1857"/>
      <c r="C118" s="1878"/>
      <c r="D118" s="1893"/>
      <c r="E118" s="1893"/>
      <c r="F118" s="1893"/>
      <c r="G118" s="1893"/>
      <c r="H118" s="1893"/>
      <c r="I118" s="1893"/>
      <c r="J118" s="1893"/>
      <c r="K118" s="1893"/>
      <c r="L118" s="1893"/>
      <c r="M118" s="1894"/>
      <c r="N118" s="3010"/>
      <c r="O118" s="3010"/>
      <c r="P118" s="2053"/>
      <c r="Q118" s="1817"/>
    </row>
    <row r="119" spans="1:17" ht="15" thickTop="1">
      <c r="A119" s="1899"/>
      <c r="B119" s="1854" t="s">
        <v>2482</v>
      </c>
      <c r="C119" s="1575"/>
      <c r="D119" s="1575"/>
      <c r="E119" s="1575"/>
      <c r="F119" s="1575"/>
      <c r="G119" s="1575"/>
      <c r="H119" s="1575"/>
      <c r="I119" s="1575"/>
      <c r="J119" s="1575"/>
      <c r="K119" s="473"/>
      <c r="L119" s="473"/>
      <c r="M119" s="1889"/>
      <c r="N119" s="3009"/>
      <c r="O119" s="3009"/>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0"/>
      <c r="O120" s="3010"/>
      <c r="P120" s="2053"/>
      <c r="Q120" s="1817"/>
    </row>
    <row r="121" spans="1:17" ht="15" thickTop="1">
      <c r="A121" s="1899"/>
      <c r="B121" s="1854" t="s">
        <v>2483</v>
      </c>
      <c r="C121" s="468"/>
      <c r="D121" s="468"/>
      <c r="E121" s="468"/>
      <c r="F121" s="1575"/>
      <c r="G121" s="1575"/>
      <c r="H121" s="1575"/>
      <c r="I121" s="1575"/>
      <c r="J121" s="1575"/>
      <c r="K121" s="473"/>
      <c r="L121" s="473"/>
      <c r="M121" s="1889"/>
      <c r="N121" s="3009"/>
      <c r="O121" s="3009"/>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0"/>
      <c r="O122" s="3010"/>
      <c r="P122" s="2053"/>
      <c r="Q122" s="1817"/>
    </row>
    <row r="123" spans="1:17" s="1767" customFormat="1" ht="15" thickTop="1">
      <c r="A123" s="1895"/>
      <c r="B123" s="1854" t="s">
        <v>2484</v>
      </c>
      <c r="C123" s="468"/>
      <c r="D123" s="468"/>
      <c r="E123" s="468"/>
      <c r="F123" s="468"/>
      <c r="G123" s="468"/>
      <c r="H123" s="1575"/>
      <c r="I123" s="1575"/>
      <c r="J123" s="1575"/>
      <c r="K123" s="473"/>
      <c r="L123" s="473"/>
      <c r="M123" s="1889"/>
      <c r="N123" s="3011"/>
      <c r="O123" s="3011"/>
      <c r="P123" s="2054"/>
      <c r="Q123" s="1869"/>
    </row>
    <row r="124" spans="1:17" s="1767"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1"/>
      <c r="O124" s="3011"/>
      <c r="P124" s="2054"/>
      <c r="Q124" s="1869"/>
    </row>
    <row r="125" spans="1:17" ht="15" thickTop="1">
      <c r="A125" s="1899"/>
      <c r="B125" s="1854" t="s">
        <v>2485</v>
      </c>
      <c r="C125" s="468"/>
      <c r="D125" s="468"/>
      <c r="E125" s="1575"/>
      <c r="F125" s="1575"/>
      <c r="G125" s="1575"/>
      <c r="H125" s="1575"/>
      <c r="I125" s="1575"/>
      <c r="J125" s="1575"/>
      <c r="K125" s="473"/>
      <c r="L125" s="473"/>
      <c r="M125" s="1889"/>
      <c r="N125" s="3009"/>
      <c r="O125" s="3009"/>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0"/>
      <c r="O126" s="3010"/>
      <c r="P126" s="2053"/>
      <c r="Q126" s="1817"/>
    </row>
    <row r="127" spans="1:17" ht="15" thickTop="1">
      <c r="A127" s="1899"/>
      <c r="B127" s="1854">
        <f>B43</f>
        <v>111</v>
      </c>
      <c r="C127" s="468"/>
      <c r="D127" s="468"/>
      <c r="E127" s="468"/>
      <c r="F127" s="468"/>
      <c r="G127" s="468"/>
      <c r="H127" s="1575"/>
      <c r="I127" s="1575"/>
      <c r="J127" s="1575"/>
      <c r="K127" s="473"/>
      <c r="L127" s="473"/>
      <c r="M127" s="1889"/>
      <c r="N127" s="3009"/>
      <c r="O127" s="3009"/>
      <c r="P127" s="2053"/>
      <c r="Q127" s="1817"/>
    </row>
    <row r="128" spans="1:17" ht="15.75" thickBot="1">
      <c r="A128" s="1849"/>
      <c r="B128" s="1857"/>
      <c r="C128" s="1870"/>
      <c r="D128" s="1870"/>
      <c r="E128" s="1870"/>
      <c r="F128" s="1870"/>
      <c r="G128" s="1851"/>
      <c r="H128" s="1851"/>
      <c r="I128" s="1851"/>
      <c r="J128" s="1851"/>
      <c r="K128" s="1851"/>
      <c r="L128" s="1851"/>
      <c r="M128" s="1852"/>
      <c r="N128" s="3010"/>
      <c r="O128" s="3010"/>
      <c r="P128" s="2053"/>
      <c r="Q128" s="1817"/>
    </row>
    <row r="129" spans="1:17" ht="15" thickTop="1">
      <c r="A129" s="1899"/>
      <c r="B129" s="1854">
        <f>B44</f>
        <v>111</v>
      </c>
      <c r="C129" s="409"/>
      <c r="D129" s="409"/>
      <c r="E129" s="409"/>
      <c r="F129" s="409"/>
      <c r="G129" s="1575"/>
      <c r="H129" s="1575"/>
      <c r="I129" s="1575"/>
      <c r="J129" s="1575"/>
      <c r="K129" s="473"/>
      <c r="L129" s="473"/>
      <c r="M129" s="1889"/>
      <c r="N129" s="3009"/>
      <c r="O129" s="3009"/>
      <c r="P129" s="2053"/>
      <c r="Q129" s="1817"/>
    </row>
    <row r="130" spans="1:17" ht="15.75" thickBot="1">
      <c r="A130" s="1849"/>
      <c r="B130" s="1857"/>
      <c r="C130" s="1878"/>
      <c r="D130" s="1878"/>
      <c r="E130" s="1878"/>
      <c r="F130" s="1878"/>
      <c r="G130" s="1851"/>
      <c r="H130" s="1851"/>
      <c r="I130" s="1851"/>
      <c r="J130" s="1851"/>
      <c r="K130" s="1851"/>
      <c r="L130" s="1851"/>
      <c r="M130" s="1852"/>
      <c r="N130" s="3010"/>
      <c r="O130" s="3010"/>
      <c r="P130" s="2053"/>
      <c r="Q130" s="1817"/>
    </row>
    <row r="131" spans="1:17" s="1767" customFormat="1" ht="15" thickTop="1">
      <c r="A131" s="1895"/>
      <c r="B131" s="1854">
        <f>B45</f>
        <v>111</v>
      </c>
      <c r="C131" s="409"/>
      <c r="D131" s="409"/>
      <c r="E131" s="409"/>
      <c r="F131" s="409"/>
      <c r="G131" s="443"/>
      <c r="H131" s="443"/>
      <c r="I131" s="443"/>
      <c r="J131" s="443"/>
      <c r="K131" s="443"/>
      <c r="L131" s="443"/>
      <c r="M131" s="1866"/>
      <c r="N131" s="3011"/>
      <c r="O131" s="3011"/>
      <c r="P131" s="2054"/>
      <c r="Q131" s="1869"/>
    </row>
    <row r="132" spans="1:17" s="1767" customFormat="1" ht="15.75" thickBot="1">
      <c r="A132" s="1876"/>
      <c r="B132" s="2060"/>
      <c r="C132" s="1878"/>
      <c r="D132" s="1878"/>
      <c r="E132" s="1878"/>
      <c r="F132" s="1878"/>
      <c r="G132" s="1893"/>
      <c r="H132" s="1893"/>
      <c r="I132" s="1893"/>
      <c r="J132" s="1893"/>
      <c r="K132" s="1893"/>
      <c r="L132" s="1893"/>
      <c r="M132" s="1894"/>
      <c r="N132" s="3011"/>
      <c r="O132" s="3011"/>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2438</v>
      </c>
      <c r="B1" s="289"/>
      <c r="C1" s="290" t="s">
        <v>2486</v>
      </c>
      <c r="D1" s="613"/>
      <c r="E1" s="613"/>
      <c r="F1" s="612" t="s">
        <v>2241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2440</v>
      </c>
      <c r="D2" s="3013"/>
      <c r="E2" s="3013"/>
      <c r="F2" s="3016"/>
      <c r="G2" s="3013"/>
      <c r="H2" s="3013"/>
      <c r="I2" s="3013"/>
      <c r="J2" s="3013"/>
      <c r="K2" s="3017"/>
      <c r="L2" s="3014"/>
      <c r="M2" s="3015"/>
      <c r="N2" s="3015"/>
      <c r="O2" s="3015"/>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2441</v>
      </c>
      <c r="D3" s="3013"/>
      <c r="E3" s="3013"/>
      <c r="F3" s="3016"/>
      <c r="G3" s="3013"/>
      <c r="H3" s="3013"/>
      <c r="I3" s="3013"/>
      <c r="J3" s="3013"/>
      <c r="K3" s="3017"/>
      <c r="L3" s="3014"/>
      <c r="M3" s="3015"/>
      <c r="N3" s="3015"/>
      <c r="O3" s="3015"/>
      <c r="P3" s="624"/>
      <c r="Q3" s="624"/>
      <c r="R3" s="624"/>
      <c r="S3" s="624"/>
      <c r="T3" s="624"/>
      <c r="U3" s="624"/>
      <c r="V3" s="624"/>
      <c r="W3" s="624"/>
      <c r="X3" s="624"/>
      <c r="Y3" s="624"/>
      <c r="Z3" s="624"/>
      <c r="AA3" s="624"/>
      <c r="AB3" s="643"/>
      <c r="AC3" s="638"/>
    </row>
    <row r="4" spans="1:29" ht="15">
      <c r="A4" s="294" t="s">
        <v>2243</v>
      </c>
      <c r="B4" s="295"/>
      <c r="C4" s="3498" t="s">
        <v>2244</v>
      </c>
      <c r="D4" s="3499"/>
      <c r="E4" s="3500" t="s">
        <v>2245</v>
      </c>
      <c r="F4" s="3501"/>
      <c r="G4" s="3498" t="s">
        <v>2246</v>
      </c>
      <c r="H4" s="3499"/>
      <c r="I4" s="3498" t="s">
        <v>2247</v>
      </c>
      <c r="J4" s="3499"/>
      <c r="K4" s="496" t="s">
        <v>2248</v>
      </c>
      <c r="L4" s="3018"/>
      <c r="M4" s="3019"/>
      <c r="N4" s="3019"/>
      <c r="O4" s="3019"/>
      <c r="P4" s="3502" t="s">
        <v>2249</v>
      </c>
      <c r="Q4" s="3503"/>
      <c r="R4" s="3508" t="s">
        <v>2245</v>
      </c>
      <c r="S4" s="3509"/>
      <c r="T4" s="3508" t="s">
        <v>2246</v>
      </c>
      <c r="U4" s="3509"/>
      <c r="V4" s="3514" t="s">
        <v>2247</v>
      </c>
      <c r="W4" s="3514"/>
      <c r="X4" s="1334"/>
      <c r="Y4" s="3508" t="s">
        <v>2249</v>
      </c>
      <c r="Z4" s="3509"/>
      <c r="AA4" s="3495" t="s">
        <v>2245</v>
      </c>
      <c r="AB4" s="3496" t="s">
        <v>2246</v>
      </c>
      <c r="AC4" s="3495" t="s">
        <v>2247</v>
      </c>
    </row>
    <row r="5" spans="1:29" ht="15">
      <c r="A5" s="297"/>
      <c r="B5" s="298"/>
      <c r="C5" s="3491" t="s">
        <v>2250</v>
      </c>
      <c r="D5" s="3492"/>
      <c r="E5" s="3515" t="s">
        <v>2251</v>
      </c>
      <c r="F5" s="3516"/>
      <c r="G5" s="3491" t="s">
        <v>2252</v>
      </c>
      <c r="H5" s="3492"/>
      <c r="I5" s="3491" t="s">
        <v>2253</v>
      </c>
      <c r="J5" s="3492"/>
      <c r="K5" s="496"/>
      <c r="L5" s="3018"/>
      <c r="M5" s="3019"/>
      <c r="N5" s="3019"/>
      <c r="O5" s="3019"/>
      <c r="P5" s="3504"/>
      <c r="Q5" s="3505"/>
      <c r="R5" s="3510"/>
      <c r="S5" s="3511"/>
      <c r="T5" s="3510"/>
      <c r="U5" s="3511"/>
      <c r="V5" s="3514"/>
      <c r="W5" s="3514"/>
      <c r="X5" s="1334"/>
      <c r="Y5" s="3510"/>
      <c r="Z5" s="3511"/>
      <c r="AA5" s="3496"/>
      <c r="AB5" s="3496"/>
      <c r="AC5" s="3496"/>
    </row>
    <row r="6" spans="1:29" ht="15.75" thickBot="1">
      <c r="A6" s="299"/>
      <c r="B6" s="300"/>
      <c r="C6" s="3488" t="s">
        <v>2254</v>
      </c>
      <c r="D6" s="3489"/>
      <c r="E6" s="3486" t="s">
        <v>2254</v>
      </c>
      <c r="F6" s="3487"/>
      <c r="G6" s="3488" t="s">
        <v>2254</v>
      </c>
      <c r="H6" s="3489"/>
      <c r="I6" s="3488" t="s">
        <v>2254</v>
      </c>
      <c r="J6" s="3489"/>
      <c r="K6" s="496" t="s">
        <v>2255</v>
      </c>
      <c r="L6" s="3018"/>
      <c r="M6" s="3019"/>
      <c r="N6" s="3019"/>
      <c r="O6" s="3019"/>
      <c r="P6" s="3506"/>
      <c r="Q6" s="3507"/>
      <c r="R6" s="3510"/>
      <c r="S6" s="3511"/>
      <c r="T6" s="3512"/>
      <c r="U6" s="3513"/>
      <c r="V6" s="3514"/>
      <c r="W6" s="3514"/>
      <c r="X6" s="1334"/>
      <c r="Y6" s="3512"/>
      <c r="Z6" s="3513"/>
      <c r="AA6" s="3497"/>
      <c r="AB6" s="3497"/>
      <c r="AC6" s="3497"/>
    </row>
    <row r="7" spans="1:29" s="25" customFormat="1" ht="15.75" thickBot="1">
      <c r="A7" s="301" t="s">
        <v>2256</v>
      </c>
      <c r="B7" s="302"/>
      <c r="C7" s="303">
        <f>'数据-取费表'!B2</f>
        <v>44296</v>
      </c>
      <c r="D7" s="304">
        <v>100</v>
      </c>
      <c r="E7" s="305"/>
      <c r="F7" s="306">
        <f>SUMIF(65:65,YEAR(E7)&amp;"-"&amp;INT((MONTH(E7)+2)/3),66:66)</f>
        <v>0</v>
      </c>
      <c r="G7" s="1572"/>
      <c r="H7" s="304">
        <f>SUMIF(65:65,YEAR(G7)&amp;"-"&amp;INT((MONTH(G7)+2)/3),66:66)</f>
        <v>0</v>
      </c>
      <c r="I7" s="1572"/>
      <c r="J7" s="304">
        <f>SUMIF(65:65,YEAR(I7)&amp;"-"&amp;INT((MONTH(I7)+2)/3),66:66)</f>
        <v>0</v>
      </c>
      <c r="K7" s="497"/>
      <c r="L7" s="3020"/>
      <c r="M7" s="3021"/>
      <c r="N7" s="3021"/>
      <c r="O7" s="3021"/>
      <c r="P7" s="3493" t="s">
        <v>2257</v>
      </c>
      <c r="Q7" s="3517"/>
      <c r="R7" s="626" t="s">
        <v>25</v>
      </c>
      <c r="S7" s="627">
        <f t="shared" ref="S7:S15" si="0">F7</f>
        <v>0</v>
      </c>
      <c r="T7" s="626" t="s">
        <v>25</v>
      </c>
      <c r="U7" s="627">
        <f t="shared" ref="U7:U15" si="1">H7</f>
        <v>0</v>
      </c>
      <c r="V7" s="626" t="s">
        <v>25</v>
      </c>
      <c r="W7" s="627">
        <f t="shared" ref="W7:W15" si="2">J7</f>
        <v>0</v>
      </c>
      <c r="X7" s="628"/>
      <c r="Y7" s="3493" t="s">
        <v>2257</v>
      </c>
      <c r="Z7" s="3494"/>
      <c r="AA7" s="629" t="e">
        <f>D7/F7</f>
        <v>#DIV/0!</v>
      </c>
      <c r="AB7" s="629" t="e">
        <f>D7/H7</f>
        <v>#DIV/0!</v>
      </c>
      <c r="AC7" s="629" t="e">
        <f>D7/J7</f>
        <v>#DIV/0!</v>
      </c>
    </row>
    <row r="8" spans="1:29" s="25" customFormat="1" ht="15.75" thickBot="1">
      <c r="A8" s="301" t="s">
        <v>2258</v>
      </c>
      <c r="B8" s="302"/>
      <c r="C8" s="307" t="s">
        <v>2442</v>
      </c>
      <c r="D8" s="304">
        <v>100</v>
      </c>
      <c r="E8" s="307"/>
      <c r="F8" s="306">
        <f>SUMIF(68:68,E8,69:69)-SUMIF(68:68,C8,69:69)+100</f>
        <v>0</v>
      </c>
      <c r="G8" s="307"/>
      <c r="H8" s="304">
        <f>SUMIF(68:68,G8,69:69)-SUMIF(68:68,C8,69:69)+100</f>
        <v>0</v>
      </c>
      <c r="I8" s="307"/>
      <c r="J8" s="304">
        <f>SUMIF(68:68,I8,69:69)-SUMIF(68:68,C8,69:69)+100</f>
        <v>0</v>
      </c>
      <c r="K8" s="497"/>
      <c r="L8" s="3020"/>
      <c r="M8" s="3021"/>
      <c r="N8" s="3021"/>
      <c r="O8" s="3021"/>
      <c r="P8" s="3493" t="s">
        <v>2260</v>
      </c>
      <c r="Q8" s="3494"/>
      <c r="R8" s="626" t="s">
        <v>25</v>
      </c>
      <c r="S8" s="627">
        <f t="shared" si="0"/>
        <v>0</v>
      </c>
      <c r="T8" s="626" t="s">
        <v>25</v>
      </c>
      <c r="U8" s="627">
        <f t="shared" si="1"/>
        <v>0</v>
      </c>
      <c r="V8" s="626" t="s">
        <v>25</v>
      </c>
      <c r="W8" s="627">
        <f t="shared" si="2"/>
        <v>0</v>
      </c>
      <c r="X8" s="628"/>
      <c r="Y8" s="3493" t="s">
        <v>2260</v>
      </c>
      <c r="Z8" s="3494"/>
      <c r="AA8" s="629" t="e">
        <f t="shared" ref="AA8:AA40" si="3">D8/F8</f>
        <v>#DIV/0!</v>
      </c>
      <c r="AB8" s="629" t="e">
        <f t="shared" ref="AB8:AB40" si="4">D8/H8</f>
        <v>#DIV/0!</v>
      </c>
      <c r="AC8" s="629" t="e">
        <f t="shared" ref="AC8:AC40" si="5">D8/J8</f>
        <v>#DIV/0!</v>
      </c>
    </row>
    <row r="9" spans="1:29" s="25" customFormat="1">
      <c r="A9" s="308" t="s">
        <v>2261</v>
      </c>
      <c r="B9" s="24" t="s">
        <v>2262</v>
      </c>
      <c r="C9" s="1583" t="s">
        <v>2487</v>
      </c>
      <c r="D9" s="28">
        <v>100</v>
      </c>
      <c r="E9" s="1583"/>
      <c r="F9" s="28">
        <f>SUMIF(70:70,E9,71:71)-SUMIF(70:70,C9,71:71)+100</f>
        <v>100</v>
      </c>
      <c r="G9" s="1583"/>
      <c r="H9" s="28">
        <f>SUMIF(70:70,G9,71:71)-SUMIF(70:70,C9,71:71)+100</f>
        <v>100</v>
      </c>
      <c r="I9" s="1583"/>
      <c r="J9" s="28">
        <f>SUMIF(70:70,I9,71:71)-SUMIF(70:70,C9,71:71)+100</f>
        <v>100</v>
      </c>
      <c r="K9" s="497"/>
      <c r="L9" s="3020"/>
      <c r="M9" s="3021"/>
      <c r="N9" s="3021"/>
      <c r="O9" s="3022"/>
      <c r="P9" s="3490" t="s">
        <v>2263</v>
      </c>
      <c r="Q9" s="1326" t="str">
        <f t="shared" ref="Q9:Q15" si="6">B9</f>
        <v>用途</v>
      </c>
      <c r="R9" s="626" t="s">
        <v>25</v>
      </c>
      <c r="S9" s="627">
        <f t="shared" si="0"/>
        <v>100</v>
      </c>
      <c r="T9" s="626" t="s">
        <v>25</v>
      </c>
      <c r="U9" s="627">
        <f t="shared" si="1"/>
        <v>100</v>
      </c>
      <c r="V9" s="626" t="s">
        <v>25</v>
      </c>
      <c r="W9" s="627">
        <f t="shared" si="2"/>
        <v>100</v>
      </c>
      <c r="X9" s="628"/>
      <c r="Y9" s="3520" t="s">
        <v>2264</v>
      </c>
      <c r="Z9" s="19" t="str">
        <f t="shared" ref="Z9:Z15" si="7">Q9</f>
        <v>用途</v>
      </c>
      <c r="AA9" s="629">
        <f t="shared" si="3"/>
        <v>1</v>
      </c>
      <c r="AB9" s="629">
        <f t="shared" si="4"/>
        <v>1</v>
      </c>
      <c r="AC9" s="629">
        <f t="shared" si="5"/>
        <v>1</v>
      </c>
    </row>
    <row r="10" spans="1:29" s="317" customFormat="1" ht="27">
      <c r="A10" s="312"/>
      <c r="B10" s="313" t="s">
        <v>2265</v>
      </c>
      <c r="C10" s="322"/>
      <c r="D10" s="29">
        <v>100</v>
      </c>
      <c r="E10" s="322"/>
      <c r="F10" s="29">
        <f>ROUND(100/'数据-取费表'!B14,0)</f>
        <v>108</v>
      </c>
      <c r="G10" s="322"/>
      <c r="H10" s="29">
        <f>ROUND(100/'数据-取费表'!B14,0)</f>
        <v>108</v>
      </c>
      <c r="I10" s="322"/>
      <c r="J10" s="29">
        <f>ROUND(100/'数据-取费表'!B14,0)</f>
        <v>108</v>
      </c>
      <c r="K10" s="553"/>
      <c r="L10" s="3023"/>
      <c r="M10" s="3024"/>
      <c r="N10" s="3024"/>
      <c r="O10" s="3025"/>
      <c r="P10" s="3490"/>
      <c r="Q10" s="1326" t="str">
        <f t="shared" si="6"/>
        <v>土地使用年限（年）</v>
      </c>
      <c r="R10" s="626" t="s">
        <v>25</v>
      </c>
      <c r="S10" s="627">
        <f t="shared" si="0"/>
        <v>108</v>
      </c>
      <c r="T10" s="626" t="s">
        <v>25</v>
      </c>
      <c r="U10" s="627">
        <f t="shared" si="1"/>
        <v>108</v>
      </c>
      <c r="V10" s="626" t="s">
        <v>25</v>
      </c>
      <c r="W10" s="627">
        <f t="shared" si="2"/>
        <v>108</v>
      </c>
      <c r="X10" s="628"/>
      <c r="Y10" s="3520"/>
      <c r="Z10" s="19" t="str">
        <f t="shared" si="7"/>
        <v>土地使用年限（年）</v>
      </c>
      <c r="AA10" s="629">
        <f t="shared" si="3"/>
        <v>0.92592592592592593</v>
      </c>
      <c r="AB10" s="629">
        <f t="shared" si="4"/>
        <v>0.92592592592592593</v>
      </c>
      <c r="AC10" s="629">
        <f t="shared" si="5"/>
        <v>0.92592592592592593</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6"/>
      <c r="M11" s="3019"/>
      <c r="N11" s="3019"/>
      <c r="O11" s="3027"/>
      <c r="P11" s="3490"/>
      <c r="Q11" s="1326" t="str">
        <f t="shared" si="6"/>
        <v>容积率</v>
      </c>
      <c r="R11" s="626" t="s">
        <v>25</v>
      </c>
      <c r="S11" s="627" t="e">
        <f t="shared" si="0"/>
        <v>#N/A</v>
      </c>
      <c r="T11" s="626" t="s">
        <v>25</v>
      </c>
      <c r="U11" s="627" t="e">
        <f t="shared" si="1"/>
        <v>#N/A</v>
      </c>
      <c r="V11" s="626" t="s">
        <v>25</v>
      </c>
      <c r="W11" s="627" t="e">
        <f t="shared" si="2"/>
        <v>#N/A</v>
      </c>
      <c r="X11" s="628"/>
      <c r="Y11" s="3520"/>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0"/>
      <c r="M12" s="3021"/>
      <c r="N12" s="3021"/>
      <c r="O12" s="3022"/>
      <c r="P12" s="3490"/>
      <c r="Q12" s="1326">
        <f t="shared" si="6"/>
        <v>111</v>
      </c>
      <c r="R12" s="626" t="s">
        <v>25</v>
      </c>
      <c r="S12" s="627">
        <f t="shared" si="0"/>
        <v>100</v>
      </c>
      <c r="T12" s="626" t="s">
        <v>25</v>
      </c>
      <c r="U12" s="627">
        <f t="shared" si="1"/>
        <v>100</v>
      </c>
      <c r="V12" s="626" t="s">
        <v>25</v>
      </c>
      <c r="W12" s="627">
        <f t="shared" si="2"/>
        <v>100</v>
      </c>
      <c r="X12" s="628"/>
      <c r="Y12" s="3520"/>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8"/>
      <c r="M13" s="3019"/>
      <c r="N13" s="3019"/>
      <c r="O13" s="3027"/>
      <c r="P13" s="3490"/>
      <c r="Q13" s="1326">
        <f t="shared" si="6"/>
        <v>111</v>
      </c>
      <c r="R13" s="626" t="s">
        <v>25</v>
      </c>
      <c r="S13" s="627">
        <f t="shared" si="0"/>
        <v>100</v>
      </c>
      <c r="T13" s="626" t="s">
        <v>25</v>
      </c>
      <c r="U13" s="627">
        <f t="shared" si="1"/>
        <v>100</v>
      </c>
      <c r="V13" s="626" t="s">
        <v>25</v>
      </c>
      <c r="W13" s="627">
        <f t="shared" si="2"/>
        <v>100</v>
      </c>
      <c r="X13" s="628"/>
      <c r="Y13" s="3520"/>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8"/>
      <c r="M14" s="3019"/>
      <c r="N14" s="3019"/>
      <c r="O14" s="3027"/>
      <c r="P14" s="3490"/>
      <c r="Q14" s="1326">
        <f t="shared" si="6"/>
        <v>111</v>
      </c>
      <c r="R14" s="626" t="s">
        <v>25</v>
      </c>
      <c r="S14" s="627">
        <f t="shared" si="0"/>
        <v>100</v>
      </c>
      <c r="T14" s="626" t="s">
        <v>25</v>
      </c>
      <c r="U14" s="627">
        <f t="shared" si="1"/>
        <v>100</v>
      </c>
      <c r="V14" s="626" t="s">
        <v>25</v>
      </c>
      <c r="W14" s="627">
        <f t="shared" si="2"/>
        <v>100</v>
      </c>
      <c r="X14" s="628"/>
      <c r="Y14" s="3520"/>
      <c r="Z14" s="19">
        <f t="shared" si="7"/>
        <v>111</v>
      </c>
      <c r="AA14" s="629">
        <f t="shared" si="3"/>
        <v>1</v>
      </c>
      <c r="AB14" s="629">
        <f t="shared" si="4"/>
        <v>1</v>
      </c>
      <c r="AC14" s="629">
        <f t="shared" si="5"/>
        <v>1</v>
      </c>
    </row>
    <row r="15" spans="1:29" ht="57">
      <c r="A15" s="329" t="s">
        <v>2267</v>
      </c>
      <c r="B15" s="511" t="s">
        <v>2488</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8"/>
      <c r="M15" s="3019"/>
      <c r="N15" s="3019"/>
      <c r="O15" s="3027"/>
      <c r="P15" s="3518" t="s">
        <v>2268</v>
      </c>
      <c r="Q15" s="1333" t="str">
        <f t="shared" si="6"/>
        <v>产业集聚程度</v>
      </c>
      <c r="R15" s="630" t="s">
        <v>25</v>
      </c>
      <c r="S15" s="631">
        <f t="shared" si="0"/>
        <v>100</v>
      </c>
      <c r="T15" s="630" t="s">
        <v>25</v>
      </c>
      <c r="U15" s="631">
        <f t="shared" si="1"/>
        <v>100</v>
      </c>
      <c r="V15" s="630" t="s">
        <v>25</v>
      </c>
      <c r="W15" s="631">
        <f t="shared" si="2"/>
        <v>100</v>
      </c>
      <c r="X15" s="1334"/>
      <c r="Y15" s="3518" t="s">
        <v>2268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28"/>
      <c r="M16" s="3019"/>
      <c r="N16" s="3019"/>
      <c r="O16" s="3027"/>
      <c r="P16" s="3519"/>
      <c r="Q16" s="1333"/>
      <c r="R16" s="630"/>
      <c r="S16" s="631"/>
      <c r="T16" s="630"/>
      <c r="U16" s="631"/>
      <c r="V16" s="630"/>
      <c r="W16" s="631"/>
      <c r="X16" s="1334"/>
      <c r="Y16" s="3519"/>
      <c r="Z16" s="1335"/>
      <c r="AA16" s="1336">
        <v>1</v>
      </c>
      <c r="AB16" s="1336">
        <v>1</v>
      </c>
      <c r="AC16" s="1336">
        <v>1</v>
      </c>
    </row>
    <row r="17" spans="1:29" ht="85.5">
      <c r="A17" s="318"/>
      <c r="B17" s="513" t="s">
        <v>2404</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8"/>
      <c r="M17" s="3019"/>
      <c r="N17" s="3019"/>
      <c r="O17" s="3027"/>
      <c r="P17" s="3519"/>
      <c r="Q17" s="1333" t="str">
        <f>B17</f>
        <v>交通便捷度</v>
      </c>
      <c r="R17" s="630" t="s">
        <v>25</v>
      </c>
      <c r="S17" s="631">
        <f>F17</f>
        <v>100</v>
      </c>
      <c r="T17" s="630" t="s">
        <v>25</v>
      </c>
      <c r="U17" s="631">
        <f>H17</f>
        <v>100</v>
      </c>
      <c r="V17" s="630" t="s">
        <v>25</v>
      </c>
      <c r="W17" s="631">
        <f>J17</f>
        <v>100</v>
      </c>
      <c r="X17" s="1334"/>
      <c r="Y17" s="3519"/>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3"/>
      <c r="J18" s="336"/>
      <c r="K18" s="553"/>
      <c r="L18" s="3028"/>
      <c r="M18" s="3019"/>
      <c r="N18" s="3019"/>
      <c r="O18" s="3027"/>
      <c r="P18" s="3519"/>
      <c r="Q18" s="1333"/>
      <c r="R18" s="630"/>
      <c r="S18" s="631"/>
      <c r="T18" s="630"/>
      <c r="U18" s="631"/>
      <c r="V18" s="630"/>
      <c r="W18" s="631"/>
      <c r="X18" s="1334"/>
      <c r="Y18" s="3519"/>
      <c r="Z18" s="1335"/>
      <c r="AA18" s="1336">
        <v>1</v>
      </c>
      <c r="AB18" s="1336">
        <v>1</v>
      </c>
      <c r="AC18" s="1336">
        <v>1</v>
      </c>
    </row>
    <row r="19" spans="1:29" ht="15">
      <c r="A19" s="318"/>
      <c r="B19" s="513" t="s">
        <v>2444</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8"/>
      <c r="M19" s="3019"/>
      <c r="N19" s="3019"/>
      <c r="O19" s="3027"/>
      <c r="P19" s="3519"/>
      <c r="Q19" s="1333" t="str">
        <f t="shared" ref="Q19:Q33" si="8">B19</f>
        <v>区域土地利用方向</v>
      </c>
      <c r="R19" s="630" t="s">
        <v>25</v>
      </c>
      <c r="S19" s="631">
        <f>F19</f>
        <v>100</v>
      </c>
      <c r="T19" s="630" t="s">
        <v>25</v>
      </c>
      <c r="U19" s="631">
        <f>H19</f>
        <v>100</v>
      </c>
      <c r="V19" s="630" t="s">
        <v>25</v>
      </c>
      <c r="W19" s="631">
        <f>J19</f>
        <v>100</v>
      </c>
      <c r="X19" s="1334"/>
      <c r="Y19" s="3519"/>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4"/>
      <c r="L20" s="3028"/>
      <c r="M20" s="3019"/>
      <c r="N20" s="3019"/>
      <c r="O20" s="3027"/>
      <c r="P20" s="3519"/>
      <c r="Q20" s="1333"/>
      <c r="R20" s="630"/>
      <c r="S20" s="631"/>
      <c r="T20" s="630"/>
      <c r="U20" s="631"/>
      <c r="V20" s="630"/>
      <c r="W20" s="631"/>
      <c r="X20" s="1334"/>
      <c r="Y20" s="3519"/>
      <c r="Z20" s="1335"/>
      <c r="AA20" s="1336"/>
      <c r="AB20" s="1336"/>
      <c r="AC20" s="1336"/>
    </row>
    <row r="21" spans="1:29" ht="71.25">
      <c r="A21" s="297"/>
      <c r="B21" s="513" t="s">
        <v>2489</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8"/>
      <c r="M21" s="3019"/>
      <c r="N21" s="3019"/>
      <c r="O21" s="3027"/>
      <c r="P21" s="3519"/>
      <c r="Q21" s="1333" t="str">
        <f t="shared" si="8"/>
        <v>环境状况</v>
      </c>
      <c r="R21" s="630" t="s">
        <v>25</v>
      </c>
      <c r="S21" s="631">
        <f>F21</f>
        <v>100</v>
      </c>
      <c r="T21" s="630" t="s">
        <v>25</v>
      </c>
      <c r="U21" s="631">
        <f>H21</f>
        <v>100</v>
      </c>
      <c r="V21" s="630" t="s">
        <v>25</v>
      </c>
      <c r="W21" s="631">
        <f>J21</f>
        <v>100</v>
      </c>
      <c r="X21" s="1334"/>
      <c r="Y21" s="3519"/>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28"/>
      <c r="M22" s="3019"/>
      <c r="N22" s="3019"/>
      <c r="O22" s="3027"/>
      <c r="P22" s="3519"/>
      <c r="Q22" s="1333"/>
      <c r="R22" s="630"/>
      <c r="S22" s="631"/>
      <c r="T22" s="630"/>
      <c r="U22" s="631"/>
      <c r="V22" s="630"/>
      <c r="W22" s="631"/>
      <c r="X22" s="1334"/>
      <c r="Y22" s="3519"/>
      <c r="Z22" s="1335"/>
      <c r="AA22" s="1336">
        <v>1</v>
      </c>
      <c r="AB22" s="1336">
        <v>1</v>
      </c>
      <c r="AC22" s="1336">
        <v>1</v>
      </c>
    </row>
    <row r="23" spans="1:29" s="25" customFormat="1" ht="42.75">
      <c r="A23" s="531"/>
      <c r="B23" s="513" t="s">
        <v>2353</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0"/>
      <c r="M23" s="3021"/>
      <c r="N23" s="3021"/>
      <c r="O23" s="3022"/>
      <c r="P23" s="3519"/>
      <c r="Q23" s="1326" t="str">
        <f t="shared" si="8"/>
        <v>公共配套设施</v>
      </c>
      <c r="R23" s="626" t="s">
        <v>25</v>
      </c>
      <c r="S23" s="627">
        <f>F23</f>
        <v>100</v>
      </c>
      <c r="T23" s="626" t="s">
        <v>25</v>
      </c>
      <c r="U23" s="627">
        <f>H23</f>
        <v>100</v>
      </c>
      <c r="V23" s="626" t="s">
        <v>25</v>
      </c>
      <c r="W23" s="627">
        <f>J23</f>
        <v>100</v>
      </c>
      <c r="X23" s="628"/>
      <c r="Y23" s="3519"/>
      <c r="Z23" s="19" t="str">
        <f>Q23</f>
        <v>公共配套设施</v>
      </c>
      <c r="AA23" s="1336">
        <f>D23/F23</f>
        <v>1</v>
      </c>
      <c r="AB23" s="1336">
        <f>D23/H23</f>
        <v>1</v>
      </c>
      <c r="AC23" s="1336">
        <f>D23/J23</f>
        <v>1</v>
      </c>
    </row>
    <row r="24" spans="1:29" s="25" customFormat="1" ht="15">
      <c r="A24" s="531"/>
      <c r="B24" s="514"/>
      <c r="C24" s="1593"/>
      <c r="D24" s="336"/>
      <c r="E24" s="1134"/>
      <c r="F24" s="336"/>
      <c r="G24" s="1134"/>
      <c r="H24" s="336"/>
      <c r="I24" s="335"/>
      <c r="J24" s="336"/>
      <c r="K24" s="553"/>
      <c r="L24" s="3020"/>
      <c r="M24" s="3021"/>
      <c r="N24" s="3021"/>
      <c r="O24" s="3022"/>
      <c r="P24" s="3519"/>
      <c r="Q24" s="1326"/>
      <c r="R24" s="626"/>
      <c r="S24" s="627"/>
      <c r="T24" s="626"/>
      <c r="U24" s="627"/>
      <c r="V24" s="626"/>
      <c r="W24" s="627"/>
      <c r="X24" s="628"/>
      <c r="Y24" s="3519"/>
      <c r="Z24" s="19"/>
      <c r="AA24" s="629">
        <v>1</v>
      </c>
      <c r="AB24" s="629">
        <v>1</v>
      </c>
      <c r="AC24" s="629">
        <v>1</v>
      </c>
    </row>
    <row r="25" spans="1:29" s="25" customFormat="1" ht="28.5">
      <c r="A25" s="531"/>
      <c r="B25" s="515" t="s">
        <v>2354</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0"/>
      <c r="M25" s="3021"/>
      <c r="N25" s="3021"/>
      <c r="O25" s="3022"/>
      <c r="P25" s="3519"/>
      <c r="Q25" s="1326" t="str">
        <f t="shared" ref="Q25" si="9">B25</f>
        <v>基础设施水平</v>
      </c>
      <c r="R25" s="626" t="s">
        <v>25</v>
      </c>
      <c r="S25" s="627">
        <f>F25</f>
        <v>100</v>
      </c>
      <c r="T25" s="626" t="s">
        <v>25</v>
      </c>
      <c r="U25" s="627">
        <f>H25</f>
        <v>100</v>
      </c>
      <c r="V25" s="626" t="s">
        <v>25</v>
      </c>
      <c r="W25" s="627">
        <f>J25</f>
        <v>100</v>
      </c>
      <c r="X25" s="628"/>
      <c r="Y25" s="3519"/>
      <c r="Z25" s="19" t="str">
        <f>Q25</f>
        <v>基础设施水平</v>
      </c>
      <c r="AA25" s="1336">
        <f>D25/F25</f>
        <v>1</v>
      </c>
      <c r="AB25" s="1336">
        <f>D25/H25</f>
        <v>1</v>
      </c>
      <c r="AC25" s="1336">
        <f>D25/J25</f>
        <v>1</v>
      </c>
    </row>
    <row r="26" spans="1:29" s="25" customFormat="1" ht="15">
      <c r="A26" s="531"/>
      <c r="B26" s="514"/>
      <c r="C26" s="1593"/>
      <c r="D26" s="336"/>
      <c r="E26" s="1584"/>
      <c r="F26" s="336"/>
      <c r="G26" s="1584"/>
      <c r="H26" s="336"/>
      <c r="I26" s="1584"/>
      <c r="J26" s="336"/>
      <c r="K26" s="553"/>
      <c r="L26" s="3020"/>
      <c r="M26" s="3021"/>
      <c r="N26" s="3021"/>
      <c r="O26" s="3022"/>
      <c r="P26" s="3519"/>
      <c r="Q26" s="1326"/>
      <c r="R26" s="626"/>
      <c r="S26" s="627"/>
      <c r="T26" s="626"/>
      <c r="U26" s="627"/>
      <c r="V26" s="626"/>
      <c r="W26" s="627"/>
      <c r="X26" s="628"/>
      <c r="Y26" s="3519"/>
      <c r="Z26" s="19"/>
      <c r="AA26" s="629">
        <v>1</v>
      </c>
      <c r="AB26" s="629">
        <v>1</v>
      </c>
      <c r="AC26" s="629">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28"/>
      <c r="M27" s="3019"/>
      <c r="N27" s="3019"/>
      <c r="O27" s="3027"/>
      <c r="P27" s="3519"/>
      <c r="Q27" s="1333" t="str">
        <f t="shared" si="8"/>
        <v>临街状况</v>
      </c>
      <c r="R27" s="630" t="s">
        <v>25</v>
      </c>
      <c r="S27" s="631">
        <f t="shared" ref="S27:S40" si="10">F27</f>
        <v>100</v>
      </c>
      <c r="T27" s="630" t="s">
        <v>25</v>
      </c>
      <c r="U27" s="631">
        <f t="shared" ref="U27:U40" si="11">H27</f>
        <v>100</v>
      </c>
      <c r="V27" s="630" t="s">
        <v>25</v>
      </c>
      <c r="W27" s="631">
        <f t="shared" ref="W27:W40" si="12">J27</f>
        <v>100</v>
      </c>
      <c r="X27" s="1334"/>
      <c r="Y27" s="3519"/>
      <c r="Z27" s="1335" t="str">
        <f t="shared" ref="Z27:Z40" si="13">Q27</f>
        <v>临街状况</v>
      </c>
      <c r="AA27" s="1336">
        <f t="shared" si="3"/>
        <v>1</v>
      </c>
      <c r="AB27" s="1336">
        <f t="shared" si="4"/>
        <v>1</v>
      </c>
      <c r="AC27" s="1336">
        <f t="shared" si="5"/>
        <v>1</v>
      </c>
    </row>
    <row r="28" spans="1:29" ht="27">
      <c r="A28" s="318"/>
      <c r="B28" s="515" t="s">
        <v>2385</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8"/>
      <c r="M28" s="3019"/>
      <c r="N28" s="3019"/>
      <c r="O28" s="3027"/>
      <c r="P28" s="3519"/>
      <c r="Q28" s="1333" t="str">
        <f t="shared" si="8"/>
        <v>毗邻道路的类型与等级</v>
      </c>
      <c r="R28" s="630" t="s">
        <v>25</v>
      </c>
      <c r="S28" s="631">
        <f t="shared" si="10"/>
        <v>100</v>
      </c>
      <c r="T28" s="630" t="s">
        <v>25</v>
      </c>
      <c r="U28" s="631">
        <f t="shared" si="11"/>
        <v>100</v>
      </c>
      <c r="V28" s="630" t="s">
        <v>25</v>
      </c>
      <c r="W28" s="631">
        <f t="shared" si="12"/>
        <v>100</v>
      </c>
      <c r="X28" s="1334"/>
      <c r="Y28" s="3519"/>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28"/>
      <c r="M29" s="3019"/>
      <c r="N29" s="3019"/>
      <c r="O29" s="3027"/>
      <c r="P29" s="3519"/>
      <c r="Q29" s="1333"/>
      <c r="R29" s="630"/>
      <c r="S29" s="631"/>
      <c r="T29" s="630"/>
      <c r="U29" s="631"/>
      <c r="V29" s="630"/>
      <c r="W29" s="631"/>
      <c r="X29" s="1334"/>
      <c r="Y29" s="3519"/>
      <c r="Z29" s="1335"/>
      <c r="AA29" s="1336">
        <v>1</v>
      </c>
      <c r="AB29" s="1336">
        <v>1</v>
      </c>
      <c r="AC29" s="1336">
        <v>1</v>
      </c>
    </row>
    <row r="30" spans="1:29" ht="15">
      <c r="A30" s="318"/>
      <c r="B30" s="535" t="s">
        <v>2446</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8"/>
      <c r="M30" s="3019"/>
      <c r="N30" s="3019"/>
      <c r="O30" s="3027"/>
      <c r="P30" s="3519"/>
      <c r="Q30" s="1333" t="str">
        <f t="shared" si="8"/>
        <v>土地级别</v>
      </c>
      <c r="R30" s="630" t="s">
        <v>25</v>
      </c>
      <c r="S30" s="631">
        <f t="shared" si="10"/>
        <v>100</v>
      </c>
      <c r="T30" s="630" t="s">
        <v>25</v>
      </c>
      <c r="U30" s="631">
        <f t="shared" si="11"/>
        <v>100</v>
      </c>
      <c r="V30" s="630" t="s">
        <v>25</v>
      </c>
      <c r="W30" s="631">
        <f t="shared" si="12"/>
        <v>100</v>
      </c>
      <c r="X30" s="1334"/>
      <c r="Y30" s="3519"/>
      <c r="Z30" s="1335" t="str">
        <f t="shared" si="13"/>
        <v>土地级别</v>
      </c>
      <c r="AA30" s="1336">
        <f t="shared" si="3"/>
        <v>1</v>
      </c>
      <c r="AB30" s="1336">
        <f t="shared" si="4"/>
        <v>1</v>
      </c>
      <c r="AC30" s="1336">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8"/>
      <c r="M31" s="3019"/>
      <c r="N31" s="3019"/>
      <c r="O31" s="3027"/>
      <c r="P31" s="3519"/>
      <c r="Q31" s="1333">
        <f t="shared" si="8"/>
        <v>111</v>
      </c>
      <c r="R31" s="630" t="s">
        <v>25</v>
      </c>
      <c r="S31" s="631">
        <f t="shared" si="10"/>
        <v>100</v>
      </c>
      <c r="T31" s="630" t="s">
        <v>25</v>
      </c>
      <c r="U31" s="631">
        <f t="shared" si="11"/>
        <v>100</v>
      </c>
      <c r="V31" s="630" t="s">
        <v>25</v>
      </c>
      <c r="W31" s="631">
        <f t="shared" si="12"/>
        <v>100</v>
      </c>
      <c r="X31" s="1334"/>
      <c r="Y31" s="3519"/>
      <c r="Z31" s="1335">
        <f t="shared" si="13"/>
        <v>111</v>
      </c>
      <c r="AA31" s="1336">
        <f t="shared" si="3"/>
        <v>1</v>
      </c>
      <c r="AB31" s="1336">
        <f t="shared" si="4"/>
        <v>1</v>
      </c>
      <c r="AC31" s="1336">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8"/>
      <c r="M32" s="3019"/>
      <c r="N32" s="3019"/>
      <c r="O32" s="3027"/>
      <c r="P32" s="3521" t="s">
        <v>2273</v>
      </c>
      <c r="Q32" s="1333">
        <f t="shared" si="8"/>
        <v>111</v>
      </c>
      <c r="R32" s="630" t="s">
        <v>25</v>
      </c>
      <c r="S32" s="631">
        <f t="shared" si="10"/>
        <v>100</v>
      </c>
      <c r="T32" s="630" t="s">
        <v>25</v>
      </c>
      <c r="U32" s="631">
        <f t="shared" si="11"/>
        <v>100</v>
      </c>
      <c r="V32" s="630" t="s">
        <v>25</v>
      </c>
      <c r="W32" s="631">
        <f t="shared" si="12"/>
        <v>100</v>
      </c>
      <c r="X32" s="1334"/>
      <c r="Y32" s="3522" t="s">
        <v>2273</v>
      </c>
      <c r="Z32" s="1335">
        <f t="shared" si="13"/>
        <v>111</v>
      </c>
      <c r="AA32" s="1336">
        <f t="shared" si="3"/>
        <v>1</v>
      </c>
      <c r="AB32" s="1336">
        <f t="shared" si="4"/>
        <v>1</v>
      </c>
      <c r="AC32" s="1336">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6"/>
      <c r="M33" s="358"/>
      <c r="N33" s="358"/>
      <c r="O33" s="3029"/>
      <c r="P33" s="3522"/>
      <c r="Q33" s="1333">
        <f t="shared" si="8"/>
        <v>111</v>
      </c>
      <c r="R33" s="633" t="s">
        <v>25</v>
      </c>
      <c r="S33" s="634">
        <f t="shared" si="10"/>
        <v>100</v>
      </c>
      <c r="T33" s="633" t="s">
        <v>25</v>
      </c>
      <c r="U33" s="634">
        <f t="shared" si="11"/>
        <v>100</v>
      </c>
      <c r="V33" s="633" t="s">
        <v>25</v>
      </c>
      <c r="W33" s="634">
        <f t="shared" si="12"/>
        <v>100</v>
      </c>
      <c r="X33" s="635"/>
      <c r="Y33" s="3522"/>
      <c r="Z33" s="636">
        <f t="shared" si="13"/>
        <v>111</v>
      </c>
      <c r="AA33" s="1336">
        <f t="shared" si="3"/>
        <v>1</v>
      </c>
      <c r="AB33" s="1336">
        <f t="shared" si="4"/>
        <v>1</v>
      </c>
      <c r="AC33" s="1336">
        <f t="shared" si="5"/>
        <v>1</v>
      </c>
    </row>
    <row r="34" spans="1:29" ht="28.5">
      <c r="A34" s="360" t="s">
        <v>2271</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8"/>
      <c r="M34" s="3019"/>
      <c r="N34" s="3019"/>
      <c r="O34" s="3027"/>
      <c r="P34" s="3522"/>
      <c r="Q34" s="1333" t="str">
        <f>B34</f>
        <v>宗地面积</v>
      </c>
      <c r="R34" s="630" t="s">
        <v>25</v>
      </c>
      <c r="S34" s="631" t="e">
        <f t="shared" si="10"/>
        <v>#N/A</v>
      </c>
      <c r="T34" s="630" t="s">
        <v>25</v>
      </c>
      <c r="U34" s="631" t="e">
        <f t="shared" si="11"/>
        <v>#N/A</v>
      </c>
      <c r="V34" s="630" t="s">
        <v>25</v>
      </c>
      <c r="W34" s="631" t="e">
        <f t="shared" si="12"/>
        <v>#N/A</v>
      </c>
      <c r="X34" s="1334"/>
      <c r="Y34" s="3522"/>
      <c r="Z34" s="1335" t="str">
        <f t="shared" si="13"/>
        <v>宗地面积</v>
      </c>
      <c r="AA34" s="1336" t="e">
        <f t="shared" si="3"/>
        <v>#N/A</v>
      </c>
      <c r="AB34" s="1336" t="e">
        <f t="shared" si="4"/>
        <v>#N/A</v>
      </c>
      <c r="AC34" s="1336" t="e">
        <f t="shared" si="5"/>
        <v>#N/A</v>
      </c>
    </row>
    <row r="35" spans="1:29" ht="15">
      <c r="A35" s="360"/>
      <c r="B35" s="313" t="s">
        <v>2448</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8"/>
      <c r="M35" s="3019"/>
      <c r="N35" s="3019"/>
      <c r="O35" s="3027"/>
      <c r="P35" s="3522"/>
      <c r="Q35" s="1333" t="str">
        <f t="shared" ref="Q35:Q40" si="14">B35</f>
        <v>宗地形状</v>
      </c>
      <c r="R35" s="630" t="s">
        <v>25</v>
      </c>
      <c r="S35" s="631">
        <f t="shared" si="10"/>
        <v>100</v>
      </c>
      <c r="T35" s="630" t="s">
        <v>25</v>
      </c>
      <c r="U35" s="631">
        <f t="shared" si="11"/>
        <v>100</v>
      </c>
      <c r="V35" s="630" t="s">
        <v>25</v>
      </c>
      <c r="W35" s="631">
        <f t="shared" si="12"/>
        <v>100</v>
      </c>
      <c r="X35" s="1334"/>
      <c r="Y35" s="3522"/>
      <c r="Z35" s="1335" t="str">
        <f t="shared" si="13"/>
        <v>宗地形状</v>
      </c>
      <c r="AA35" s="1336">
        <f t="shared" si="3"/>
        <v>1</v>
      </c>
      <c r="AB35" s="1336">
        <f t="shared" si="4"/>
        <v>1</v>
      </c>
      <c r="AC35" s="1336">
        <f t="shared" si="5"/>
        <v>1</v>
      </c>
    </row>
    <row r="36" spans="1:29" s="25" customFormat="1" ht="15">
      <c r="A36" s="361"/>
      <c r="B36" s="313" t="s">
        <v>2450</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0"/>
      <c r="M36" s="3021"/>
      <c r="N36" s="3021"/>
      <c r="O36" s="3022"/>
      <c r="P36" s="3522"/>
      <c r="Q36" s="1333" t="str">
        <f t="shared" si="14"/>
        <v>宗地开发程度</v>
      </c>
      <c r="R36" s="626" t="s">
        <v>25</v>
      </c>
      <c r="S36" s="627">
        <f t="shared" si="10"/>
        <v>100</v>
      </c>
      <c r="T36" s="626" t="s">
        <v>25</v>
      </c>
      <c r="U36" s="627">
        <f t="shared" si="11"/>
        <v>100</v>
      </c>
      <c r="V36" s="626" t="s">
        <v>25</v>
      </c>
      <c r="W36" s="627">
        <f t="shared" si="12"/>
        <v>100</v>
      </c>
      <c r="X36" s="628"/>
      <c r="Y36" s="3522"/>
      <c r="Z36" s="19" t="str">
        <f t="shared" si="13"/>
        <v>宗地开发程度</v>
      </c>
      <c r="AA36" s="629">
        <f t="shared" si="3"/>
        <v>1</v>
      </c>
      <c r="AB36" s="629">
        <f t="shared" si="4"/>
        <v>1</v>
      </c>
      <c r="AC36" s="629">
        <f t="shared" si="5"/>
        <v>1</v>
      </c>
    </row>
    <row r="37" spans="1:29" ht="15">
      <c r="A37" s="360"/>
      <c r="B37" s="313" t="s">
        <v>2451</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8"/>
      <c r="M37" s="3019"/>
      <c r="N37" s="3019"/>
      <c r="O37" s="3027"/>
      <c r="P37" s="3522" t="s">
        <v>2273</v>
      </c>
      <c r="Q37" s="1333" t="str">
        <f t="shared" si="14"/>
        <v>工程地质条件</v>
      </c>
      <c r="R37" s="630" t="s">
        <v>25</v>
      </c>
      <c r="S37" s="631">
        <f t="shared" si="10"/>
        <v>100</v>
      </c>
      <c r="T37" s="630" t="s">
        <v>25</v>
      </c>
      <c r="U37" s="631">
        <f t="shared" si="11"/>
        <v>100</v>
      </c>
      <c r="V37" s="630" t="s">
        <v>25</v>
      </c>
      <c r="W37" s="631">
        <f t="shared" si="12"/>
        <v>100</v>
      </c>
      <c r="X37" s="1334"/>
      <c r="Y37" s="3522" t="s">
        <v>2273</v>
      </c>
      <c r="Z37" s="1335" t="str">
        <f t="shared" si="13"/>
        <v>工程地质条件</v>
      </c>
      <c r="AA37" s="1336">
        <f t="shared" si="3"/>
        <v>1</v>
      </c>
      <c r="AB37" s="1336">
        <f t="shared" si="4"/>
        <v>1</v>
      </c>
      <c r="AC37" s="1336">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8"/>
      <c r="M38" s="3019"/>
      <c r="N38" s="3019"/>
      <c r="O38" s="3027"/>
      <c r="P38" s="3522"/>
      <c r="Q38" s="1333">
        <f t="shared" si="14"/>
        <v>111</v>
      </c>
      <c r="R38" s="630" t="s">
        <v>25</v>
      </c>
      <c r="S38" s="631">
        <f t="shared" si="10"/>
        <v>100</v>
      </c>
      <c r="T38" s="630" t="s">
        <v>25</v>
      </c>
      <c r="U38" s="631">
        <f t="shared" si="11"/>
        <v>100</v>
      </c>
      <c r="V38" s="630" t="s">
        <v>25</v>
      </c>
      <c r="W38" s="631">
        <f t="shared" si="12"/>
        <v>100</v>
      </c>
      <c r="X38" s="1334"/>
      <c r="Y38" s="3522"/>
      <c r="Z38" s="1335">
        <f t="shared" si="13"/>
        <v>111</v>
      </c>
      <c r="AA38" s="1336">
        <f t="shared" si="3"/>
        <v>1</v>
      </c>
      <c r="AB38" s="1336">
        <f t="shared" si="4"/>
        <v>1</v>
      </c>
      <c r="AC38" s="1336">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8"/>
      <c r="M39" s="3019"/>
      <c r="N39" s="3019"/>
      <c r="O39" s="3027"/>
      <c r="P39" s="3522"/>
      <c r="Q39" s="1333">
        <f t="shared" si="14"/>
        <v>111</v>
      </c>
      <c r="R39" s="630" t="s">
        <v>25</v>
      </c>
      <c r="S39" s="631">
        <f t="shared" si="10"/>
        <v>100</v>
      </c>
      <c r="T39" s="630" t="s">
        <v>25</v>
      </c>
      <c r="U39" s="631">
        <f t="shared" si="11"/>
        <v>100</v>
      </c>
      <c r="V39" s="630" t="s">
        <v>25</v>
      </c>
      <c r="W39" s="631">
        <f t="shared" si="12"/>
        <v>100</v>
      </c>
      <c r="X39" s="1334"/>
      <c r="Y39" s="3522"/>
      <c r="Z39" s="1335">
        <f t="shared" si="13"/>
        <v>111</v>
      </c>
      <c r="AA39" s="1336">
        <f t="shared" si="3"/>
        <v>1</v>
      </c>
      <c r="AB39" s="1336">
        <f t="shared" si="4"/>
        <v>1</v>
      </c>
      <c r="AC39" s="1336">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6"/>
      <c r="M40" s="358"/>
      <c r="N40" s="358"/>
      <c r="O40" s="3029"/>
      <c r="P40" s="3522"/>
      <c r="Q40" s="1333">
        <f t="shared" si="14"/>
        <v>111</v>
      </c>
      <c r="R40" s="633" t="s">
        <v>25</v>
      </c>
      <c r="S40" s="634">
        <f t="shared" si="10"/>
        <v>100</v>
      </c>
      <c r="T40" s="633" t="s">
        <v>25</v>
      </c>
      <c r="U40" s="634">
        <f t="shared" si="11"/>
        <v>100</v>
      </c>
      <c r="V40" s="633" t="s">
        <v>25</v>
      </c>
      <c r="W40" s="634">
        <f t="shared" si="12"/>
        <v>100</v>
      </c>
      <c r="X40" s="635"/>
      <c r="Y40" s="3522"/>
      <c r="Z40" s="636">
        <f t="shared" si="13"/>
        <v>111</v>
      </c>
      <c r="AA40" s="1336">
        <f t="shared" si="3"/>
        <v>1</v>
      </c>
      <c r="AB40" s="1336">
        <f t="shared" si="4"/>
        <v>1</v>
      </c>
      <c r="AC40" s="1336">
        <f t="shared" si="5"/>
        <v>1</v>
      </c>
    </row>
    <row r="41" spans="1:29" ht="15">
      <c r="A41" s="367" t="s">
        <v>2415</v>
      </c>
      <c r="B41" s="1588" t="s">
        <v>2490</v>
      </c>
      <c r="C41" s="562" t="s">
        <v>1</v>
      </c>
      <c r="D41" s="369"/>
      <c r="E41" s="370"/>
      <c r="F41" s="371"/>
      <c r="G41" s="372"/>
      <c r="H41" s="373"/>
      <c r="I41" s="370"/>
      <c r="J41" s="373"/>
      <c r="K41" s="639"/>
      <c r="L41" s="3030"/>
      <c r="M41" s="3019"/>
      <c r="N41" s="3019"/>
      <c r="P41" s="3490" t="str">
        <f>A41</f>
        <v>成交单价</v>
      </c>
      <c r="Q41" s="3490"/>
      <c r="R41" s="3514">
        <f>E41</f>
        <v>0</v>
      </c>
      <c r="S41" s="3514"/>
      <c r="T41" s="3514">
        <f>G41</f>
        <v>0</v>
      </c>
      <c r="U41" s="3514"/>
      <c r="V41" s="3514">
        <f>I41</f>
        <v>0</v>
      </c>
      <c r="W41" s="3514"/>
      <c r="X41" s="617"/>
      <c r="Y41" s="637"/>
      <c r="Z41" s="617"/>
      <c r="AA41" s="617"/>
      <c r="AB41" s="617"/>
      <c r="AC41" s="617"/>
    </row>
    <row r="42" spans="1:29" ht="15.75" thickBot="1">
      <c r="A42" s="374" t="s">
        <v>2368</v>
      </c>
      <c r="B42" s="563"/>
      <c r="C42" s="377" t="e">
        <f>R43</f>
        <v>#DIV/0!</v>
      </c>
      <c r="D42" s="1792" t="s">
        <v>2740</v>
      </c>
      <c r="E42" s="377" t="e">
        <f>R42</f>
        <v>#DIV/0!</v>
      </c>
      <c r="F42" s="1794"/>
      <c r="G42" s="376" t="e">
        <f>T42</f>
        <v>#DIV/0!</v>
      </c>
      <c r="H42" s="1794"/>
      <c r="I42" s="377" t="e">
        <f>V42</f>
        <v>#DIV/0!</v>
      </c>
      <c r="J42" s="1794"/>
      <c r="K42" s="2506">
        <f>F42+H42+J42</f>
        <v>0</v>
      </c>
      <c r="L42" s="3030"/>
      <c r="M42" s="3019"/>
      <c r="N42" s="3019"/>
      <c r="P42" s="3490" t="str">
        <f>A42</f>
        <v>比较价值（元/平方米）</v>
      </c>
      <c r="Q42" s="3490"/>
      <c r="R42" s="3531" t="e">
        <f>ROUND(PRODUCT(R41,AA7:AA40),0)</f>
        <v>#DIV/0!</v>
      </c>
      <c r="S42" s="3531"/>
      <c r="T42" s="3531" t="e">
        <f>ROUND(PRODUCT(T41,AB7:AB40),0)</f>
        <v>#DIV/0!</v>
      </c>
      <c r="U42" s="3531"/>
      <c r="V42" s="3531" t="e">
        <f>ROUND(PRODUCT(V41,AC7:AC40),0)</f>
        <v>#DIV/0!</v>
      </c>
      <c r="W42" s="3531"/>
      <c r="X42" s="617"/>
      <c r="Y42" s="617"/>
      <c r="Z42" s="617"/>
      <c r="AA42" s="617"/>
      <c r="AB42" s="617"/>
      <c r="AC42" s="617"/>
    </row>
    <row r="43" spans="1:29" ht="15.75" thickBot="1">
      <c r="A43" s="378" t="s">
        <v>2391</v>
      </c>
      <c r="B43" s="379"/>
      <c r="C43" s="380" t="e">
        <f>R43</f>
        <v>#DIV/0!</v>
      </c>
      <c r="D43" s="380"/>
      <c r="E43" s="380"/>
      <c r="F43" s="380"/>
      <c r="G43" s="380"/>
      <c r="H43" s="380"/>
      <c r="I43" s="380"/>
      <c r="J43" s="380"/>
      <c r="K43" s="640"/>
      <c r="L43" s="3030"/>
      <c r="M43" s="3019"/>
      <c r="N43" s="3019"/>
      <c r="P43" s="3525" t="str">
        <f>A43</f>
        <v>估价对象XX用房的比较价值（楼面单价，元/平方米）</v>
      </c>
      <c r="Q43" s="3526"/>
      <c r="R43" s="3530" t="e">
        <f>ROUND(IF(D42="简单平均",AVERAGE(R42:W42),R42*F42+T42*H42+V42*J42),0)</f>
        <v>#DIV/0!</v>
      </c>
      <c r="S43" s="3530"/>
      <c r="T43" s="3530"/>
      <c r="U43" s="3530"/>
      <c r="V43" s="3530"/>
      <c r="W43" s="3530"/>
      <c r="X43" s="617"/>
      <c r="Y43" s="617"/>
      <c r="Z43" s="617"/>
      <c r="AA43" s="617"/>
      <c r="AB43" s="617"/>
      <c r="AC43" s="617"/>
    </row>
    <row r="44" spans="1:29">
      <c r="G44" s="3033"/>
      <c r="M44" s="3019"/>
      <c r="N44" s="3019"/>
    </row>
    <row r="45" spans="1:29">
      <c r="M45" s="3019"/>
      <c r="N45" s="3019"/>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9"/>
      <c r="N46" s="3019"/>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ht="15" thickBot="1">
      <c r="B49" s="3032"/>
      <c r="C49" s="3035"/>
      <c r="K49" s="3034"/>
      <c r="L49" s="3031"/>
    </row>
    <row r="50" spans="1:17" ht="27">
      <c r="A50" s="564" t="s">
        <v>2453</v>
      </c>
      <c r="B50" s="565" t="s">
        <v>2454</v>
      </c>
      <c r="C50" s="1589" t="s">
        <v>2455</v>
      </c>
      <c r="D50" s="1590" t="s">
        <v>2456</v>
      </c>
      <c r="E50" s="566" t="s">
        <v>2457</v>
      </c>
      <c r="F50" s="567" t="s">
        <v>2458</v>
      </c>
      <c r="G50" s="1335" t="s">
        <v>2491</v>
      </c>
      <c r="H50" s="1335" t="str">
        <f>项目基本情况!G8</f>
        <v>吉林省长春市</v>
      </c>
      <c r="I50" s="1309" t="s">
        <v>2460</v>
      </c>
      <c r="J50" s="957"/>
      <c r="K50" s="955"/>
    </row>
    <row r="51" spans="1:17" s="572" customFormat="1">
      <c r="A51" s="568" t="s">
        <v>2461</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2462</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2463</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2464</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2465</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2466</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2467</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2468</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2469</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2470</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59"/>
      <c r="H61" s="959"/>
      <c r="I61" s="3042"/>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2021-4-1</v>
      </c>
      <c r="D63" s="1181">
        <f>EDATE(C63,-3)</f>
        <v>44197</v>
      </c>
      <c r="E63" s="1181">
        <f t="shared" ref="E63:O63" si="18">EDATE(D63,-3)</f>
        <v>44105</v>
      </c>
      <c r="F63" s="1181">
        <f t="shared" si="18"/>
        <v>44013</v>
      </c>
      <c r="G63" s="1181">
        <f t="shared" si="18"/>
        <v>43922</v>
      </c>
      <c r="H63" s="1181">
        <f t="shared" si="18"/>
        <v>43831</v>
      </c>
      <c r="I63" s="1181">
        <f t="shared" si="18"/>
        <v>43739</v>
      </c>
      <c r="J63" s="1181">
        <f t="shared" si="18"/>
        <v>43647</v>
      </c>
      <c r="K63" s="1181">
        <f t="shared" si="18"/>
        <v>43556</v>
      </c>
      <c r="L63" s="1181">
        <f t="shared" si="18"/>
        <v>43466</v>
      </c>
      <c r="M63" s="1181">
        <f t="shared" si="18"/>
        <v>43374</v>
      </c>
      <c r="N63" s="1181">
        <f t="shared" si="18"/>
        <v>43282</v>
      </c>
      <c r="O63" s="1181">
        <f t="shared" si="18"/>
        <v>43191</v>
      </c>
    </row>
    <row r="64" spans="1:17" ht="21.75" thickBot="1">
      <c r="A64" s="619" t="s">
        <v>2373</v>
      </c>
      <c r="B64" s="617"/>
      <c r="C64" s="620"/>
      <c r="D64" s="620"/>
      <c r="E64" s="620"/>
      <c r="F64" s="621"/>
      <c r="G64" s="621"/>
      <c r="H64" s="620"/>
      <c r="I64" s="962"/>
      <c r="J64" s="962"/>
      <c r="K64" s="960"/>
      <c r="L64" s="961"/>
      <c r="M64" s="962"/>
      <c r="N64" s="962"/>
      <c r="O64" s="962"/>
      <c r="P64" s="389"/>
      <c r="Q64" s="390"/>
    </row>
    <row r="65" spans="1:17" s="394" customFormat="1" ht="15">
      <c r="A65" s="1592" t="s">
        <v>2472</v>
      </c>
      <c r="B65" s="1125"/>
      <c r="C65" s="1182" t="str">
        <f>YEAR(C63)&amp;"-"&amp;ROUNDUP(MONTH(C63)/3,0)</f>
        <v>2021-2</v>
      </c>
      <c r="D65" s="1182" t="str">
        <f t="shared" ref="D65:O65" si="19">YEAR(D63)&amp;"-"&amp;ROUNDUP(MONTH(D63)/3,0)</f>
        <v>2021-1</v>
      </c>
      <c r="E65" s="1182" t="str">
        <f t="shared" si="19"/>
        <v>2020-4</v>
      </c>
      <c r="F65" s="1182" t="str">
        <f t="shared" si="19"/>
        <v>2020-3</v>
      </c>
      <c r="G65" s="1182" t="str">
        <f t="shared" si="19"/>
        <v>2020-2</v>
      </c>
      <c r="H65" s="1182" t="str">
        <f t="shared" si="19"/>
        <v>2020-1</v>
      </c>
      <c r="I65" s="1182" t="str">
        <f t="shared" si="19"/>
        <v>2019-4</v>
      </c>
      <c r="J65" s="1182" t="str">
        <f t="shared" si="19"/>
        <v>2019-3</v>
      </c>
      <c r="K65" s="1182" t="str">
        <f t="shared" si="19"/>
        <v>2019-2</v>
      </c>
      <c r="L65" s="1182" t="str">
        <f t="shared" si="19"/>
        <v>2019-1</v>
      </c>
      <c r="M65" s="1182" t="str">
        <f t="shared" si="19"/>
        <v>2018-4</v>
      </c>
      <c r="N65" s="1182" t="str">
        <f t="shared" si="19"/>
        <v>2018-3</v>
      </c>
      <c r="O65" s="1182" t="str">
        <f t="shared" si="19"/>
        <v>2018-2</v>
      </c>
      <c r="P65" s="393"/>
    </row>
    <row r="66" spans="1:17" s="25" customFormat="1" ht="33.75" customHeight="1">
      <c r="A66" s="1597" t="s">
        <v>2492</v>
      </c>
      <c r="B66" s="200" t="str">
        <f>"北京市平均增长率"&amp;TEXT(基准地价修正!P24,"0.00%")</f>
        <v>北京市平均增长率0.00%</v>
      </c>
      <c r="C66" s="491">
        <v>100</v>
      </c>
      <c r="D66" s="483"/>
      <c r="E66" s="483"/>
      <c r="F66" s="483"/>
      <c r="G66" s="483"/>
      <c r="H66" s="483"/>
      <c r="I66" s="483"/>
      <c r="J66" s="483"/>
      <c r="K66" s="483"/>
      <c r="L66" s="483"/>
      <c r="M66" s="1180"/>
      <c r="N66" s="483"/>
      <c r="O66" s="1183"/>
      <c r="P66" s="390"/>
    </row>
    <row r="67" spans="1:17" s="25" customFormat="1" ht="15.75" thickBot="1">
      <c r="A67" s="400" t="s">
        <v>2293</v>
      </c>
      <c r="B67" s="401"/>
      <c r="C67" s="402"/>
      <c r="D67" s="403"/>
      <c r="E67" s="403"/>
      <c r="F67" s="403"/>
      <c r="G67" s="403"/>
      <c r="H67" s="403"/>
      <c r="I67" s="403"/>
      <c r="J67" s="403"/>
      <c r="K67" s="403"/>
      <c r="L67" s="403"/>
      <c r="M67" s="404"/>
      <c r="N67" s="403"/>
      <c r="O67" s="1184"/>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2271</v>
      </c>
      <c r="B107" s="413" t="s">
        <v>2481</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1254</v>
      </c>
      <c r="B1" s="1342"/>
      <c r="C1" s="1342"/>
      <c r="D1" s="1342"/>
      <c r="E1" s="1342"/>
      <c r="F1" s="1342"/>
      <c r="G1" s="1342"/>
    </row>
    <row r="2" spans="1:7">
      <c r="A2" s="1344"/>
    </row>
    <row r="3" spans="1:7" s="1347" customFormat="1" ht="18">
      <c r="A3" s="1345" t="str">
        <f>IF(ISNUMBER(FIND("公司",项目基本情况!B4)),项目基本情况!B4&amp;"：",项目基本情况!B4&amp;"  先生/女士：")</f>
        <v>中谷集团上海粮油有限公司：</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受贵公司委托，我公司对吉林省长春市房地产进行了预评估。</v>
      </c>
      <c r="B4" s="1348"/>
      <c r="C4" s="1348"/>
      <c r="D4" s="1348"/>
      <c r="E4" s="1348"/>
      <c r="F4" s="1348"/>
      <c r="G4" s="1348"/>
    </row>
    <row r="5" spans="1:7" ht="18.75">
      <c r="A5" s="1349" t="s">
        <v>1255</v>
      </c>
    </row>
    <row r="6" spans="1:7" s="1350" customFormat="1" ht="36">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估价对象为吉林省长春市房地产，为德惠市东佳粮油有限公司所有。根据《房屋所有权证》[]，估价对象建筑面积为82.35平方米。估价对象用途为。</v>
      </c>
      <c r="B6" s="1348"/>
      <c r="C6" s="1348"/>
      <c r="D6" s="1348"/>
      <c r="E6" s="1348"/>
      <c r="F6" s="1348"/>
      <c r="G6" s="1348"/>
    </row>
    <row r="7" spans="1:7" ht="18.75">
      <c r="A7" s="1349" t="s">
        <v>1256</v>
      </c>
    </row>
    <row r="8" spans="1:7" ht="18">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8.75">
      <c r="A9" s="1346" t="s">
        <v>1257</v>
      </c>
      <c r="B9" s="1353"/>
    </row>
    <row r="10" spans="1:7" ht="18">
      <c r="A10" s="1354" t="str">
        <f>TEXT(项目基本情况!D2,"yyyy年m月d日;;")&amp;IF(项目基本情况!B2=项目基本情况!D2,"（评估专业人员实地查勘之日）","")</f>
        <v>2021年4月10日（评估专业人员实地查勘之日）</v>
      </c>
      <c r="B10" s="1355"/>
      <c r="C10" s="1355"/>
      <c r="D10" s="1355"/>
      <c r="E10" s="1355"/>
      <c r="F10" s="1355"/>
      <c r="G10" s="1355"/>
    </row>
    <row r="11" spans="1:7" ht="18.75">
      <c r="A11" s="1346" t="s">
        <v>1258</v>
      </c>
    </row>
    <row r="12" spans="1:7" ht="75">
      <c r="A12" s="1348" t="s">
        <v>1259</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本次估价的“房地产价值”是指在正常市场情况下，在价值时点2021年4月10日，估价对象规划用途为，假定未设立法定优先受偿款下的房地产市场价值。</v>
      </c>
      <c r="B13" s="1348"/>
      <c r="C13" s="1348"/>
      <c r="D13" s="1348"/>
      <c r="E13" s="1348"/>
      <c r="F13" s="1348"/>
      <c r="G13" s="1348"/>
    </row>
    <row r="14" spans="1:7" ht="18">
      <c r="A14" s="1351" t="str">
        <f>IF(项目基本情况!D5="房地产市场价值","——",IF(项目基本情况!F5="房地产抵押价值",定义!C54,IF(项目基本情况!F5="已注销",定义!C55,定义!C56)))</f>
        <v>——</v>
      </c>
      <c r="B14" s="1356"/>
      <c r="C14" s="1356"/>
      <c r="D14" s="1356"/>
      <c r="E14" s="1356"/>
      <c r="F14" s="1356"/>
      <c r="G14" s="1356"/>
    </row>
    <row r="15" spans="1:7" ht="56.25">
      <c r="A15" s="1348" t="s">
        <v>1253</v>
      </c>
      <c r="B15" s="1348"/>
      <c r="C15" s="1348"/>
      <c r="D15" s="1348"/>
      <c r="E15" s="1348"/>
      <c r="F15" s="1348"/>
      <c r="G15" s="1348"/>
    </row>
    <row r="16" spans="1:7" ht="18">
      <c r="A16" s="1352" t="str">
        <f>IF(项目基本情况!D5="房地产市场价值","——",IF(项目基本情况!G5="——","",定义!C57))</f>
        <v>——</v>
      </c>
      <c r="B16" s="1356"/>
      <c r="C16" s="1356"/>
      <c r="D16" s="1356"/>
      <c r="E16" s="1356"/>
      <c r="F16" s="1356"/>
      <c r="G16" s="1356"/>
    </row>
    <row r="17" spans="1:1" ht="18.75">
      <c r="A17" s="1346" t="s">
        <v>1252</v>
      </c>
    </row>
    <row r="18" spans="1:1" ht="18">
      <c r="A18" s="135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0" customWidth="1"/>
    <col min="33" max="38" width="9.375" style="1621" customWidth="1"/>
    <col min="39" max="16384" width="9" style="1621"/>
  </cols>
  <sheetData>
    <row r="1" spans="1:36" ht="28.5">
      <c r="A1" s="2092" t="s">
        <v>2493</v>
      </c>
      <c r="B1" s="2093"/>
      <c r="C1" s="2094" t="s">
        <v>2494</v>
      </c>
      <c r="D1" s="2095">
        <f>SUM(D29:D30,D33:D39)</f>
        <v>82.35</v>
      </c>
      <c r="E1" s="2095"/>
      <c r="F1" s="2095"/>
      <c r="G1" s="2095"/>
      <c r="H1" s="2095"/>
      <c r="I1" s="2095"/>
      <c r="J1" s="2095"/>
      <c r="K1" s="3043"/>
      <c r="L1" s="2096" t="s">
        <v>2495</v>
      </c>
      <c r="M1" s="2097">
        <f>SUMPRODUCT((区片价!B5:B9=I2)*(区片价!C3:F3=E2)*(区片价!C5:F9))</f>
        <v>0</v>
      </c>
      <c r="N1" s="2098">
        <f>SUMPRODUCT((因素修正幅度!B5:B9=I2)*(因素修正幅度!C3:F3=E2)*(因素修正幅度!C5:F9))</f>
        <v>0</v>
      </c>
      <c r="O1" s="3043"/>
      <c r="P1" s="3043"/>
      <c r="Q1" s="3043"/>
      <c r="R1" s="2099" t="s">
        <v>2496</v>
      </c>
      <c r="S1" s="2099" t="s">
        <v>2497</v>
      </c>
      <c r="T1" s="2099" t="s">
        <v>2498</v>
      </c>
      <c r="U1" s="2099" t="s">
        <v>2499</v>
      </c>
      <c r="V1" s="2099" t="s">
        <v>2500</v>
      </c>
      <c r="W1" s="2100"/>
      <c r="X1" s="2100"/>
      <c r="Y1" s="2100"/>
      <c r="Z1" s="2100"/>
      <c r="AA1" s="2100"/>
      <c r="AB1" s="2100"/>
      <c r="AC1" s="2100"/>
      <c r="AD1" s="2101"/>
      <c r="AE1" s="2101"/>
      <c r="AF1" s="2101"/>
      <c r="AG1" s="2101"/>
      <c r="AH1" s="2101"/>
      <c r="AI1" s="2101"/>
      <c r="AJ1" s="2102"/>
    </row>
    <row r="2" spans="1:36" ht="24.75">
      <c r="A2" s="1956" t="s">
        <v>2501</v>
      </c>
      <c r="B2" s="1656">
        <f ca="1">C26</f>
        <v>0</v>
      </c>
      <c r="C2" s="2103" t="s">
        <v>2502</v>
      </c>
      <c r="D2" s="1599" t="s">
        <v>2503</v>
      </c>
      <c r="E2" s="2104" t="s">
        <v>2882</v>
      </c>
      <c r="F2" s="1599" t="s">
        <v>2504</v>
      </c>
      <c r="G2" s="2105">
        <f>项目基本情况!F9</f>
        <v>0</v>
      </c>
      <c r="H2" s="1600" t="s">
        <v>2505</v>
      </c>
      <c r="I2" s="2105">
        <f>项目基本情况!F10</f>
        <v>0</v>
      </c>
      <c r="J2" s="2106"/>
      <c r="K2" s="3043"/>
      <c r="L2" s="2107" t="s">
        <v>2506</v>
      </c>
      <c r="M2" s="2108">
        <f>SUMPRODUCT((区片价!B10:B28=I2)*(区片价!C3:F3=E2)*(区片价!C10:F28))</f>
        <v>0</v>
      </c>
      <c r="N2" s="2109">
        <f>SUMPRODUCT((因素修正幅度!B10:B28=I2)*(因素修正幅度!C3:F3=E2)*(因素修正幅度!C10:F28))</f>
        <v>0</v>
      </c>
      <c r="O2" s="3043"/>
      <c r="P2" s="3043"/>
      <c r="Q2" s="3043"/>
      <c r="R2" s="2099">
        <v>1</v>
      </c>
      <c r="S2" s="2099" t="e">
        <f>ROUND(IF(G3&gt;1,IF(R2&lt;7,SUMPRODUCT((B93:B98=R2)*(C92:N92=G2)*(C93:N98)),SUMIF(C92:N92,G2,C100:N100)),IF(R2&lt;7,SUMPRODUCT((B102:B107=R2)*(C92:N92=G2)*(C102:N107)),SUMIF(C92:N92,G2,C109:N109))),4)</f>
        <v>#DIV/0!</v>
      </c>
      <c r="T2" s="2099" t="e">
        <f ca="1">ROUND($C$5*$C$18*$C$19*$C$20*S2*$C$24,0)</f>
        <v>#DIV/0!</v>
      </c>
      <c r="U2" s="2110"/>
      <c r="V2" s="2099" t="e">
        <f ca="1">ROUND(T2*U2/10000,0)</f>
        <v>#DIV/0!</v>
      </c>
      <c r="W2" s="2100"/>
      <c r="X2" s="2100"/>
      <c r="Y2" s="2100"/>
      <c r="Z2" s="2100"/>
      <c r="AA2" s="2100"/>
      <c r="AB2" s="2100"/>
      <c r="AC2" s="2100"/>
      <c r="AD2" s="2101"/>
      <c r="AE2" s="2101"/>
      <c r="AF2" s="2101"/>
      <c r="AG2" s="2101"/>
      <c r="AH2" s="2101"/>
      <c r="AI2" s="2101"/>
      <c r="AJ2" s="2102"/>
    </row>
    <row r="3" spans="1:36" ht="25.5">
      <c r="A3" s="1656" t="s">
        <v>2507</v>
      </c>
      <c r="B3" s="1656">
        <f ca="1">ROUND(B2/D1,0)</f>
        <v>0</v>
      </c>
      <c r="C3" s="2103" t="s">
        <v>2508</v>
      </c>
      <c r="D3" s="1599" t="s">
        <v>2509</v>
      </c>
      <c r="E3" s="2104" t="s">
        <v>2884</v>
      </c>
      <c r="F3" s="1601" t="s">
        <v>2510</v>
      </c>
      <c r="G3" s="2111">
        <f>项目基本情况!C15</f>
        <v>0</v>
      </c>
      <c r="H3" s="50" t="s">
        <v>2511</v>
      </c>
      <c r="I3" s="2112"/>
      <c r="J3" s="2106" t="s">
        <v>2512</v>
      </c>
      <c r="K3" s="3043"/>
      <c r="L3" s="2107" t="s">
        <v>2513</v>
      </c>
      <c r="M3" s="2108">
        <f>SUMPRODUCT((区片价!B29:B48=I2)*(区片价!C3:F3=E2)*(区片价!C29:F48))</f>
        <v>0</v>
      </c>
      <c r="N3" s="2109">
        <f>SUMPRODUCT((因素修正幅度!B29:B48=I2)*(因素修正幅度!C3:F3=E2)*(因素修正幅度!C29:F48))</f>
        <v>0</v>
      </c>
      <c r="O3" s="3043"/>
      <c r="P3" s="3043"/>
      <c r="Q3" s="3043"/>
      <c r="R3" s="2099">
        <v>2</v>
      </c>
      <c r="S3" s="2099" t="e">
        <f>ROUND(IF(G3&gt;1,IF(R3&lt;7,SUMPRODUCT((B93:B98=R3)*(C92:N92=G2)*(C93:N98)),SUMIF(C92:N92,G2,C100:N100)),IF(R3&lt;7,SUMPRODUCT((B102:B107=R3)*(C92:N92=G2)*(C102:N107)),SUMIF(C92:N92,G2,C109:N109))),4)</f>
        <v>#DIV/0!</v>
      </c>
      <c r="T3" s="2099" t="e">
        <f t="shared" ref="T3:T16" ca="1" si="0">ROUND($C$5*$C$18*$C$19*$C$20*S3*$C$24,0)</f>
        <v>#DIV/0!</v>
      </c>
      <c r="U3" s="2110"/>
      <c r="V3" s="2099" t="e">
        <f t="shared" ref="V3:V16" ca="1" si="1">ROUND(T3*U3/10000,0)</f>
        <v>#DIV/0!</v>
      </c>
      <c r="W3" s="2100"/>
      <c r="X3" s="2100"/>
      <c r="Y3" s="2100"/>
      <c r="Z3" s="2100"/>
      <c r="AA3" s="2100"/>
      <c r="AB3" s="2100"/>
      <c r="AC3" s="2100"/>
      <c r="AD3" s="2101"/>
      <c r="AE3" s="2101"/>
      <c r="AF3" s="2101"/>
      <c r="AG3" s="2101"/>
      <c r="AH3" s="2101"/>
      <c r="AI3" s="2101"/>
      <c r="AJ3" s="2102"/>
    </row>
    <row r="4" spans="1:36" ht="15.75">
      <c r="A4" s="3549"/>
      <c r="B4" s="3550"/>
      <c r="C4" s="3550"/>
      <c r="D4" s="3551"/>
      <c r="E4" s="3551"/>
      <c r="F4" s="3551"/>
      <c r="G4" s="3551"/>
      <c r="H4" s="3551"/>
      <c r="I4" s="3551"/>
      <c r="J4" s="3552"/>
      <c r="K4" s="3043"/>
      <c r="L4" s="2107" t="s">
        <v>2514</v>
      </c>
      <c r="M4" s="2108">
        <f>SUMPRODUCT((区片价!B49:B75=I2)*(区片价!C3:F3=E2)*(区片价!C49:F75))</f>
        <v>0</v>
      </c>
      <c r="N4" s="2109">
        <f>SUMPRODUCT((因素修正幅度!B49:B75=I2)*(因素修正幅度!C3:F3=E2)*(因素修正幅度!C49:F75))</f>
        <v>0</v>
      </c>
      <c r="O4" s="3043"/>
      <c r="P4" s="3043"/>
      <c r="Q4" s="3043"/>
      <c r="R4" s="2099">
        <v>3</v>
      </c>
      <c r="S4" s="2099" t="e">
        <f>ROUND(IF(G3&gt;1,IF(R4&lt;7,SUMPRODUCT((B93:B98=R4)*(C92:N92=G2)*(C93:N98)),SUMIF(C92:N92,G2,C100:N100)),IF(R4&lt;7,SUMPRODUCT((B102:B107=R4)*(C92:N92=G2)*(C102:N107)),SUMIF(C92:N92,G2,C109:N109))),4)</f>
        <v>#DIV/0!</v>
      </c>
      <c r="T4" s="2099" t="e">
        <f t="shared" ca="1" si="0"/>
        <v>#DIV/0!</v>
      </c>
      <c r="U4" s="2110"/>
      <c r="V4" s="2099" t="e">
        <f t="shared" ca="1" si="1"/>
        <v>#DIV/0!</v>
      </c>
      <c r="W4" s="2100"/>
      <c r="X4" s="2100"/>
      <c r="Y4" s="2100"/>
      <c r="Z4" s="2100"/>
      <c r="AA4" s="2100"/>
      <c r="AB4" s="2100"/>
      <c r="AC4" s="2100"/>
      <c r="AD4" s="2101"/>
      <c r="AE4" s="2101"/>
      <c r="AF4" s="2101"/>
      <c r="AG4" s="2101"/>
      <c r="AH4" s="2101"/>
      <c r="AI4" s="2101"/>
      <c r="AJ4" s="2102"/>
    </row>
    <row r="5" spans="1:36" s="2120" customFormat="1" ht="15.75" thickBot="1">
      <c r="A5" s="1602" t="s">
        <v>2515</v>
      </c>
      <c r="B5" s="1602" t="s">
        <v>2516</v>
      </c>
      <c r="C5" s="2113">
        <f>ROUND(IF(E2="商业",C6*C7+C16,(IF(E2="住宅",C6*C12+C16,C6+C16))),0)</f>
        <v>0</v>
      </c>
      <c r="D5" s="2114">
        <f>ROUND(C6+C16,0)</f>
        <v>0</v>
      </c>
      <c r="E5" s="2114"/>
      <c r="F5" s="2115"/>
      <c r="G5" s="2116"/>
      <c r="H5" s="2116"/>
      <c r="I5" s="2116"/>
      <c r="J5" s="2073"/>
      <c r="K5" s="1664"/>
      <c r="L5" s="2107" t="s">
        <v>2517</v>
      </c>
      <c r="M5" s="2108">
        <f>SUMPRODUCT((区片价!B76:B109=I2)*(区片价!C3:F3=E2)*(区片价!C76:F109))</f>
        <v>0</v>
      </c>
      <c r="N5" s="2109">
        <f>SUMPRODUCT((因素修正幅度!B76:B109=I2)*(因素修正幅度!C3:F3=E2)*(因素修正幅度!C76:F109))</f>
        <v>0</v>
      </c>
      <c r="O5" s="3043"/>
      <c r="P5" s="3043"/>
      <c r="Q5" s="3043"/>
      <c r="R5" s="2099">
        <v>4</v>
      </c>
      <c r="S5" s="2099" t="e">
        <f>ROUND(IF(G3&gt;1,IF(R5&lt;7,SUMPRODUCT((B93:B98=R5)*(C92:N92=G2)*(C93:N98)),SUMIF(C92:N92,G2,C100:N100)),IF(R5&lt;7,SUMPRODUCT((B102:B107=R5)*(C92:N92=G2)*(C102:N107)),SUMIF(C92:N92,G2,C109:N109))),4)</f>
        <v>#DIV/0!</v>
      </c>
      <c r="T5" s="2099" t="e">
        <f t="shared" ca="1" si="0"/>
        <v>#DIV/0!</v>
      </c>
      <c r="U5" s="2110"/>
      <c r="V5" s="2099" t="e">
        <f t="shared" ca="1" si="1"/>
        <v>#DIV/0!</v>
      </c>
      <c r="W5" s="2100"/>
      <c r="X5" s="2100"/>
      <c r="Y5" s="2100"/>
      <c r="Z5" s="2100"/>
      <c r="AA5" s="2100"/>
      <c r="AB5" s="2100"/>
      <c r="AC5" s="2117"/>
      <c r="AD5" s="2118"/>
      <c r="AE5" s="2118"/>
      <c r="AF5" s="2118"/>
      <c r="AG5" s="2118"/>
      <c r="AH5" s="2118"/>
      <c r="AI5" s="2118"/>
      <c r="AJ5" s="2119"/>
    </row>
    <row r="6" spans="1:36" ht="15.75" thickBot="1">
      <c r="A6" s="2121">
        <v>1</v>
      </c>
      <c r="B6" s="1603" t="s">
        <v>2518</v>
      </c>
      <c r="C6" s="2122">
        <f>SUMIF(L1:L12,G2,M1:M12)</f>
        <v>0</v>
      </c>
      <c r="D6" s="2123" t="s">
        <v>2519</v>
      </c>
      <c r="E6" s="1603"/>
      <c r="F6" s="1603"/>
      <c r="G6" s="2124"/>
      <c r="H6" s="2124"/>
      <c r="I6" s="2124"/>
      <c r="J6" s="2125"/>
      <c r="K6" s="3044"/>
      <c r="L6" s="2107" t="s">
        <v>2520</v>
      </c>
      <c r="M6" s="2108">
        <f>SUMPRODUCT((区片价!B110:B157=I2)*(区片价!C3:F3=E2)*(区片价!C110:F157))</f>
        <v>0</v>
      </c>
      <c r="N6" s="2109">
        <f>SUMPRODUCT((因素修正幅度!B110:B157=I2)*(因素修正幅度!C3:F3=E2)*(因素修正幅度!C110:F157))</f>
        <v>0</v>
      </c>
      <c r="O6" s="3043"/>
      <c r="P6" s="3043"/>
      <c r="Q6" s="3043"/>
      <c r="R6" s="2099">
        <v>5</v>
      </c>
      <c r="S6" s="2099" t="e">
        <f>ROUND(IF(G3&gt;1,IF(R6&lt;7,SUMPRODUCT((B93:B98=R6)*(C92:N92=G2)*(C93:N98)),SUMIF(C92:N92,G2,C100:N100)),IF(R6&lt;7,SUMPRODUCT((B102:B107=R6)*(C92:N92=G2)*(C102:N107)),SUMIF(C92:N92,G2,C109:N109))),4)</f>
        <v>#DIV/0!</v>
      </c>
      <c r="T6" s="2099" t="e">
        <f t="shared" ca="1" si="0"/>
        <v>#DIV/0!</v>
      </c>
      <c r="U6" s="2110"/>
      <c r="V6" s="2099" t="e">
        <f t="shared" ca="1" si="1"/>
        <v>#DIV/0!</v>
      </c>
      <c r="W6" s="2100"/>
      <c r="X6" s="2100"/>
      <c r="Y6" s="2100"/>
      <c r="Z6" s="2100"/>
      <c r="AA6" s="2100"/>
      <c r="AB6" s="2100"/>
      <c r="AC6" s="2117"/>
      <c r="AD6" s="2118"/>
      <c r="AE6" s="2118"/>
      <c r="AF6" s="2118"/>
      <c r="AG6" s="2118"/>
      <c r="AH6" s="2118"/>
      <c r="AI6" s="2118"/>
      <c r="AJ6" s="2119"/>
    </row>
    <row r="7" spans="1:36" ht="24">
      <c r="A7" s="3553" t="str">
        <f>IF(E2="商业",IF(C8="不临58条商业街","",2),"")</f>
        <v/>
      </c>
      <c r="B7" s="1604" t="s">
        <v>2521</v>
      </c>
      <c r="C7" s="2126" t="e">
        <f>IF(C8="不临58条商业街",1,ROUND(1+(1.6*E8+1.2*E9+0.8*E10+0.4*E11)*C9,4))</f>
        <v>#DIV/0!</v>
      </c>
      <c r="D7" s="2127" t="s">
        <v>2522</v>
      </c>
      <c r="E7" s="2128"/>
      <c r="F7" s="2129"/>
      <c r="G7" s="2129"/>
      <c r="H7" s="2129"/>
      <c r="I7" s="2129"/>
      <c r="J7" s="2130"/>
      <c r="K7" s="3044"/>
      <c r="L7" s="2107" t="s">
        <v>2523</v>
      </c>
      <c r="M7" s="2108">
        <f>SUMPRODUCT((区片价!B158:B205=I2)*(区片价!C3:F3=E2)*(区片价!C158:F205))</f>
        <v>0</v>
      </c>
      <c r="N7" s="2109">
        <f>SUMPRODUCT((因素修正幅度!B158:B205=I2)*(因素修正幅度!C3:F3=E2)*(因素修正幅度!C158:F205))</f>
        <v>0</v>
      </c>
      <c r="O7" s="3043"/>
      <c r="P7" s="3043"/>
      <c r="Q7" s="3043"/>
      <c r="R7" s="2099">
        <v>6</v>
      </c>
      <c r="S7" s="2099" t="e">
        <f>ROUND(IF(G3&gt;1,IF(R7&lt;7,SUMPRODUCT((B93:B98=R7)*(C92:N92=G2)*(C93:N98)),SUMIF(C92:N92,G2,C100:N100)),IF(R7&lt;7,SUMPRODUCT((B102:B107=R7)*(C92:N92=G2)*(C102:N107)),SUMIF(C92:N92,G2,C109:N109))),4)</f>
        <v>#DIV/0!</v>
      </c>
      <c r="T7" s="2099" t="e">
        <f t="shared" ca="1" si="0"/>
        <v>#DIV/0!</v>
      </c>
      <c r="U7" s="2110"/>
      <c r="V7" s="2099" t="e">
        <f t="shared" ca="1" si="1"/>
        <v>#DIV/0!</v>
      </c>
      <c r="W7" s="2131" t="s">
        <v>2524</v>
      </c>
      <c r="X7" s="2132">
        <f>G2</f>
        <v>0</v>
      </c>
      <c r="Y7" s="2132" t="s">
        <v>2525</v>
      </c>
      <c r="Z7" s="2133">
        <f>G3</f>
        <v>0</v>
      </c>
      <c r="AA7" s="2100"/>
      <c r="AB7" s="2100"/>
      <c r="AC7" s="2100"/>
      <c r="AD7" s="2101"/>
      <c r="AE7" s="2101"/>
      <c r="AF7" s="2101"/>
      <c r="AG7" s="2101"/>
      <c r="AH7" s="2101"/>
      <c r="AI7" s="2101"/>
      <c r="AJ7" s="2102"/>
    </row>
    <row r="8" spans="1:36" ht="15">
      <c r="A8" s="3554"/>
      <c r="B8" s="50" t="s">
        <v>2526</v>
      </c>
      <c r="C8" s="2134"/>
      <c r="D8" s="65" t="s">
        <v>89</v>
      </c>
      <c r="E8" s="2135" t="e">
        <f>ROUND(C11/E7,4)</f>
        <v>#DIV/0!</v>
      </c>
      <c r="F8" s="2136" t="s">
        <v>2527</v>
      </c>
      <c r="G8" s="2137"/>
      <c r="H8" s="2137"/>
      <c r="I8" s="2137"/>
      <c r="J8" s="2138"/>
      <c r="K8" s="3043"/>
      <c r="L8" s="2107" t="s">
        <v>2528</v>
      </c>
      <c r="M8" s="2108">
        <f>SUMPRODUCT((区片价!B206:B244=I2)*(区片价!C3:F3=E2)*(区片价!C206:F244))</f>
        <v>0</v>
      </c>
      <c r="N8" s="2109">
        <f>SUMPRODUCT((因素修正幅度!B206:B244=I2)*(因素修正幅度!C3:F3=E2)*(因素修正幅度!C206:F244))</f>
        <v>0</v>
      </c>
      <c r="O8" s="3043"/>
      <c r="P8" s="3043"/>
      <c r="Q8" s="3043"/>
      <c r="R8" s="2099">
        <v>7</v>
      </c>
      <c r="S8" s="2110"/>
      <c r="T8" s="2099">
        <f t="shared" ca="1" si="0"/>
        <v>0</v>
      </c>
      <c r="U8" s="2110"/>
      <c r="V8" s="2099">
        <f t="shared" ca="1" si="1"/>
        <v>0</v>
      </c>
      <c r="W8" s="3547" t="s">
        <v>2529</v>
      </c>
      <c r="X8" s="3548"/>
      <c r="Y8" s="2139" t="s">
        <v>2530</v>
      </c>
      <c r="Z8" s="2139" t="s">
        <v>2531</v>
      </c>
      <c r="AA8" s="2139" t="s">
        <v>2532</v>
      </c>
      <c r="AB8" s="2139" t="s">
        <v>2533</v>
      </c>
      <c r="AC8" s="2139" t="s">
        <v>2534</v>
      </c>
      <c r="AD8" s="2139" t="s">
        <v>2535</v>
      </c>
      <c r="AE8" s="2139" t="s">
        <v>2536</v>
      </c>
      <c r="AF8" s="2139" t="s">
        <v>2537</v>
      </c>
      <c r="AG8" s="2139" t="s">
        <v>2538</v>
      </c>
      <c r="AH8" s="2139" t="s">
        <v>2539</v>
      </c>
      <c r="AI8" s="2139" t="s">
        <v>2540</v>
      </c>
      <c r="AJ8" s="2139" t="s">
        <v>2541</v>
      </c>
    </row>
    <row r="9" spans="1:36" ht="15">
      <c r="A9" s="3554"/>
      <c r="B9" s="50" t="s">
        <v>2542</v>
      </c>
      <c r="C9" s="2140">
        <f>SUMIF(修正!C59:C119,C8,修正!E59:E119)</f>
        <v>0</v>
      </c>
      <c r="D9" s="50" t="s">
        <v>90</v>
      </c>
      <c r="E9" s="50" t="e">
        <f>ROUND(C11/E7,4)</f>
        <v>#DIV/0!</v>
      </c>
      <c r="F9" s="2136" t="s">
        <v>2543</v>
      </c>
      <c r="G9" s="2137"/>
      <c r="H9" s="2137"/>
      <c r="I9" s="2137"/>
      <c r="J9" s="2138"/>
      <c r="K9" s="3043"/>
      <c r="L9" s="2107" t="s">
        <v>2544</v>
      </c>
      <c r="M9" s="2108">
        <f>SUMPRODUCT((区片价!B245:B289=I2)*(区片价!C3:F3=E2)*(区片价!C245:F289))</f>
        <v>0</v>
      </c>
      <c r="N9" s="2109">
        <f>SUMPRODUCT((因素修正幅度!B245:B289=I2)*(因素修正幅度!C3:F3=E2)*(因素修正幅度!C245:F289))</f>
        <v>0</v>
      </c>
      <c r="O9" s="3043"/>
      <c r="P9" s="3043"/>
      <c r="Q9" s="3043"/>
      <c r="R9" s="2099">
        <v>8</v>
      </c>
      <c r="S9" s="2110"/>
      <c r="T9" s="2099">
        <f t="shared" ca="1" si="0"/>
        <v>0</v>
      </c>
      <c r="U9" s="2110"/>
      <c r="V9" s="2099">
        <f t="shared" ca="1" si="1"/>
        <v>0</v>
      </c>
      <c r="W9" s="3548" t="s">
        <v>2545</v>
      </c>
      <c r="X9" s="2141" t="s">
        <v>2546</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54"/>
      <c r="B10" s="50" t="s">
        <v>2547</v>
      </c>
      <c r="C10" s="50">
        <f>SUMIF(修正!C59:C119,C8,修正!F59:F119)</f>
        <v>0</v>
      </c>
      <c r="D10" s="50" t="s">
        <v>91</v>
      </c>
      <c r="E10" s="50" t="e">
        <f>ROUND(C11/E7,4)</f>
        <v>#DIV/0!</v>
      </c>
      <c r="F10" s="2136" t="s">
        <v>2548</v>
      </c>
      <c r="G10" s="2137"/>
      <c r="H10" s="2137"/>
      <c r="I10" s="2137"/>
      <c r="J10" s="2138"/>
      <c r="K10" s="3043"/>
      <c r="L10" s="2107" t="s">
        <v>2549</v>
      </c>
      <c r="M10" s="2108">
        <f>SUMPRODUCT((区片价!B290:B316=I2)*(区片价!C3:F3=E2)*(区片价!C290:F316))</f>
        <v>0</v>
      </c>
      <c r="N10" s="2109">
        <f>SUMPRODUCT((因素修正幅度!B290:B316=I2)*(因素修正幅度!C3:F3=E2)*(因素修正幅度!C290:F316))</f>
        <v>0</v>
      </c>
      <c r="O10" s="3043"/>
      <c r="P10" s="3043"/>
      <c r="Q10" s="3043"/>
      <c r="R10" s="2099">
        <v>9</v>
      </c>
      <c r="S10" s="2110"/>
      <c r="T10" s="2099">
        <f t="shared" ca="1" si="0"/>
        <v>0</v>
      </c>
      <c r="U10" s="2110"/>
      <c r="V10" s="2099">
        <f t="shared" ca="1" si="1"/>
        <v>0</v>
      </c>
      <c r="W10" s="3548"/>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54"/>
      <c r="B11" s="1605" t="s">
        <v>2550</v>
      </c>
      <c r="C11" s="1605">
        <f>C10/4</f>
        <v>0</v>
      </c>
      <c r="D11" s="1605" t="s">
        <v>92</v>
      </c>
      <c r="E11" s="1605" t="e">
        <f>ROUND(C11/E7,4)</f>
        <v>#DIV/0!</v>
      </c>
      <c r="F11" s="2145" t="s">
        <v>2551</v>
      </c>
      <c r="G11" s="2146"/>
      <c r="H11" s="2146"/>
      <c r="I11" s="2146"/>
      <c r="J11" s="2147"/>
      <c r="K11" s="3043"/>
      <c r="L11" s="2107" t="s">
        <v>2552</v>
      </c>
      <c r="M11" s="2108">
        <f>SUMPRODUCT((区片价!B317:B337=I2)*(区片价!C3:F3=E2)*(区片价!C317:F337))</f>
        <v>0</v>
      </c>
      <c r="N11" s="2109">
        <f>SUMPRODUCT((因素修正幅度!B317:B337=I2)*(因素修正幅度!C3:F3=E2)*(因素修正幅度!C317:F337))</f>
        <v>0</v>
      </c>
      <c r="O11" s="3043"/>
      <c r="P11" s="3043"/>
      <c r="Q11" s="3043"/>
      <c r="R11" s="2099">
        <v>10</v>
      </c>
      <c r="S11" s="2110"/>
      <c r="T11" s="2099">
        <f t="shared" ca="1" si="0"/>
        <v>0</v>
      </c>
      <c r="U11" s="2110"/>
      <c r="V11" s="2099">
        <f t="shared" ca="1" si="1"/>
        <v>0</v>
      </c>
      <c r="W11" s="3548" t="s">
        <v>2553</v>
      </c>
      <c r="X11" s="2148" t="s">
        <v>2554</v>
      </c>
      <c r="Y11" s="2149">
        <f>$G$3</f>
        <v>0</v>
      </c>
      <c r="Z11" s="2149">
        <f t="shared" ref="Z11:AJ11" si="3">$G$3</f>
        <v>0</v>
      </c>
      <c r="AA11" s="2149">
        <f t="shared" si="3"/>
        <v>0</v>
      </c>
      <c r="AB11" s="2149">
        <f t="shared" si="3"/>
        <v>0</v>
      </c>
      <c r="AC11" s="2149">
        <f t="shared" si="3"/>
        <v>0</v>
      </c>
      <c r="AD11" s="2149">
        <f t="shared" si="3"/>
        <v>0</v>
      </c>
      <c r="AE11" s="2149">
        <f t="shared" si="3"/>
        <v>0</v>
      </c>
      <c r="AF11" s="2149">
        <f t="shared" si="3"/>
        <v>0</v>
      </c>
      <c r="AG11" s="2149">
        <f t="shared" si="3"/>
        <v>0</v>
      </c>
      <c r="AH11" s="2149">
        <f t="shared" si="3"/>
        <v>0</v>
      </c>
      <c r="AI11" s="2149">
        <f t="shared" si="3"/>
        <v>0</v>
      </c>
      <c r="AJ11" s="2149">
        <f t="shared" si="3"/>
        <v>0</v>
      </c>
    </row>
    <row r="12" spans="1:36" ht="25.5" thickBot="1">
      <c r="A12" s="3553">
        <f>IF(E2="住宅",2,"")</f>
        <v>2</v>
      </c>
      <c r="B12" s="1606" t="s">
        <v>2555</v>
      </c>
      <c r="C12" s="2126">
        <f>ROUND(C15*D15*E15*F15*G15*H15*I15*J15,4)</f>
        <v>1.32</v>
      </c>
      <c r="D12" s="2150" t="s">
        <v>2556</v>
      </c>
      <c r="E12" s="2151"/>
      <c r="F12" s="2151"/>
      <c r="G12" s="2151"/>
      <c r="H12" s="2151"/>
      <c r="I12" s="2151"/>
      <c r="J12" s="2152"/>
      <c r="K12" s="3043"/>
      <c r="L12" s="2153" t="s">
        <v>2557</v>
      </c>
      <c r="M12" s="2154">
        <f>SUMPRODUCT((区片价!B338:B344=I2)*(区片价!C3:F3=E2)*(区片价!C338:F344))</f>
        <v>0</v>
      </c>
      <c r="N12" s="2155">
        <f>SUMPRODUCT((因素修正幅度!B338:B344=I2)*(因素修正幅度!C3:F3=E2)*(因素修正幅度!C338:F344))</f>
        <v>0</v>
      </c>
      <c r="O12" s="3043"/>
      <c r="P12" s="3043"/>
      <c r="Q12" s="3043"/>
      <c r="R12" s="2099">
        <v>11</v>
      </c>
      <c r="S12" s="2110"/>
      <c r="T12" s="2099">
        <f t="shared" ca="1" si="0"/>
        <v>0</v>
      </c>
      <c r="U12" s="2110"/>
      <c r="V12" s="2099">
        <f t="shared" ca="1" si="1"/>
        <v>0</v>
      </c>
      <c r="W12" s="3548"/>
      <c r="X12" s="2156" t="s">
        <v>2558</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55"/>
      <c r="B13" s="1607" t="s">
        <v>2559</v>
      </c>
      <c r="C13" s="2157" t="s">
        <v>2560</v>
      </c>
      <c r="D13" s="1608" t="s">
        <v>2561</v>
      </c>
      <c r="E13" s="1608" t="s">
        <v>2562</v>
      </c>
      <c r="F13" s="264" t="s">
        <v>2563</v>
      </c>
      <c r="G13" s="2158" t="s">
        <v>2564</v>
      </c>
      <c r="H13" s="2158" t="s">
        <v>2564</v>
      </c>
      <c r="I13" s="2158" t="s">
        <v>2564</v>
      </c>
      <c r="J13" s="2159" t="s">
        <v>2564</v>
      </c>
      <c r="K13" s="3043"/>
      <c r="L13" s="3043"/>
      <c r="M13" s="3043"/>
      <c r="N13" s="3043"/>
      <c r="O13" s="3043"/>
      <c r="P13" s="3043"/>
      <c r="Q13" s="3043"/>
      <c r="R13" s="2099">
        <v>12</v>
      </c>
      <c r="S13" s="2110"/>
      <c r="T13" s="2099">
        <f t="shared" ca="1" si="0"/>
        <v>0</v>
      </c>
      <c r="U13" s="2110"/>
      <c r="V13" s="2099">
        <f t="shared" ca="1" si="1"/>
        <v>0</v>
      </c>
      <c r="W13" s="3548"/>
      <c r="X13" s="2156"/>
      <c r="Y13" s="2144" t="e">
        <f>(-0.163*(Y12^2)-0.59*Y12+7617)*(10^(-4))/Y11</f>
        <v>#DIV/0!</v>
      </c>
      <c r="Z13" s="2144" t="e">
        <f t="shared" ref="Z13:AJ13" si="5">(-0.163*(Z12^2)-0.59*Z12+7617)*(10^(-4))/Z11</f>
        <v>#DIV/0!</v>
      </c>
      <c r="AA13" s="2144" t="e">
        <f t="shared" si="5"/>
        <v>#DIV/0!</v>
      </c>
      <c r="AB13" s="2144" t="e">
        <f t="shared" si="5"/>
        <v>#DIV/0!</v>
      </c>
      <c r="AC13" s="2144" t="e">
        <f t="shared" si="5"/>
        <v>#DIV/0!</v>
      </c>
      <c r="AD13" s="2144" t="e">
        <f t="shared" si="5"/>
        <v>#DIV/0!</v>
      </c>
      <c r="AE13" s="2144" t="e">
        <f t="shared" si="5"/>
        <v>#DIV/0!</v>
      </c>
      <c r="AF13" s="2144" t="e">
        <f t="shared" si="5"/>
        <v>#DIV/0!</v>
      </c>
      <c r="AG13" s="2144" t="e">
        <f t="shared" si="5"/>
        <v>#DIV/0!</v>
      </c>
      <c r="AH13" s="2144" t="e">
        <f t="shared" si="5"/>
        <v>#DIV/0!</v>
      </c>
      <c r="AI13" s="2144" t="e">
        <f t="shared" si="5"/>
        <v>#DIV/0!</v>
      </c>
      <c r="AJ13" s="2144" t="e">
        <f t="shared" si="5"/>
        <v>#DIV/0!</v>
      </c>
    </row>
    <row r="14" spans="1:36" ht="15">
      <c r="A14" s="3555"/>
      <c r="B14" s="1608"/>
      <c r="C14" s="2160" t="s">
        <v>2565</v>
      </c>
      <c r="D14" s="2161" t="s">
        <v>2566</v>
      </c>
      <c r="E14" s="2161" t="s">
        <v>2566</v>
      </c>
      <c r="F14" s="2162" t="s">
        <v>2567</v>
      </c>
      <c r="G14" s="2163" t="s">
        <v>2568</v>
      </c>
      <c r="H14" s="2164"/>
      <c r="I14" s="2165"/>
      <c r="J14" s="2166"/>
      <c r="K14" s="3043"/>
      <c r="L14" s="3043"/>
      <c r="M14" s="3043"/>
      <c r="N14" s="3043"/>
      <c r="O14" s="3043"/>
      <c r="P14" s="3043"/>
      <c r="Q14" s="3043"/>
      <c r="R14" s="2099">
        <v>13</v>
      </c>
      <c r="S14" s="2110"/>
      <c r="T14" s="2099">
        <f t="shared" ca="1" si="0"/>
        <v>0</v>
      </c>
      <c r="U14" s="2110"/>
      <c r="V14" s="2099">
        <f t="shared" ca="1" si="1"/>
        <v>0</v>
      </c>
      <c r="W14" s="2100"/>
      <c r="X14" s="2100"/>
      <c r="Y14" s="2100"/>
      <c r="Z14" s="2100"/>
      <c r="AA14" s="2100"/>
      <c r="AB14" s="2100"/>
      <c r="AC14" s="2100"/>
      <c r="AD14" s="2101"/>
      <c r="AE14" s="2101"/>
      <c r="AF14" s="2101"/>
      <c r="AG14" s="2101"/>
      <c r="AH14" s="2101"/>
      <c r="AI14" s="2101"/>
      <c r="AJ14" s="2102"/>
    </row>
    <row r="15" spans="1:36" ht="15.75" thickBot="1">
      <c r="A15" s="3556"/>
      <c r="B15" s="1609" t="s">
        <v>2569</v>
      </c>
      <c r="C15" s="2167">
        <f>IF(C14="有",1.1,1)</f>
        <v>1.1000000000000001</v>
      </c>
      <c r="D15" s="2167">
        <f>IF(D14="有",1.1,1)</f>
        <v>1</v>
      </c>
      <c r="E15" s="2167">
        <f>IF(E14="有",1.1,1)</f>
        <v>1</v>
      </c>
      <c r="F15" s="2167">
        <f>IF(F14="500米范围内",1.2,IF(F14="500-1000米",1.1,1))</f>
        <v>1.2</v>
      </c>
      <c r="G15" s="2168">
        <v>1</v>
      </c>
      <c r="H15" s="2168">
        <v>1</v>
      </c>
      <c r="I15" s="2168">
        <v>1</v>
      </c>
      <c r="J15" s="2169">
        <v>1</v>
      </c>
      <c r="K15" s="3043"/>
      <c r="L15" s="3043"/>
      <c r="M15" s="3043"/>
      <c r="N15" s="3043"/>
      <c r="O15" s="3043"/>
      <c r="P15" s="3043"/>
      <c r="Q15" s="3043"/>
      <c r="R15" s="2099">
        <v>14</v>
      </c>
      <c r="S15" s="2110"/>
      <c r="T15" s="2099">
        <f t="shared" ca="1" si="0"/>
        <v>0</v>
      </c>
      <c r="U15" s="2110"/>
      <c r="V15" s="2099">
        <f t="shared" ca="1" si="1"/>
        <v>0</v>
      </c>
      <c r="W15" s="2100"/>
      <c r="X15" s="2100"/>
      <c r="Y15" s="2100"/>
      <c r="Z15" s="2100"/>
      <c r="AA15" s="2100"/>
      <c r="AB15" s="2100"/>
      <c r="AC15" s="2100"/>
      <c r="AD15" s="2101"/>
      <c r="AE15" s="2101"/>
      <c r="AF15" s="2101"/>
      <c r="AG15" s="2101"/>
      <c r="AH15" s="2101"/>
      <c r="AI15" s="2101"/>
      <c r="AJ15" s="2102"/>
    </row>
    <row r="16" spans="1:36" ht="24.6" customHeight="1">
      <c r="A16" s="3532">
        <f>IF(E2="办公",2,IF(E2="工业",2,IF(E2="住宅",3,IF(E2="商业",IF(C8="不临58条商业街",2,3)))))</f>
        <v>3</v>
      </c>
      <c r="B16" s="1628" t="s">
        <v>2575</v>
      </c>
      <c r="C16" s="1604">
        <f>ROUND(IF(F17="与级别开发程度一致",0,(G17-E17)/C17),0)</f>
        <v>0</v>
      </c>
      <c r="D16" s="3545" t="s">
        <v>2579</v>
      </c>
      <c r="E16" s="3546"/>
      <c r="F16" s="3545" t="s">
        <v>2576</v>
      </c>
      <c r="G16" s="3546"/>
      <c r="H16" s="2170"/>
      <c r="I16" s="2170"/>
      <c r="J16" s="2171"/>
      <c r="K16" s="2170"/>
      <c r="L16" s="2170"/>
      <c r="M16" s="2170"/>
      <c r="N16" s="2170"/>
      <c r="O16" s="2172"/>
      <c r="P16" s="3043"/>
      <c r="Q16" s="3043"/>
      <c r="R16" s="2099">
        <v>15</v>
      </c>
      <c r="S16" s="2110"/>
      <c r="T16" s="2099">
        <f t="shared" ca="1" si="0"/>
        <v>0</v>
      </c>
      <c r="U16" s="2110"/>
      <c r="V16" s="2099">
        <f t="shared" ca="1" si="1"/>
        <v>0</v>
      </c>
      <c r="W16" s="2100"/>
      <c r="X16" s="2100"/>
      <c r="Y16" s="2100"/>
      <c r="Z16" s="2100"/>
      <c r="AA16" s="2100"/>
      <c r="AB16" s="2100"/>
      <c r="AC16" s="2100"/>
      <c r="AD16" s="2101"/>
      <c r="AE16" s="2101"/>
      <c r="AF16" s="2101"/>
      <c r="AG16" s="2101"/>
      <c r="AH16" s="2101"/>
      <c r="AI16" s="2101"/>
      <c r="AJ16" s="2102"/>
    </row>
    <row r="17" spans="1:35" ht="26.25" thickBot="1">
      <c r="A17" s="3533"/>
      <c r="B17" s="1629" t="s">
        <v>2578</v>
      </c>
      <c r="C17" s="2173">
        <f>SUMPRODUCT((修正!A2:A5=E2)*(修正!B1:M1=G2)*(修正!B2:M5))</f>
        <v>0</v>
      </c>
      <c r="D17" s="2167" t="str">
        <f>IF(OR(G2="八级",G2="九级",G2="十级",G2="十一级",G2="十二级"),"五通一平","七通一平")</f>
        <v>七通一平</v>
      </c>
      <c r="E17" s="2174">
        <f>SUMPRODUCT((修正!B1:M1=G2)*(修正!B15:M15))</f>
        <v>0</v>
      </c>
      <c r="F17" s="2175" t="s">
        <v>2885</v>
      </c>
      <c r="G17" s="1618">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3"/>
      <c r="Q17" s="3043"/>
      <c r="R17" s="1620"/>
      <c r="S17" s="1620"/>
      <c r="T17" s="1620"/>
      <c r="U17" s="1620"/>
      <c r="V17" s="1620"/>
      <c r="W17" s="1620"/>
      <c r="X17" s="1620"/>
      <c r="Y17" s="1620"/>
      <c r="Z17" s="1620"/>
      <c r="AA17" s="1620"/>
      <c r="AB17" s="1620"/>
      <c r="AC17" s="1620"/>
      <c r="AD17" s="1620"/>
      <c r="AE17" s="1620"/>
      <c r="AF17" s="1620"/>
    </row>
    <row r="18" spans="1:35" s="2120" customFormat="1" ht="15.75" thickBot="1">
      <c r="A18" s="2178" t="s">
        <v>2581</v>
      </c>
      <c r="B18" s="1627" t="s">
        <v>2582</v>
      </c>
      <c r="C18" s="2179">
        <f>SUMIF(修正!C18:C39,E3,修正!E18:E39)</f>
        <v>1</v>
      </c>
      <c r="D18" s="2180"/>
      <c r="E18" s="2181"/>
      <c r="F18" s="2181"/>
      <c r="G18" s="2181"/>
      <c r="H18" s="2181"/>
      <c r="I18" s="2181"/>
      <c r="J18" s="2182"/>
      <c r="K18" s="3045"/>
      <c r="L18" s="3045"/>
      <c r="M18" s="3045"/>
      <c r="N18" s="3045"/>
      <c r="O18" s="3043"/>
      <c r="P18" s="3043"/>
      <c r="Q18" s="3043"/>
      <c r="R18" s="3043"/>
      <c r="S18" s="3043"/>
      <c r="T18" s="3043"/>
      <c r="U18" s="3043"/>
      <c r="V18" s="3043"/>
      <c r="W18" s="3043"/>
      <c r="X18" s="1620"/>
      <c r="Y18" s="1620"/>
      <c r="Z18" s="1620"/>
      <c r="AA18" s="1620"/>
      <c r="AB18" s="1620"/>
      <c r="AC18" s="1620"/>
      <c r="AD18" s="1620"/>
      <c r="AE18" s="1620"/>
      <c r="AF18" s="1620"/>
      <c r="AG18" s="1621"/>
      <c r="AH18" s="1621"/>
      <c r="AI18" s="1621"/>
    </row>
    <row r="19" spans="1:35" s="2120" customFormat="1" ht="29.25" thickBot="1">
      <c r="A19" s="2178" t="s">
        <v>2583</v>
      </c>
      <c r="B19" s="1610" t="s">
        <v>2584</v>
      </c>
      <c r="C19" s="2184">
        <f>ROUND(IF(H19="按公示增长率计算",SUMPRODUCT((地价!A3:A33=YEAR(G19)&amp;"-"&amp;ROUNDUP(MONTH(G19)/3,0))*(地价!X2:AB2=E2)*(地价!X3:AB33)),IF(H19="地价指数",M20/M19,(1+I19)^O19)),4)</f>
        <v>0</v>
      </c>
      <c r="D19" s="2185" t="s">
        <v>2585</v>
      </c>
      <c r="E19" s="2186">
        <v>41640</v>
      </c>
      <c r="F19" s="2185" t="s">
        <v>2586</v>
      </c>
      <c r="G19" s="2187">
        <f>'数据-取费表'!B2</f>
        <v>44296</v>
      </c>
      <c r="H19" s="2188" t="s">
        <v>2720</v>
      </c>
      <c r="I19" s="2189" t="str">
        <f>IF(H19="季度增幅（自定义）",SUMIF(N21:N24,E2,O21:O24),"")</f>
        <v/>
      </c>
      <c r="J19" s="2190"/>
      <c r="K19" s="3045"/>
      <c r="L19" s="2071" t="s">
        <v>2587</v>
      </c>
      <c r="M19" s="2191">
        <f>ROUND(SUMIF(地价!B2:F2,E2,地价!B33:F33),0)</f>
        <v>423</v>
      </c>
      <c r="N19" s="2192" t="s">
        <v>2588</v>
      </c>
      <c r="O19" s="2193">
        <f>ROUNDDOWN(DATEDIF(E19,G19,"M")/3,0)</f>
        <v>29</v>
      </c>
      <c r="P19" s="3043"/>
      <c r="Q19" s="3045"/>
      <c r="R19" s="3043"/>
      <c r="S19" s="3043"/>
      <c r="T19" s="3043"/>
      <c r="U19" s="3043"/>
      <c r="V19" s="3043"/>
      <c r="W19" s="3043"/>
      <c r="X19" s="1620"/>
      <c r="Y19" s="1620"/>
      <c r="Z19" s="1620"/>
      <c r="AA19" s="1620"/>
      <c r="AB19" s="1620"/>
      <c r="AC19" s="1620"/>
      <c r="AD19" s="1620"/>
      <c r="AE19" s="2183"/>
      <c r="AF19" s="2194"/>
      <c r="AG19" s="2195"/>
      <c r="AH19" s="1621"/>
    </row>
    <row r="20" spans="1:35" s="2120" customFormat="1" ht="27.75" thickBot="1">
      <c r="A20" s="1714" t="s">
        <v>2589</v>
      </c>
      <c r="B20" s="1611" t="s">
        <v>2590</v>
      </c>
      <c r="C20" s="2196">
        <f ca="1">ROUND(POWER(1+G20,J20-I20)*(POWER(1+G20,I20)-1)/(POWER(1+G20,J20)-1),4)</f>
        <v>0.93959999999999999</v>
      </c>
      <c r="D20" s="2197" t="s">
        <v>2591</v>
      </c>
      <c r="E20" s="3147">
        <f ca="1">存贷款利率!D4/100</f>
        <v>3.85E-2</v>
      </c>
      <c r="F20" s="2197" t="s">
        <v>2580</v>
      </c>
      <c r="G20" s="3148">
        <f ca="1">SUMIF(M26:P26,E2,M28:P28)</f>
        <v>4.3999999999999997E-2</v>
      </c>
      <c r="H20" s="2197" t="s">
        <v>2592</v>
      </c>
      <c r="I20" s="2198">
        <f>'数据-取费表'!B13</f>
        <v>52</v>
      </c>
      <c r="J20" s="2199">
        <f>IF(E2="住宅",70,IF(E2="商业",40,50))</f>
        <v>70</v>
      </c>
      <c r="K20" s="3045"/>
      <c r="L20" s="2200" t="s">
        <v>2593</v>
      </c>
      <c r="M20" s="2201">
        <f>ROUND(SUMPRODUCT((地价!A4:A33=YEAR(G19)&amp;"-"&amp;ROUNDUP(MONTH(G19)/3,0))*(地价!B2:F2=E2)*(地价!B4:F33)),0)</f>
        <v>0</v>
      </c>
      <c r="N20" s="2202" t="s">
        <v>2594</v>
      </c>
      <c r="O20" s="2203" t="s">
        <v>2595</v>
      </c>
      <c r="P20" s="2204" t="s">
        <v>2596</v>
      </c>
      <c r="Q20" s="3045"/>
      <c r="R20" s="3043"/>
      <c r="S20" s="3043"/>
      <c r="T20" s="3043"/>
      <c r="U20" s="3043"/>
      <c r="V20" s="3043"/>
      <c r="W20" s="3043"/>
      <c r="X20" s="1620"/>
      <c r="Y20" s="1620"/>
      <c r="Z20" s="1620"/>
      <c r="AA20" s="1620"/>
      <c r="AB20" s="1620"/>
      <c r="AC20" s="1620"/>
      <c r="AD20" s="1620"/>
      <c r="AE20" s="2183"/>
      <c r="AF20" s="2183"/>
    </row>
    <row r="21" spans="1:35" s="2120" customFormat="1" ht="14.25">
      <c r="A21" s="2205" t="s">
        <v>2597</v>
      </c>
      <c r="B21" s="1612" t="s">
        <v>2598</v>
      </c>
      <c r="C21" s="2206">
        <f>IF(B21="容积率修正",IF(G3&lt;=10,D22,J22),C23)</f>
        <v>0</v>
      </c>
      <c r="D21" s="2207"/>
      <c r="E21" s="2207"/>
      <c r="F21" s="2207"/>
      <c r="G21" s="2207"/>
      <c r="H21" s="2207"/>
      <c r="I21" s="2207"/>
      <c r="J21" s="2072"/>
      <c r="K21" s="3045"/>
      <c r="L21" s="3045"/>
      <c r="M21" s="3045"/>
      <c r="N21" s="2208" t="s">
        <v>2599</v>
      </c>
      <c r="O21" s="2209"/>
      <c r="P21" s="2210">
        <f>SUMPRODUCT((地价!A3:A33=YEAR(G19)&amp;"-"&amp;ROUNDUP(MONTH(G19)/3,0))*(地价!AD2:AH2=N21)*(地价!AD3:AH33))</f>
        <v>0</v>
      </c>
      <c r="Q21" s="3045"/>
      <c r="R21" s="3043"/>
      <c r="S21" s="3043"/>
      <c r="T21" s="3043"/>
      <c r="U21" s="3043"/>
      <c r="V21" s="3043"/>
      <c r="W21" s="3043"/>
      <c r="X21" s="1620"/>
      <c r="Y21" s="1620"/>
      <c r="Z21" s="1620"/>
      <c r="AA21" s="1620"/>
      <c r="AB21" s="1620"/>
      <c r="AC21" s="1620"/>
      <c r="AD21" s="1620"/>
      <c r="AE21" s="2183"/>
      <c r="AF21" s="2183"/>
    </row>
    <row r="22" spans="1:35" s="2120" customFormat="1" ht="14.25">
      <c r="A22" s="2068">
        <v>1</v>
      </c>
      <c r="B22" s="2067" t="s">
        <v>2600</v>
      </c>
      <c r="C22" s="2067" t="s">
        <v>2601</v>
      </c>
      <c r="D22" s="2067">
        <f>IF(E22=G22,F22,IF(G3&lt;=10,ROUND(F22+(H22-F22)*(G3-E22)/(G22-E22),4),"——"))</f>
        <v>0</v>
      </c>
      <c r="E22" s="2111">
        <f>ROUNDDOWN(G3,1)</f>
        <v>0</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1">
        <f>ROUNDUP(G3,1)</f>
        <v>0</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7" t="s">
        <v>104</v>
      </c>
      <c r="J22" s="2211" t="str">
        <f>IF(G3&gt;10,D113,"——")</f>
        <v>——</v>
      </c>
      <c r="K22" s="3045"/>
      <c r="L22" s="3045"/>
      <c r="M22" s="3045"/>
      <c r="N22" s="2208" t="s">
        <v>2602</v>
      </c>
      <c r="O22" s="2209"/>
      <c r="P22" s="2210">
        <f>SUMPRODUCT((地价!A3:A33=YEAR(G19)&amp;"-"&amp;ROUNDUP(MONTH(G19)/3,0))*(地价!AD2:AH2=N22)*(地价!AD3:AH33))</f>
        <v>0</v>
      </c>
      <c r="Q22" s="3045"/>
      <c r="R22" s="3043"/>
      <c r="S22" s="3043"/>
      <c r="T22" s="3043"/>
      <c r="U22" s="3043"/>
      <c r="V22" s="3043"/>
      <c r="W22" s="3043"/>
      <c r="X22" s="1620"/>
      <c r="Y22" s="1620"/>
      <c r="Z22" s="1620"/>
      <c r="AA22" s="1620"/>
      <c r="AB22" s="1620"/>
      <c r="AC22" s="1620"/>
      <c r="AD22" s="1620"/>
      <c r="AE22" s="2183"/>
      <c r="AF22" s="2183"/>
    </row>
    <row r="23" spans="1:35" ht="27">
      <c r="A23" s="2068">
        <v>2</v>
      </c>
      <c r="B23" s="2067" t="s">
        <v>2603</v>
      </c>
      <c r="C23" s="2212" t="e">
        <f>ROUND(IF(G3&gt;1,IF(I3&lt;7,SUMPRODUCT((B93:B98=I3)*(C92:N92=G2)*(C93:N98)),SUMIF(C92:N92,G2,C100:N100)),IF(I3&lt;7,SUMPRODUCT((B102:B107=I3)*(C92:N92=G2)*(C102:N107)),SUMIF(C92:N92,G2,C109:N109))),4)</f>
        <v>#DIV/0!</v>
      </c>
      <c r="D23" s="2164"/>
      <c r="E23" s="2164"/>
      <c r="F23" s="2213"/>
      <c r="G23" s="2214"/>
      <c r="H23" s="1617"/>
      <c r="I23" s="2067"/>
      <c r="J23" s="2211"/>
      <c r="K23" s="3043"/>
      <c r="L23" s="3043"/>
      <c r="M23" s="3043"/>
      <c r="N23" s="2208" t="s">
        <v>2604</v>
      </c>
      <c r="O23" s="2209"/>
      <c r="P23" s="2210">
        <f>SUMPRODUCT((地价!A3:A33=YEAR(G19)&amp;"-"&amp;ROUNDUP(MONTH(G19)/3,0))*(地价!AD2:AH2=N23)*(地价!AD3:AH33))</f>
        <v>0</v>
      </c>
      <c r="Q23" s="3043"/>
      <c r="R23" s="3043"/>
      <c r="S23" s="3043"/>
      <c r="T23" s="3043"/>
      <c r="U23" s="3043"/>
      <c r="V23" s="3043"/>
      <c r="W23" s="3043"/>
      <c r="X23" s="1620"/>
      <c r="Y23" s="1620"/>
      <c r="Z23" s="1620"/>
      <c r="AA23" s="1620"/>
      <c r="AB23" s="1620"/>
      <c r="AC23" s="1620"/>
      <c r="AD23" s="1620"/>
      <c r="AE23" s="1620"/>
      <c r="AF23" s="1620"/>
    </row>
    <row r="24" spans="1:35" s="2120" customFormat="1" ht="15.75" thickBot="1">
      <c r="A24" s="2215" t="s">
        <v>2605</v>
      </c>
      <c r="B24" s="1614" t="s">
        <v>2606</v>
      </c>
      <c r="C24" s="2216">
        <f>SUMIF(A46:A88,E2,B46:B88)</f>
        <v>1</v>
      </c>
      <c r="D24" s="2217"/>
      <c r="E24" s="2218"/>
      <c r="F24" s="2218"/>
      <c r="G24" s="2218"/>
      <c r="H24" s="2218"/>
      <c r="I24" s="2218"/>
      <c r="J24" s="2219"/>
      <c r="K24" s="3045"/>
      <c r="L24" s="3045"/>
      <c r="M24" s="3045"/>
      <c r="N24" s="2220" t="s">
        <v>2607</v>
      </c>
      <c r="O24" s="2221"/>
      <c r="P24" s="2222">
        <f>SUMPRODUCT((地价!A3:A33=YEAR(G19)&amp;"-"&amp;ROUNDUP(MONTH(G19)/3,0))*(地价!AD2:AH2=N24)*(地价!AD3:AH33))</f>
        <v>0</v>
      </c>
      <c r="Q24" s="3045"/>
      <c r="R24" s="3043"/>
      <c r="S24" s="3043"/>
      <c r="T24" s="3043"/>
      <c r="U24" s="3043"/>
      <c r="V24" s="3043"/>
      <c r="W24" s="3043"/>
      <c r="X24" s="1620"/>
      <c r="Y24" s="1620"/>
      <c r="Z24" s="1620"/>
      <c r="AA24" s="1620"/>
      <c r="AB24" s="1620"/>
      <c r="AC24" s="1620"/>
      <c r="AD24" s="1620"/>
      <c r="AE24" s="2183"/>
      <c r="AF24" s="2183"/>
    </row>
    <row r="25" spans="1:35" ht="15" thickBot="1">
      <c r="A25" s="1714" t="s">
        <v>2608</v>
      </c>
      <c r="B25" s="1615" t="s">
        <v>2609</v>
      </c>
      <c r="C25" s="2223"/>
      <c r="D25" s="2129"/>
      <c r="E25" s="2129"/>
      <c r="F25" s="2224"/>
      <c r="G25" s="2129"/>
      <c r="H25" s="2129"/>
      <c r="I25" s="2129"/>
      <c r="J25" s="2130"/>
      <c r="K25" s="3043"/>
      <c r="L25" s="3043"/>
      <c r="M25" s="3043"/>
      <c r="N25" s="3046" t="s">
        <v>2610</v>
      </c>
      <c r="O25" s="3047"/>
      <c r="P25" s="3048">
        <f>SUMPRODUCT((地价!A3:A33=YEAR(G19)&amp;"-"&amp;ROUNDUP(MONTH(G19)/3,0))*(地价!AD2:AH2=N25)*(地价!AD3:AH33))</f>
        <v>0</v>
      </c>
      <c r="Q25" s="3043"/>
      <c r="R25" s="3043"/>
      <c r="S25" s="3043"/>
      <c r="T25" s="3043"/>
      <c r="U25" s="3043"/>
      <c r="V25" s="3043"/>
      <c r="W25" s="3043"/>
      <c r="X25" s="1620"/>
      <c r="Y25" s="1620"/>
      <c r="Z25" s="1620"/>
      <c r="AA25" s="1620"/>
      <c r="AB25" s="1620"/>
      <c r="AC25" s="1620"/>
      <c r="AD25" s="1620"/>
      <c r="AE25" s="1620"/>
      <c r="AF25" s="1620"/>
    </row>
    <row r="26" spans="1:35" ht="15">
      <c r="A26" s="1699"/>
      <c r="B26" s="2067" t="s">
        <v>2611</v>
      </c>
      <c r="C26" s="2883">
        <f ca="1">IF(B21="容积率修正",E29+SUM(E33:E39),SUM(V2:V16)+SUM(E33:E39))</f>
        <v>0</v>
      </c>
      <c r="D26" s="2225"/>
      <c r="E26" s="2164"/>
      <c r="F26" s="1475"/>
      <c r="G26" s="2164"/>
      <c r="H26" s="2164"/>
      <c r="I26" s="2164"/>
      <c r="J26" s="2226"/>
      <c r="K26" s="3043"/>
      <c r="L26" s="3049" t="s">
        <v>2570</v>
      </c>
      <c r="M26" s="2127" t="s">
        <v>2571</v>
      </c>
      <c r="N26" s="2127" t="s">
        <v>2572</v>
      </c>
      <c r="O26" s="2127" t="s">
        <v>2573</v>
      </c>
      <c r="P26" s="3050" t="s">
        <v>2574</v>
      </c>
      <c r="Q26" s="3043"/>
      <c r="R26" s="3043"/>
      <c r="S26" s="3043"/>
      <c r="T26" s="3043"/>
      <c r="U26" s="3043"/>
      <c r="V26" s="3043"/>
      <c r="W26" s="3043"/>
      <c r="X26" s="1620"/>
      <c r="Y26" s="1620"/>
      <c r="Z26" s="1620"/>
      <c r="AA26" s="1620"/>
      <c r="AB26" s="1620"/>
      <c r="AC26" s="1620"/>
      <c r="AD26" s="1620"/>
      <c r="AE26" s="1620"/>
      <c r="AF26" s="1620"/>
    </row>
    <row r="27" spans="1:35" ht="15.75" thickBot="1">
      <c r="A27" s="1699"/>
      <c r="B27" s="1616" t="s">
        <v>2612</v>
      </c>
      <c r="C27" s="2227">
        <f ca="1">E30+SUM(I33:I39)</f>
        <v>0</v>
      </c>
      <c r="D27" s="2176"/>
      <c r="E27" s="2228"/>
      <c r="F27" s="2229"/>
      <c r="G27" s="2228"/>
      <c r="H27" s="2228"/>
      <c r="I27" s="2228"/>
      <c r="J27" s="2230"/>
      <c r="K27" s="3043"/>
      <c r="L27" s="2231" t="s">
        <v>2577</v>
      </c>
      <c r="M27" s="2140">
        <v>0.25</v>
      </c>
      <c r="N27" s="2140">
        <v>0.2</v>
      </c>
      <c r="O27" s="2140">
        <v>0.15</v>
      </c>
      <c r="P27" s="2232">
        <v>0.1</v>
      </c>
      <c r="Q27" s="3043"/>
      <c r="R27" s="3043"/>
      <c r="S27" s="3043"/>
      <c r="T27" s="3043"/>
      <c r="U27" s="3043"/>
      <c r="V27" s="3043"/>
      <c r="W27" s="3043"/>
      <c r="X27" s="1620"/>
      <c r="Y27" s="1620"/>
      <c r="Z27" s="1620"/>
      <c r="AA27" s="1620"/>
      <c r="AB27" s="1620"/>
      <c r="AC27" s="1620"/>
      <c r="AD27" s="1620"/>
      <c r="AE27" s="1620"/>
      <c r="AF27" s="1620"/>
    </row>
    <row r="28" spans="1:35" ht="15.75" thickBot="1">
      <c r="A28" s="1714"/>
      <c r="B28" s="2233" t="s">
        <v>2613</v>
      </c>
      <c r="C28" s="2234" t="s">
        <v>2614</v>
      </c>
      <c r="D28" s="2234" t="s">
        <v>2615</v>
      </c>
      <c r="E28" s="1615" t="s">
        <v>2616</v>
      </c>
      <c r="F28" s="2235"/>
      <c r="G28" s="2151"/>
      <c r="H28" s="2151"/>
      <c r="I28" s="2151"/>
      <c r="J28" s="2152"/>
      <c r="K28" s="3043"/>
      <c r="L28" s="2236" t="s">
        <v>2580</v>
      </c>
      <c r="M28" s="2237">
        <f ca="1">ROUND($E$20*(1+M27),3)</f>
        <v>4.8000000000000001E-2</v>
      </c>
      <c r="N28" s="2237">
        <f ca="1">ROUND($E$20*(1+N27),3)</f>
        <v>4.5999999999999999E-2</v>
      </c>
      <c r="O28" s="2237">
        <f ca="1">ROUND($E$20*(1+O27),3)</f>
        <v>4.3999999999999997E-2</v>
      </c>
      <c r="P28" s="2155">
        <f ca="1">ROUND($E$20*(1+P27),3)</f>
        <v>4.2000000000000003E-2</v>
      </c>
      <c r="Q28" s="3043"/>
      <c r="R28" s="3043"/>
      <c r="S28" s="3043"/>
      <c r="T28" s="3043"/>
      <c r="U28" s="3043"/>
      <c r="V28" s="3043"/>
      <c r="W28" s="3043"/>
      <c r="X28" s="1620"/>
      <c r="Y28" s="1620"/>
      <c r="Z28" s="1620"/>
      <c r="AA28" s="1620"/>
      <c r="AB28" s="1620"/>
      <c r="AC28" s="1620"/>
      <c r="AD28" s="1620"/>
      <c r="AE28" s="1620"/>
      <c r="AF28" s="1620"/>
    </row>
    <row r="29" spans="1:35">
      <c r="A29" s="2238"/>
      <c r="B29" s="1617" t="s">
        <v>2617</v>
      </c>
      <c r="C29" s="54">
        <f ca="1">ROUND(C5*C18*C19*C20*C21*C24,0)</f>
        <v>0</v>
      </c>
      <c r="D29" s="2239">
        <f>项目基本情况!C12</f>
        <v>82.35</v>
      </c>
      <c r="E29" s="2026">
        <f ca="1">ROUND(C29*D29,0)</f>
        <v>0</v>
      </c>
      <c r="F29" s="2240" t="s">
        <v>2618</v>
      </c>
      <c r="G29" s="2241"/>
      <c r="H29" s="2241"/>
      <c r="I29" s="2241"/>
      <c r="J29" s="2242"/>
      <c r="K29" s="3043"/>
      <c r="L29" s="3043"/>
      <c r="M29" s="3043"/>
      <c r="N29" s="3043"/>
      <c r="O29" s="3043"/>
      <c r="P29" s="3043"/>
      <c r="Q29" s="3043"/>
      <c r="R29" s="3043"/>
      <c r="S29" s="3043"/>
      <c r="T29" s="3043"/>
      <c r="U29" s="3043"/>
      <c r="V29" s="3043"/>
      <c r="W29" s="3043"/>
      <c r="X29" s="1620"/>
      <c r="Y29" s="1620"/>
      <c r="Z29" s="1620"/>
      <c r="AA29" s="1620"/>
      <c r="AB29" s="1620"/>
      <c r="AC29" s="1620"/>
      <c r="AD29" s="1620"/>
      <c r="AE29" s="1620"/>
      <c r="AF29" s="1620"/>
    </row>
    <row r="30" spans="1:35" ht="25.5" thickBot="1">
      <c r="A30" s="2243"/>
      <c r="B30" s="1618" t="s">
        <v>2619</v>
      </c>
      <c r="C30" s="2167">
        <f ca="1">ROUND(IF(E2="工业",C29*M39,C29*M38),0)</f>
        <v>0</v>
      </c>
      <c r="D30" s="2244"/>
      <c r="E30" s="2026">
        <f ca="1">ROUND(C30*D30,0)</f>
        <v>0</v>
      </c>
      <c r="F30" s="2245" t="s">
        <v>2620</v>
      </c>
      <c r="G30" s="2246"/>
      <c r="H30" s="2246"/>
      <c r="I30" s="2246"/>
      <c r="J30" s="2247"/>
      <c r="K30" s="3043"/>
      <c r="L30" s="3043"/>
      <c r="M30" s="3043"/>
      <c r="N30" s="3043"/>
      <c r="O30" s="3043"/>
      <c r="P30" s="3043"/>
      <c r="Q30" s="3043"/>
      <c r="R30" s="3043"/>
      <c r="S30" s="3043"/>
      <c r="T30" s="3043"/>
      <c r="U30" s="3043"/>
      <c r="V30" s="3043"/>
      <c r="W30" s="3043"/>
      <c r="X30" s="1620"/>
      <c r="Y30" s="1620"/>
      <c r="Z30" s="1620"/>
      <c r="AA30" s="1620"/>
      <c r="AB30" s="1620"/>
      <c r="AC30" s="1620"/>
      <c r="AD30" s="1620"/>
      <c r="AE30" s="1620"/>
      <c r="AF30" s="1620"/>
    </row>
    <row r="31" spans="1:35">
      <c r="A31" s="2248"/>
      <c r="B31" s="1619" t="s">
        <v>2621</v>
      </c>
      <c r="C31" s="2249" t="s">
        <v>2622</v>
      </c>
      <c r="D31" s="2151"/>
      <c r="E31" s="2249"/>
      <c r="F31" s="2249"/>
      <c r="G31" s="2150" t="s">
        <v>2623</v>
      </c>
      <c r="H31" s="2151"/>
      <c r="I31" s="2250"/>
      <c r="J31" s="2152"/>
      <c r="K31" s="3043"/>
      <c r="L31" s="3043"/>
      <c r="M31" s="3043"/>
      <c r="N31" s="3043"/>
      <c r="O31" s="3043"/>
      <c r="P31" s="3043"/>
      <c r="Q31" s="3043"/>
      <c r="R31" s="3043"/>
      <c r="S31" s="3043"/>
      <c r="T31" s="3043"/>
      <c r="U31" s="3043"/>
      <c r="V31" s="3043"/>
      <c r="W31" s="3043"/>
      <c r="X31" s="1620"/>
      <c r="Y31" s="1620"/>
      <c r="Z31" s="1620"/>
      <c r="AA31" s="1620"/>
      <c r="AB31" s="1620"/>
      <c r="AC31" s="1620"/>
      <c r="AD31" s="1620"/>
      <c r="AE31" s="1620"/>
      <c r="AF31" s="1620"/>
    </row>
    <row r="32" spans="1:35" ht="24">
      <c r="A32" s="2238"/>
      <c r="B32" s="2251"/>
      <c r="C32" s="1806" t="s">
        <v>2614</v>
      </c>
      <c r="D32" s="1803" t="s">
        <v>2615</v>
      </c>
      <c r="E32" s="1803" t="s">
        <v>2616</v>
      </c>
      <c r="F32" s="50" t="s">
        <v>2624</v>
      </c>
      <c r="G32" s="2212" t="s">
        <v>2614</v>
      </c>
      <c r="H32" s="2212" t="s">
        <v>2615</v>
      </c>
      <c r="I32" s="2212" t="s">
        <v>2616</v>
      </c>
      <c r="J32" s="2064"/>
      <c r="K32" s="3043"/>
      <c r="L32" s="3043"/>
      <c r="M32" s="3043"/>
      <c r="N32" s="3043"/>
      <c r="O32" s="3043"/>
      <c r="P32" s="3043"/>
      <c r="Q32" s="3043"/>
      <c r="R32" s="3043"/>
      <c r="S32" s="3043"/>
      <c r="T32" s="3043"/>
      <c r="U32" s="3043"/>
      <c r="V32" s="3043"/>
      <c r="W32" s="3043"/>
      <c r="X32" s="1620"/>
      <c r="Y32" s="1620"/>
      <c r="Z32" s="1620"/>
      <c r="AA32" s="1620"/>
      <c r="AB32" s="1620"/>
      <c r="AC32" s="1620"/>
      <c r="AD32" s="1620"/>
      <c r="AE32" s="1620"/>
      <c r="AF32" s="1620"/>
    </row>
    <row r="33" spans="1:33">
      <c r="A33" s="3542" t="s">
        <v>2625</v>
      </c>
      <c r="B33" s="2252" t="s">
        <v>2626</v>
      </c>
      <c r="C33" s="54">
        <f ca="1">ROUND(D5*C19*C20*C24*F33,0)</f>
        <v>0</v>
      </c>
      <c r="D33" s="2239"/>
      <c r="E33" s="50">
        <f t="shared" ref="E33:E39" ca="1" si="6">ROUND(C33*D33,0)</f>
        <v>0</v>
      </c>
      <c r="F33" s="50">
        <f>SUMIF(修正!A45:A56,G2,修正!B45:B56)</f>
        <v>0</v>
      </c>
      <c r="G33" s="50">
        <f t="shared" ref="G33" ca="1" si="7">ROUND(IF(E2="工业",C33*$M$39,C33*$M$38),0)</f>
        <v>0</v>
      </c>
      <c r="H33" s="50">
        <f>D33</f>
        <v>0</v>
      </c>
      <c r="I33" s="50">
        <f t="shared" ref="I33:I39" ca="1" si="8">ROUND(G33*H33,0)</f>
        <v>0</v>
      </c>
      <c r="J33" s="2226"/>
      <c r="K33" s="3043"/>
      <c r="L33" s="3043"/>
      <c r="M33" s="3043"/>
      <c r="N33" s="3043"/>
      <c r="O33" s="3043"/>
      <c r="P33" s="3043"/>
      <c r="Q33" s="3043"/>
      <c r="R33" s="3043"/>
      <c r="S33" s="3043"/>
      <c r="T33" s="3043"/>
      <c r="U33" s="3043"/>
      <c r="V33" s="3043"/>
      <c r="W33" s="3043"/>
      <c r="X33" s="1620"/>
      <c r="Y33" s="1620"/>
      <c r="Z33" s="1620"/>
      <c r="AA33" s="1620"/>
      <c r="AB33" s="1620"/>
      <c r="AC33" s="1620"/>
      <c r="AD33" s="1620"/>
      <c r="AE33" s="1620"/>
      <c r="AF33" s="1620"/>
    </row>
    <row r="34" spans="1:33">
      <c r="A34" s="3543"/>
      <c r="B34" s="2157" t="s">
        <v>2627</v>
      </c>
      <c r="C34" s="54">
        <f ca="1">ROUND(D5*C19*C20*C24*F34,0)</f>
        <v>0</v>
      </c>
      <c r="D34" s="2239"/>
      <c r="E34" s="50">
        <f t="shared" ca="1" si="6"/>
        <v>0</v>
      </c>
      <c r="F34" s="50">
        <f>SUMIF(修正!A45:A56,G2,修正!C45:C56)</f>
        <v>0</v>
      </c>
      <c r="G34" s="50">
        <f ca="1">ROUND(IF(E2="工业",C34*$M$39,C34*$M$38),0)</f>
        <v>0</v>
      </c>
      <c r="H34" s="50">
        <f t="shared" ref="H34:H39" si="9">D34</f>
        <v>0</v>
      </c>
      <c r="I34" s="50">
        <f t="shared" ca="1" si="8"/>
        <v>0</v>
      </c>
      <c r="J34" s="2226"/>
      <c r="K34" s="3043"/>
      <c r="L34" s="3043"/>
      <c r="M34" s="3043"/>
      <c r="N34" s="3043"/>
      <c r="O34" s="3043"/>
      <c r="P34" s="3043"/>
      <c r="Q34" s="3043"/>
      <c r="R34" s="3043"/>
      <c r="S34" s="3043"/>
      <c r="T34" s="3043"/>
      <c r="U34" s="3043"/>
      <c r="V34" s="3043"/>
      <c r="W34" s="3043"/>
      <c r="X34" s="1620"/>
      <c r="Y34" s="1620"/>
      <c r="Z34" s="1620"/>
      <c r="AA34" s="1620"/>
      <c r="AB34" s="1620"/>
      <c r="AC34" s="1620"/>
      <c r="AD34" s="1620"/>
      <c r="AE34" s="1620"/>
      <c r="AF34" s="1620"/>
    </row>
    <row r="35" spans="1:33">
      <c r="A35" s="3543"/>
      <c r="B35" s="2157" t="s">
        <v>2628</v>
      </c>
      <c r="C35" s="54">
        <f ca="1">ROUND(D5*C19*C20*C24*F35,0)</f>
        <v>0</v>
      </c>
      <c r="D35" s="2239"/>
      <c r="E35" s="50">
        <f t="shared" ca="1" si="6"/>
        <v>0</v>
      </c>
      <c r="F35" s="50">
        <f>SUMIF(修正!A45:A56,G2,修正!D45:D56)</f>
        <v>0</v>
      </c>
      <c r="G35" s="50">
        <f ca="1">ROUND(IF(E2="工业",C35*$M$39,C35*$M$38),0)</f>
        <v>0</v>
      </c>
      <c r="H35" s="50">
        <f t="shared" si="9"/>
        <v>0</v>
      </c>
      <c r="I35" s="50">
        <f t="shared" ca="1" si="8"/>
        <v>0</v>
      </c>
      <c r="J35" s="2226"/>
      <c r="K35" s="3043"/>
      <c r="L35" s="3043"/>
      <c r="M35" s="3043"/>
      <c r="N35" s="3043"/>
      <c r="O35" s="3043"/>
      <c r="P35" s="3043"/>
      <c r="Q35" s="3043"/>
      <c r="R35" s="3043"/>
      <c r="S35" s="3043"/>
      <c r="T35" s="3043"/>
      <c r="U35" s="3043"/>
      <c r="V35" s="3043"/>
      <c r="W35" s="3043"/>
      <c r="X35" s="1620"/>
      <c r="Y35" s="1620"/>
      <c r="Z35" s="1620"/>
      <c r="AA35" s="1620"/>
      <c r="AB35" s="1620"/>
      <c r="AC35" s="1620"/>
      <c r="AD35" s="1620"/>
      <c r="AE35" s="1620"/>
      <c r="AF35" s="1620"/>
    </row>
    <row r="36" spans="1:33" ht="13.5" thickBot="1">
      <c r="A36" s="3544"/>
      <c r="B36" s="2157" t="s">
        <v>2629</v>
      </c>
      <c r="C36" s="54">
        <f ca="1">ROUND(D5*C19*C20*C24*F36,0)</f>
        <v>0</v>
      </c>
      <c r="D36" s="2239"/>
      <c r="E36" s="50">
        <f t="shared" ca="1" si="6"/>
        <v>0</v>
      </c>
      <c r="F36" s="50">
        <f>SUMIF(修正!A45:A56,G2,修正!E45:E56)</f>
        <v>0</v>
      </c>
      <c r="G36" s="50">
        <f ca="1">ROUND(IF(E2="工业",C36*$M$39,C36*$M$38),0)</f>
        <v>0</v>
      </c>
      <c r="H36" s="50">
        <f t="shared" si="9"/>
        <v>0</v>
      </c>
      <c r="I36" s="50">
        <f t="shared" ca="1" si="8"/>
        <v>0</v>
      </c>
      <c r="J36" s="2226"/>
      <c r="K36" s="3043"/>
      <c r="L36" s="3043"/>
      <c r="M36" s="3043"/>
      <c r="N36" s="3043"/>
      <c r="O36" s="3043"/>
      <c r="P36" s="3043"/>
      <c r="Q36" s="3043"/>
      <c r="R36" s="3043"/>
      <c r="S36" s="3043"/>
      <c r="T36" s="3043"/>
      <c r="U36" s="3043"/>
      <c r="V36" s="3043"/>
      <c r="W36" s="3043"/>
      <c r="X36" s="1620"/>
      <c r="Y36" s="1620"/>
      <c r="Z36" s="1620"/>
      <c r="AA36" s="1620"/>
      <c r="AB36" s="1620"/>
      <c r="AC36" s="1620"/>
      <c r="AD36" s="1620"/>
      <c r="AE36" s="1620"/>
      <c r="AF36" s="1620"/>
    </row>
    <row r="37" spans="1:33">
      <c r="A37" s="2253"/>
      <c r="B37" s="2157" t="s">
        <v>2630</v>
      </c>
      <c r="C37" s="50">
        <f ca="1">ROUND(D5*C19*C20*C24*F37,0)</f>
        <v>0</v>
      </c>
      <c r="D37" s="2239"/>
      <c r="E37" s="50">
        <f t="shared" ca="1" si="6"/>
        <v>0</v>
      </c>
      <c r="F37" s="54">
        <f>SUMIF(修正!A45:A56,G2,修正!F45:F56)</f>
        <v>0</v>
      </c>
      <c r="G37" s="50">
        <f ca="1">ROUND(IF(E2="工业",C37*$M$39,C37*$M$38),0)</f>
        <v>0</v>
      </c>
      <c r="H37" s="50">
        <f t="shared" si="9"/>
        <v>0</v>
      </c>
      <c r="I37" s="50">
        <f t="shared" ca="1" si="8"/>
        <v>0</v>
      </c>
      <c r="J37" s="2226"/>
      <c r="K37" s="3043"/>
      <c r="L37" s="2254" t="s">
        <v>2631</v>
      </c>
      <c r="M37" s="2130"/>
      <c r="N37" s="3043"/>
      <c r="O37" s="3043"/>
      <c r="P37" s="3043"/>
      <c r="Q37" s="3043"/>
      <c r="R37" s="3043"/>
      <c r="S37" s="3043"/>
      <c r="T37" s="3043"/>
      <c r="U37" s="3043"/>
      <c r="V37" s="3043"/>
      <c r="W37" s="3043"/>
      <c r="X37" s="1620"/>
      <c r="Y37" s="1620"/>
      <c r="Z37" s="1620"/>
      <c r="AA37" s="1620"/>
      <c r="AB37" s="1620"/>
      <c r="AC37" s="1620"/>
      <c r="AD37" s="1620"/>
      <c r="AE37" s="1620"/>
      <c r="AF37" s="1620"/>
    </row>
    <row r="38" spans="1:33">
      <c r="A38" s="2253"/>
      <c r="B38" s="2157" t="s">
        <v>2632</v>
      </c>
      <c r="C38" s="50">
        <f ca="1">ROUND(D5*C19*C41*C24*F38,0)</f>
        <v>0</v>
      </c>
      <c r="D38" s="2239"/>
      <c r="E38" s="50">
        <f t="shared" ca="1" si="6"/>
        <v>0</v>
      </c>
      <c r="F38" s="54">
        <f>SUMIF(修正!A45:A56,G2,修正!G45:G56)</f>
        <v>0</v>
      </c>
      <c r="G38" s="50">
        <f ca="1">ROUND(IF(E2="工业",C38*$M$39,C38*$M$38),0)</f>
        <v>0</v>
      </c>
      <c r="H38" s="50">
        <f t="shared" si="9"/>
        <v>0</v>
      </c>
      <c r="I38" s="50">
        <f t="shared" ca="1" si="8"/>
        <v>0</v>
      </c>
      <c r="J38" s="2226"/>
      <c r="K38" s="3043"/>
      <c r="L38" s="2255" t="s">
        <v>2633</v>
      </c>
      <c r="M38" s="2256">
        <v>0.25</v>
      </c>
      <c r="N38" s="3043"/>
      <c r="O38" s="3043"/>
      <c r="P38" s="3043"/>
      <c r="Q38" s="3043"/>
      <c r="R38" s="3043"/>
      <c r="S38" s="3043"/>
      <c r="T38" s="3043"/>
      <c r="U38" s="3043"/>
      <c r="V38" s="3043"/>
      <c r="W38" s="3043"/>
      <c r="X38" s="1620"/>
      <c r="Y38" s="1620"/>
      <c r="Z38" s="1620"/>
      <c r="AA38" s="1620"/>
      <c r="AB38" s="1620"/>
      <c r="AC38" s="1620"/>
      <c r="AD38" s="1620"/>
      <c r="AE38" s="1620"/>
      <c r="AF38" s="1620"/>
    </row>
    <row r="39" spans="1:33" ht="13.5" thickBot="1">
      <c r="A39" s="2243"/>
      <c r="B39" s="2257" t="s">
        <v>2634</v>
      </c>
      <c r="C39" s="2167">
        <f ca="1">ROUND(D5*C19*C41*C24*F39,0)</f>
        <v>0</v>
      </c>
      <c r="D39" s="2244"/>
      <c r="E39" s="2167">
        <f t="shared" ca="1" si="6"/>
        <v>0</v>
      </c>
      <c r="F39" s="56">
        <f>SUMIF(修正!A45:A56,G2,修正!H45:H56)</f>
        <v>0</v>
      </c>
      <c r="G39" s="2167">
        <f ca="1">ROUND(IF(E2="工业",C39*$M$39,C39*$M$38),0)</f>
        <v>0</v>
      </c>
      <c r="H39" s="2167">
        <f t="shared" si="9"/>
        <v>0</v>
      </c>
      <c r="I39" s="2167">
        <f t="shared" ca="1" si="8"/>
        <v>0</v>
      </c>
      <c r="J39" s="2230"/>
      <c r="K39" s="3043"/>
      <c r="L39" s="2258" t="s">
        <v>2574</v>
      </c>
      <c r="M39" s="2259">
        <v>0.15</v>
      </c>
      <c r="N39" s="3043"/>
      <c r="O39" s="3043"/>
      <c r="P39" s="3043"/>
      <c r="Q39" s="3043"/>
      <c r="R39" s="3043"/>
      <c r="S39" s="3043"/>
      <c r="T39" s="3043"/>
      <c r="U39" s="3043"/>
      <c r="V39" s="3043"/>
      <c r="W39" s="3043"/>
      <c r="X39" s="1620"/>
      <c r="Y39" s="1620"/>
      <c r="Z39" s="1620"/>
      <c r="AA39" s="1620"/>
      <c r="AB39" s="1620"/>
      <c r="AC39" s="1620"/>
      <c r="AD39" s="1620"/>
      <c r="AE39" s="1620"/>
      <c r="AF39" s="1620"/>
    </row>
    <row r="40" spans="1:33" s="2260" customFormat="1">
      <c r="A40" s="1620"/>
      <c r="B40" s="1620"/>
      <c r="C40" s="1620"/>
      <c r="D40" s="1620"/>
      <c r="E40" s="1620"/>
      <c r="F40" s="1620"/>
      <c r="G40" s="1620"/>
      <c r="H40" s="1620"/>
      <c r="I40" s="1620"/>
      <c r="J40" s="1620"/>
      <c r="K40" s="3043"/>
      <c r="L40" s="3043"/>
      <c r="M40" s="3043"/>
      <c r="N40" s="3043"/>
      <c r="O40" s="3043"/>
      <c r="P40" s="3043"/>
      <c r="Q40" s="3043"/>
      <c r="R40" s="3043"/>
      <c r="S40" s="3043"/>
      <c r="T40" s="3043"/>
      <c r="U40" s="3043"/>
      <c r="V40" s="3043"/>
      <c r="W40" s="3043"/>
      <c r="X40" s="1620"/>
      <c r="Y40" s="1620"/>
      <c r="Z40" s="1620"/>
      <c r="AA40" s="1620"/>
      <c r="AB40" s="1620"/>
      <c r="AC40" s="1620"/>
      <c r="AD40" s="1620"/>
      <c r="AE40" s="1620"/>
      <c r="AF40" s="1620"/>
    </row>
    <row r="41" spans="1:33" s="2260" customFormat="1">
      <c r="A41" s="1620"/>
      <c r="B41" s="2261" t="s">
        <v>2714</v>
      </c>
      <c r="C41" s="50">
        <f ca="1">ROUND(POWER(1+E41,H41-G41)*(POWER(1+E41,G41)-1)/(POWER(1+E41,H41)-1),4)</f>
        <v>0</v>
      </c>
      <c r="D41" s="50" t="s">
        <v>2712</v>
      </c>
      <c r="E41" s="2262">
        <f ca="1">G20</f>
        <v>4.3999999999999997E-2</v>
      </c>
      <c r="F41" s="50" t="s">
        <v>2713</v>
      </c>
      <c r="G41" s="2263"/>
      <c r="H41" s="50">
        <v>50</v>
      </c>
      <c r="I41" s="1620"/>
      <c r="J41" s="1620"/>
      <c r="K41" s="3043"/>
      <c r="L41" s="3043"/>
      <c r="M41" s="3043"/>
      <c r="N41" s="3043"/>
      <c r="O41" s="3043"/>
      <c r="P41" s="3043"/>
      <c r="Q41" s="3043"/>
      <c r="R41" s="3043"/>
      <c r="S41" s="3043"/>
      <c r="T41" s="3043"/>
      <c r="U41" s="3043"/>
      <c r="V41" s="3043"/>
      <c r="W41" s="3043"/>
      <c r="X41" s="1620"/>
      <c r="Y41" s="1620"/>
      <c r="Z41" s="1620"/>
      <c r="AA41" s="1620"/>
      <c r="AB41" s="1620"/>
      <c r="AC41" s="1620"/>
      <c r="AD41" s="1620"/>
      <c r="AE41" s="1620"/>
      <c r="AF41" s="1620"/>
    </row>
    <row r="42" spans="1:33" s="2260" customFormat="1">
      <c r="A42" s="3043"/>
      <c r="B42" s="3043"/>
      <c r="C42" s="3043"/>
      <c r="D42" s="3043"/>
      <c r="E42" s="3043"/>
      <c r="F42" s="3043"/>
      <c r="G42" s="3043"/>
      <c r="H42" s="3043"/>
      <c r="I42" s="3043"/>
      <c r="J42" s="3043"/>
      <c r="K42" s="3043"/>
      <c r="L42" s="3043"/>
      <c r="M42" s="3043"/>
      <c r="N42" s="3043"/>
      <c r="O42" s="3043"/>
      <c r="P42" s="3043"/>
      <c r="Q42" s="3043"/>
      <c r="R42" s="3043"/>
      <c r="S42" s="3043"/>
      <c r="T42" s="3043"/>
      <c r="U42" s="3043"/>
      <c r="V42" s="3043"/>
      <c r="W42" s="3043"/>
      <c r="X42" s="1620"/>
      <c r="Y42" s="1620"/>
      <c r="Z42" s="1620"/>
      <c r="AA42" s="1620"/>
      <c r="AB42" s="1620"/>
      <c r="AC42" s="1620"/>
      <c r="AD42" s="1620"/>
      <c r="AE42" s="1620"/>
      <c r="AF42" s="1620"/>
    </row>
    <row r="43" spans="1:33" s="2260" customFormat="1">
      <c r="A43" s="3043"/>
      <c r="B43" s="3043"/>
      <c r="C43" s="3043"/>
      <c r="D43" s="3043"/>
      <c r="E43" s="3043"/>
      <c r="F43" s="3043"/>
      <c r="G43" s="3043"/>
      <c r="H43" s="3043"/>
      <c r="I43" s="3043"/>
      <c r="J43" s="3043"/>
      <c r="K43" s="3043"/>
      <c r="L43" s="3043"/>
      <c r="M43" s="3043"/>
      <c r="N43" s="3043"/>
      <c r="O43" s="3043"/>
      <c r="P43" s="3043"/>
      <c r="Q43" s="3043"/>
      <c r="R43" s="3043"/>
      <c r="S43" s="3043"/>
      <c r="T43" s="3043"/>
      <c r="U43" s="3043"/>
      <c r="V43" s="3043"/>
      <c r="W43" s="3043"/>
      <c r="X43" s="1620"/>
      <c r="Y43" s="1620"/>
      <c r="Z43" s="1620"/>
      <c r="AA43" s="1620"/>
      <c r="AB43" s="1620"/>
      <c r="AC43" s="1620"/>
      <c r="AD43" s="1620"/>
      <c r="AE43" s="1620"/>
      <c r="AF43" s="1620"/>
    </row>
    <row r="44" spans="1:33" s="2260" customFormat="1">
      <c r="A44" s="3043"/>
      <c r="B44" s="3043"/>
      <c r="C44" s="3043"/>
      <c r="D44" s="3043"/>
      <c r="E44" s="3043"/>
      <c r="F44" s="3043"/>
      <c r="G44" s="3043"/>
      <c r="H44" s="3043"/>
      <c r="I44" s="3043"/>
      <c r="J44" s="3043"/>
      <c r="K44" s="3043"/>
      <c r="L44" s="3043"/>
      <c r="M44" s="3043"/>
      <c r="N44" s="3043"/>
      <c r="O44" s="3043"/>
      <c r="P44" s="3043"/>
      <c r="Q44" s="3043"/>
      <c r="R44" s="3043"/>
      <c r="S44" s="3043"/>
      <c r="T44" s="3043"/>
      <c r="U44" s="3043"/>
      <c r="V44" s="3043"/>
      <c r="W44" s="3043"/>
      <c r="X44" s="1620"/>
      <c r="Y44" s="1620"/>
      <c r="Z44" s="1620"/>
      <c r="AA44" s="1620"/>
      <c r="AB44" s="1620"/>
      <c r="AC44" s="1620"/>
      <c r="AD44" s="1620"/>
      <c r="AE44" s="1620"/>
      <c r="AF44" s="1620"/>
    </row>
    <row r="45" spans="1:33" s="2260" customFormat="1" ht="15.75" thickBot="1">
      <c r="A45" s="2264" t="s">
        <v>2635</v>
      </c>
      <c r="B45" s="2265"/>
      <c r="C45" s="607"/>
      <c r="D45" s="607"/>
      <c r="E45" s="607"/>
      <c r="F45" s="607"/>
      <c r="G45" s="607"/>
      <c r="H45" s="607"/>
      <c r="I45" s="607"/>
      <c r="J45" s="607"/>
      <c r="K45" s="607"/>
      <c r="L45" s="607"/>
      <c r="M45" s="607"/>
      <c r="N45" s="2095"/>
      <c r="O45" s="1620"/>
      <c r="P45" s="1620"/>
      <c r="Q45" s="3043"/>
      <c r="R45" s="3043"/>
      <c r="S45" s="3043"/>
      <c r="T45" s="3043"/>
      <c r="U45" s="3043"/>
      <c r="V45" s="3043"/>
      <c r="W45" s="3043"/>
      <c r="X45" s="1620"/>
      <c r="Y45" s="1620"/>
      <c r="Z45" s="1620"/>
      <c r="AA45" s="1620"/>
      <c r="AB45" s="1620"/>
      <c r="AC45" s="1620"/>
      <c r="AD45" s="1620"/>
      <c r="AE45" s="1620"/>
      <c r="AF45" s="1620"/>
    </row>
    <row r="46" spans="1:33" s="2260" customFormat="1" ht="15">
      <c r="A46" s="2266" t="s">
        <v>2636</v>
      </c>
      <c r="B46" s="2267">
        <f>1+E48</f>
        <v>1</v>
      </c>
      <c r="C46" s="2268"/>
      <c r="D46" s="2269"/>
      <c r="E46" s="2270"/>
      <c r="F46" s="2271"/>
      <c r="G46" s="607"/>
      <c r="H46" s="607"/>
      <c r="I46" s="607"/>
      <c r="J46" s="607"/>
      <c r="K46" s="607"/>
      <c r="L46" s="607"/>
      <c r="M46" s="2095"/>
      <c r="N46" s="2272"/>
      <c r="O46" s="1620"/>
      <c r="P46" s="1620"/>
      <c r="Q46" s="3043"/>
      <c r="R46" s="3043"/>
      <c r="S46" s="3043"/>
      <c r="T46" s="3043"/>
      <c r="U46" s="3043"/>
      <c r="V46" s="3043"/>
      <c r="W46" s="3043"/>
      <c r="X46" s="1620"/>
      <c r="Y46" s="1620"/>
      <c r="Z46" s="1620"/>
      <c r="AA46" s="1620"/>
      <c r="AB46" s="1620"/>
      <c r="AC46" s="1620"/>
      <c r="AD46" s="1620"/>
      <c r="AE46" s="1620"/>
    </row>
    <row r="47" spans="1:33" s="2260" customFormat="1" ht="24.75">
      <c r="A47" s="2273" t="s">
        <v>2637</v>
      </c>
      <c r="B47" s="2274" t="s">
        <v>2638</v>
      </c>
      <c r="C47" s="2274" t="s">
        <v>2639</v>
      </c>
      <c r="D47" s="2274" t="s">
        <v>2640</v>
      </c>
      <c r="E47" s="2275" t="s">
        <v>2641</v>
      </c>
      <c r="F47" s="2225" t="s">
        <v>2642</v>
      </c>
      <c r="G47" s="2274" t="s">
        <v>2643</v>
      </c>
      <c r="H47" s="2276" t="s">
        <v>2644</v>
      </c>
      <c r="I47" s="2274" t="s">
        <v>2645</v>
      </c>
      <c r="J47" s="1901" t="s">
        <v>2646</v>
      </c>
      <c r="K47" s="1901" t="s">
        <v>2647</v>
      </c>
      <c r="L47" s="1901" t="s">
        <v>2648</v>
      </c>
      <c r="M47" s="1901" t="s">
        <v>2649</v>
      </c>
      <c r="N47" s="1901" t="s">
        <v>2650</v>
      </c>
      <c r="O47" s="1620"/>
      <c r="P47" s="1620"/>
      <c r="Q47" s="3043"/>
      <c r="R47" s="3043"/>
      <c r="S47" s="3043"/>
      <c r="T47" s="3043"/>
      <c r="U47" s="3043"/>
      <c r="V47" s="3043"/>
      <c r="W47" s="3043"/>
      <c r="X47" s="1620"/>
      <c r="Y47" s="1620"/>
      <c r="Z47" s="1620"/>
      <c r="AA47" s="1620"/>
      <c r="AB47" s="1620"/>
      <c r="AC47" s="1620"/>
      <c r="AD47" s="1620"/>
      <c r="AE47" s="1620"/>
      <c r="AF47" s="1620"/>
      <c r="AG47" s="1620"/>
    </row>
    <row r="48" spans="1:33" s="2260" customFormat="1" ht="38.25">
      <c r="A48" s="2273" t="s">
        <v>2651</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0"/>
      <c r="P48" s="1620"/>
      <c r="Q48" s="3043"/>
      <c r="R48" s="3043"/>
      <c r="S48" s="3043"/>
      <c r="T48" s="3043"/>
      <c r="U48" s="3043"/>
      <c r="V48" s="3043"/>
      <c r="W48" s="3043"/>
      <c r="X48" s="1620"/>
      <c r="Y48" s="1620"/>
      <c r="Z48" s="1620"/>
      <c r="AA48" s="1620"/>
      <c r="AB48" s="1620"/>
      <c r="AC48" s="1620"/>
      <c r="AD48" s="1620"/>
      <c r="AE48" s="1620"/>
      <c r="AF48" s="1620"/>
      <c r="AG48" s="1620"/>
    </row>
    <row r="49" spans="1:33" s="2260" customFormat="1" ht="14.25">
      <c r="A49" s="2273" t="s">
        <v>2652</v>
      </c>
      <c r="B49" s="2285" t="str">
        <f>估价对象房地状况!C18</f>
        <v>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0"/>
      <c r="P49" s="1620"/>
      <c r="Q49" s="3043"/>
      <c r="R49" s="3043"/>
      <c r="S49" s="3043"/>
      <c r="T49" s="3043"/>
      <c r="U49" s="3043"/>
      <c r="V49" s="3043"/>
      <c r="W49" s="3043"/>
      <c r="X49" s="1620"/>
      <c r="Y49" s="1620"/>
      <c r="Z49" s="1620"/>
      <c r="AA49" s="1620"/>
      <c r="AB49" s="1620"/>
      <c r="AC49" s="1620"/>
      <c r="AD49" s="1620"/>
      <c r="AE49" s="1620"/>
      <c r="AF49" s="1620"/>
      <c r="AG49" s="1620"/>
    </row>
    <row r="50" spans="1:33" s="2260" customFormat="1" ht="24">
      <c r="A50" s="2273" t="s">
        <v>2653</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0"/>
      <c r="P50" s="1620"/>
      <c r="Q50" s="3043"/>
      <c r="R50" s="3043"/>
      <c r="S50" s="3043"/>
      <c r="T50" s="3043"/>
      <c r="U50" s="3043"/>
      <c r="V50" s="3043"/>
      <c r="W50" s="3043"/>
      <c r="X50" s="1620"/>
      <c r="Y50" s="1620"/>
      <c r="Z50" s="1620"/>
      <c r="AA50" s="1620"/>
      <c r="AB50" s="1620"/>
      <c r="AC50" s="1620"/>
      <c r="AD50" s="1620"/>
      <c r="AE50" s="1620"/>
      <c r="AF50" s="1620"/>
      <c r="AG50" s="1620"/>
    </row>
    <row r="51" spans="1:33" s="2260" customFormat="1" ht="36.75">
      <c r="A51" s="2273" t="s">
        <v>2654</v>
      </c>
      <c r="B51" s="2287" t="s">
        <v>2655</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0"/>
      <c r="P51" s="1620"/>
      <c r="Q51" s="3043"/>
      <c r="R51" s="3043"/>
      <c r="S51" s="3043"/>
      <c r="T51" s="3043"/>
      <c r="U51" s="3043"/>
      <c r="V51" s="3043"/>
      <c r="W51" s="3043"/>
      <c r="X51" s="1620"/>
      <c r="Y51" s="1620"/>
      <c r="Z51" s="1620"/>
      <c r="AA51" s="1620"/>
      <c r="AB51" s="1620"/>
      <c r="AC51" s="1620"/>
      <c r="AD51" s="1620"/>
      <c r="AE51" s="1620"/>
      <c r="AF51" s="1620"/>
      <c r="AG51" s="1620"/>
    </row>
    <row r="52" spans="1:33" s="2260" customFormat="1" ht="24">
      <c r="A52" s="2273" t="s">
        <v>2656</v>
      </c>
      <c r="B52" s="2285">
        <f>估价对象房地状况!C24</f>
        <v>0</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0"/>
      <c r="P52" s="1620"/>
      <c r="Q52" s="3043"/>
      <c r="R52" s="3043"/>
      <c r="S52" s="3043"/>
      <c r="T52" s="3043"/>
      <c r="U52" s="3043"/>
      <c r="V52" s="3043"/>
      <c r="W52" s="3043"/>
      <c r="X52" s="1620"/>
      <c r="Y52" s="1620"/>
      <c r="Z52" s="1620"/>
      <c r="AA52" s="1620"/>
      <c r="AB52" s="1620"/>
      <c r="AC52" s="1620"/>
      <c r="AD52" s="1620"/>
      <c r="AE52" s="1620"/>
      <c r="AF52" s="1620"/>
      <c r="AG52" s="1620"/>
    </row>
    <row r="53" spans="1:33" s="2260" customFormat="1" ht="24">
      <c r="A53" s="2273" t="s">
        <v>2657</v>
      </c>
      <c r="B53" s="2288" t="s">
        <v>2658</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0"/>
      <c r="P53" s="1620"/>
      <c r="Q53" s="3043"/>
      <c r="R53" s="3043"/>
      <c r="S53" s="3043"/>
      <c r="T53" s="3043"/>
      <c r="U53" s="3043"/>
      <c r="V53" s="3043"/>
      <c r="W53" s="3043"/>
      <c r="X53" s="1620"/>
      <c r="Y53" s="1620"/>
      <c r="Z53" s="1620"/>
      <c r="AA53" s="1620"/>
      <c r="AB53" s="1620"/>
      <c r="AC53" s="1620"/>
      <c r="AD53" s="1620"/>
      <c r="AE53" s="1620"/>
      <c r="AF53" s="1620"/>
      <c r="AG53" s="1620"/>
    </row>
    <row r="54" spans="1:33" s="2260" customFormat="1" ht="24">
      <c r="A54" s="2289" t="s">
        <v>2659</v>
      </c>
      <c r="B54" s="2290" t="str">
        <f>估价对象房地状况!C21</f>
        <v>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0"/>
      <c r="P54" s="1620"/>
      <c r="Q54" s="3043"/>
      <c r="R54" s="3043"/>
      <c r="S54" s="3043"/>
      <c r="T54" s="3043"/>
      <c r="U54" s="3043"/>
      <c r="V54" s="3043"/>
      <c r="W54" s="3043"/>
      <c r="X54" s="1620"/>
      <c r="Y54" s="1620"/>
      <c r="Z54" s="1620"/>
      <c r="AA54" s="1620"/>
      <c r="AB54" s="1620"/>
      <c r="AC54" s="1620"/>
      <c r="AD54" s="1620"/>
      <c r="AE54" s="1620"/>
      <c r="AF54" s="1620"/>
      <c r="AG54" s="1620"/>
    </row>
    <row r="55" spans="1:33" s="2260" customFormat="1" ht="24">
      <c r="A55" s="2289" t="s">
        <v>2660</v>
      </c>
      <c r="B55" s="2285" t="str">
        <f>估价对象房地状况!C22</f>
        <v>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0"/>
      <c r="P55" s="1620"/>
      <c r="Q55" s="3043"/>
      <c r="R55" s="3043"/>
      <c r="S55" s="3043"/>
      <c r="T55" s="3043"/>
      <c r="U55" s="3043"/>
      <c r="V55" s="3043"/>
      <c r="W55" s="3043"/>
      <c r="X55" s="1620"/>
      <c r="Y55" s="1620"/>
      <c r="Z55" s="1620"/>
      <c r="AA55" s="1620"/>
      <c r="AB55" s="1620"/>
      <c r="AC55" s="1620"/>
      <c r="AD55" s="1620"/>
      <c r="AE55" s="1620"/>
      <c r="AF55" s="1620"/>
      <c r="AG55" s="1620"/>
    </row>
    <row r="56" spans="1:33" s="2260" customFormat="1" ht="24.75" thickBot="1">
      <c r="A56" s="2291" t="s">
        <v>2661</v>
      </c>
      <c r="B56" s="2292" t="str">
        <f>估价对象房地状况!C20</f>
        <v>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0"/>
      <c r="P56" s="1620"/>
      <c r="Q56" s="3043"/>
      <c r="R56" s="3043"/>
      <c r="S56" s="3043"/>
      <c r="T56" s="3043"/>
      <c r="U56" s="3043"/>
      <c r="V56" s="3043"/>
      <c r="W56" s="3043"/>
      <c r="X56" s="1620"/>
      <c r="Y56" s="1620"/>
      <c r="Z56" s="1620"/>
      <c r="AA56" s="1620"/>
      <c r="AB56" s="1620"/>
      <c r="AC56" s="1620"/>
      <c r="AD56" s="1620"/>
      <c r="AE56" s="1620"/>
      <c r="AF56" s="1620"/>
      <c r="AG56" s="1620"/>
    </row>
    <row r="57" spans="1:33" s="2260" customFormat="1" ht="15">
      <c r="A57" s="2266" t="s">
        <v>2662</v>
      </c>
      <c r="B57" s="2295">
        <f>1+E59</f>
        <v>1</v>
      </c>
      <c r="C57" s="2269"/>
      <c r="D57" s="2269"/>
      <c r="E57" s="2270"/>
      <c r="F57" s="2271"/>
      <c r="G57" s="607"/>
      <c r="H57" s="607"/>
      <c r="I57" s="607"/>
      <c r="J57" s="607"/>
      <c r="K57" s="607"/>
      <c r="L57" s="607"/>
      <c r="M57" s="607"/>
      <c r="N57" s="607"/>
      <c r="O57" s="1620"/>
      <c r="P57" s="1620"/>
      <c r="Q57" s="3043"/>
      <c r="R57" s="3043"/>
      <c r="S57" s="3043"/>
      <c r="T57" s="3043"/>
      <c r="U57" s="3043"/>
      <c r="V57" s="3043"/>
      <c r="W57" s="3043"/>
      <c r="X57" s="1620"/>
      <c r="Y57" s="1620"/>
      <c r="Z57" s="1620"/>
      <c r="AA57" s="1620"/>
      <c r="AB57" s="1620"/>
      <c r="AC57" s="1620"/>
      <c r="AD57" s="1620"/>
      <c r="AE57" s="1620"/>
      <c r="AF57" s="1620"/>
      <c r="AG57" s="1620"/>
    </row>
    <row r="58" spans="1:33" s="2260" customFormat="1" ht="24.75">
      <c r="A58" s="2273" t="s">
        <v>2637</v>
      </c>
      <c r="B58" s="2285"/>
      <c r="C58" s="2274" t="s">
        <v>2639</v>
      </c>
      <c r="D58" s="2274" t="s">
        <v>2640</v>
      </c>
      <c r="E58" s="2275" t="s">
        <v>2641</v>
      </c>
      <c r="F58" s="2225" t="s">
        <v>2642</v>
      </c>
      <c r="G58" s="2274" t="s">
        <v>2663</v>
      </c>
      <c r="H58" s="2276" t="s">
        <v>2664</v>
      </c>
      <c r="I58" s="2274" t="s">
        <v>2665</v>
      </c>
      <c r="J58" s="1901" t="s">
        <v>2305</v>
      </c>
      <c r="K58" s="1901" t="s">
        <v>2306</v>
      </c>
      <c r="L58" s="1901" t="s">
        <v>2307</v>
      </c>
      <c r="M58" s="1901" t="s">
        <v>2308</v>
      </c>
      <c r="N58" s="1901" t="s">
        <v>2309</v>
      </c>
      <c r="O58" s="1620"/>
      <c r="P58" s="1620"/>
      <c r="Q58" s="3043"/>
      <c r="R58" s="3043"/>
      <c r="S58" s="3043"/>
      <c r="T58" s="3043"/>
      <c r="U58" s="3043"/>
      <c r="V58" s="3043"/>
      <c r="W58" s="3043"/>
      <c r="X58" s="1620"/>
      <c r="Y58" s="1620"/>
      <c r="Z58" s="1620"/>
      <c r="AA58" s="1620"/>
      <c r="AB58" s="1620"/>
      <c r="AC58" s="1620"/>
      <c r="AD58" s="1620"/>
      <c r="AE58" s="1620"/>
      <c r="AF58" s="1620"/>
      <c r="AG58" s="1620"/>
    </row>
    <row r="59" spans="1:33" s="2260" customFormat="1" ht="38.25">
      <c r="A59" s="2273" t="s">
        <v>2666</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0"/>
      <c r="P59" s="1620"/>
      <c r="Q59" s="3043"/>
      <c r="R59" s="3043"/>
      <c r="S59" s="3043"/>
      <c r="T59" s="3043"/>
      <c r="U59" s="3043"/>
      <c r="V59" s="3043"/>
      <c r="W59" s="3043"/>
      <c r="X59" s="1620"/>
      <c r="Y59" s="1620"/>
      <c r="Z59" s="1620"/>
      <c r="AA59" s="1620"/>
      <c r="AB59" s="1620"/>
      <c r="AC59" s="1620"/>
      <c r="AD59" s="1620"/>
      <c r="AE59" s="1620"/>
      <c r="AF59" s="1620"/>
      <c r="AG59" s="1620"/>
    </row>
    <row r="60" spans="1:33" s="2260" customFormat="1" ht="14.25">
      <c r="A60" s="2273" t="s">
        <v>2652</v>
      </c>
      <c r="B60" s="2285" t="str">
        <f>估价对象房地状况!C18</f>
        <v>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0"/>
      <c r="P60" s="1620"/>
      <c r="Q60" s="3043"/>
      <c r="R60" s="3043"/>
      <c r="S60" s="3043"/>
      <c r="T60" s="3043"/>
      <c r="U60" s="3043"/>
      <c r="V60" s="3043"/>
      <c r="W60" s="3043"/>
      <c r="X60" s="1620"/>
      <c r="Y60" s="1620"/>
      <c r="Z60" s="1620"/>
      <c r="AA60" s="1620"/>
      <c r="AB60" s="1620"/>
      <c r="AC60" s="1620"/>
      <c r="AD60" s="1620"/>
      <c r="AE60" s="1620"/>
      <c r="AF60" s="1620"/>
      <c r="AG60" s="1620"/>
    </row>
    <row r="61" spans="1:33" s="2260" customFormat="1" ht="24">
      <c r="A61" s="2273" t="s">
        <v>2653</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0"/>
      <c r="P61" s="1620"/>
      <c r="Q61" s="3043"/>
      <c r="R61" s="3043"/>
      <c r="S61" s="3043"/>
      <c r="T61" s="3043"/>
      <c r="U61" s="3043"/>
      <c r="V61" s="3043"/>
      <c r="W61" s="3043"/>
      <c r="X61" s="1620"/>
      <c r="Y61" s="1620"/>
      <c r="Z61" s="1620"/>
      <c r="AA61" s="1620"/>
      <c r="AB61" s="1620"/>
      <c r="AC61" s="1620"/>
      <c r="AD61" s="1620"/>
      <c r="AE61" s="1620"/>
      <c r="AF61" s="1620"/>
      <c r="AG61" s="1620"/>
    </row>
    <row r="62" spans="1:33" s="2260" customFormat="1" ht="36.75">
      <c r="A62" s="2273" t="s">
        <v>2654</v>
      </c>
      <c r="B62" s="2287" t="s">
        <v>2655</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0"/>
      <c r="P62" s="1620"/>
      <c r="Q62" s="3043"/>
      <c r="R62" s="3043"/>
      <c r="S62" s="3043"/>
      <c r="T62" s="3043"/>
      <c r="U62" s="3043"/>
      <c r="V62" s="3043"/>
      <c r="W62" s="3043"/>
      <c r="X62" s="1620"/>
      <c r="Y62" s="1620"/>
      <c r="Z62" s="1620"/>
      <c r="AA62" s="1620"/>
      <c r="AB62" s="1620"/>
      <c r="AC62" s="1620"/>
      <c r="AD62" s="1620"/>
      <c r="AE62" s="1620"/>
      <c r="AF62" s="1620"/>
      <c r="AG62" s="1620"/>
    </row>
    <row r="63" spans="1:33" s="2260" customFormat="1" ht="24">
      <c r="A63" s="2273" t="s">
        <v>2656</v>
      </c>
      <c r="B63" s="2285">
        <f>估价对象房地状况!C24</f>
        <v>0</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0"/>
      <c r="P63" s="1620"/>
      <c r="Q63" s="3043"/>
      <c r="R63" s="3043"/>
      <c r="S63" s="3043"/>
      <c r="T63" s="3043"/>
      <c r="U63" s="3043"/>
      <c r="V63" s="3043"/>
      <c r="W63" s="3043"/>
      <c r="X63" s="1620"/>
      <c r="Y63" s="1620"/>
      <c r="Z63" s="1620"/>
      <c r="AA63" s="1620"/>
      <c r="AB63" s="1620"/>
      <c r="AC63" s="1620"/>
      <c r="AD63" s="1620"/>
      <c r="AE63" s="1620"/>
      <c r="AF63" s="1620"/>
      <c r="AG63" s="1620"/>
    </row>
    <row r="64" spans="1:33" s="2260" customFormat="1" ht="24">
      <c r="A64" s="2273" t="s">
        <v>2657</v>
      </c>
      <c r="B64" s="2288" t="s">
        <v>2658</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0"/>
      <c r="P64" s="1620"/>
      <c r="Q64" s="3043"/>
      <c r="R64" s="3043"/>
      <c r="S64" s="3043"/>
      <c r="T64" s="3043"/>
      <c r="U64" s="3043"/>
      <c r="V64" s="3043"/>
      <c r="W64" s="3043"/>
      <c r="X64" s="1620"/>
      <c r="Y64" s="1620"/>
      <c r="Z64" s="1620"/>
      <c r="AA64" s="1620"/>
      <c r="AB64" s="1620"/>
      <c r="AC64" s="1620"/>
      <c r="AD64" s="1620"/>
      <c r="AE64" s="1620"/>
      <c r="AF64" s="1620"/>
      <c r="AG64" s="1620"/>
    </row>
    <row r="65" spans="1:33" s="2260" customFormat="1" ht="24">
      <c r="A65" s="2273" t="s">
        <v>2659</v>
      </c>
      <c r="B65" s="2290" t="str">
        <f>估价对象房地状况!C21</f>
        <v>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0"/>
      <c r="P65" s="1620"/>
      <c r="Q65" s="3043"/>
      <c r="R65" s="3043"/>
      <c r="S65" s="3043"/>
      <c r="T65" s="3043"/>
      <c r="U65" s="3043"/>
      <c r="V65" s="3043"/>
      <c r="W65" s="3043"/>
      <c r="X65" s="1620"/>
      <c r="Y65" s="1620"/>
      <c r="Z65" s="1620"/>
      <c r="AA65" s="1620"/>
      <c r="AB65" s="1620"/>
      <c r="AC65" s="1620"/>
      <c r="AD65" s="1620"/>
      <c r="AE65" s="1620"/>
      <c r="AF65" s="1620"/>
      <c r="AG65" s="1620"/>
    </row>
    <row r="66" spans="1:33" s="2260" customFormat="1" ht="24">
      <c r="A66" s="2273" t="s">
        <v>2660</v>
      </c>
      <c r="B66" s="2290" t="str">
        <f>估价对象房地状况!C22</f>
        <v>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0"/>
      <c r="P66" s="1620"/>
      <c r="Q66" s="3043"/>
      <c r="R66" s="3043"/>
      <c r="S66" s="3043"/>
      <c r="T66" s="3043"/>
      <c r="U66" s="3043"/>
      <c r="V66" s="3043"/>
      <c r="W66" s="3043"/>
      <c r="X66" s="1620"/>
      <c r="Y66" s="1620"/>
      <c r="Z66" s="1620"/>
      <c r="AA66" s="1620"/>
      <c r="AB66" s="1620"/>
      <c r="AC66" s="1620"/>
      <c r="AD66" s="1620"/>
      <c r="AE66" s="1620"/>
      <c r="AF66" s="1620"/>
      <c r="AG66" s="1620"/>
    </row>
    <row r="67" spans="1:33" s="2260" customFormat="1" ht="24.75" thickBot="1">
      <c r="A67" s="2291" t="s">
        <v>2661</v>
      </c>
      <c r="B67" s="2296" t="str">
        <f>估价对象房地状况!C20</f>
        <v>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0"/>
      <c r="P67" s="1620"/>
      <c r="Q67" s="3043"/>
      <c r="R67" s="3043"/>
      <c r="S67" s="3043"/>
      <c r="T67" s="3043"/>
      <c r="U67" s="3043"/>
      <c r="V67" s="3043"/>
      <c r="W67" s="3043"/>
      <c r="X67" s="1620"/>
      <c r="Y67" s="1620"/>
      <c r="Z67" s="1620"/>
      <c r="AA67" s="1620"/>
      <c r="AB67" s="1620"/>
      <c r="AC67" s="1620"/>
      <c r="AD67" s="1620"/>
      <c r="AE67" s="1620"/>
      <c r="AF67" s="1620"/>
      <c r="AG67" s="1620"/>
    </row>
    <row r="68" spans="1:33" s="2260" customFormat="1" ht="15">
      <c r="A68" s="2266" t="s">
        <v>2667</v>
      </c>
      <c r="B68" s="2295">
        <f>1+E70</f>
        <v>1</v>
      </c>
      <c r="C68" s="2269"/>
      <c r="D68" s="2269"/>
      <c r="E68" s="2270"/>
      <c r="F68" s="2271"/>
      <c r="G68" s="607"/>
      <c r="H68" s="607"/>
      <c r="I68" s="607"/>
      <c r="J68" s="607"/>
      <c r="K68" s="607"/>
      <c r="L68" s="607"/>
      <c r="M68" s="607"/>
      <c r="N68" s="607"/>
      <c r="O68" s="1620"/>
      <c r="P68" s="1620"/>
      <c r="Q68" s="3043"/>
      <c r="R68" s="3043"/>
      <c r="S68" s="3043"/>
      <c r="T68" s="3043"/>
      <c r="U68" s="3043"/>
      <c r="V68" s="3043"/>
      <c r="W68" s="3043"/>
      <c r="X68" s="1620"/>
      <c r="Y68" s="1620"/>
      <c r="Z68" s="1620"/>
      <c r="AA68" s="1620"/>
      <c r="AB68" s="1620"/>
      <c r="AC68" s="1620"/>
      <c r="AD68" s="1620"/>
      <c r="AE68" s="1620"/>
      <c r="AF68" s="1620"/>
      <c r="AG68" s="1620"/>
    </row>
    <row r="69" spans="1:33" s="2260" customFormat="1" ht="24.75">
      <c r="A69" s="2273" t="s">
        <v>2637</v>
      </c>
      <c r="B69" s="2285"/>
      <c r="C69" s="2274" t="s">
        <v>2639</v>
      </c>
      <c r="D69" s="2274" t="s">
        <v>2640</v>
      </c>
      <c r="E69" s="2275" t="s">
        <v>2641</v>
      </c>
      <c r="F69" s="2225" t="s">
        <v>2642</v>
      </c>
      <c r="G69" s="2274" t="s">
        <v>2663</v>
      </c>
      <c r="H69" s="2276" t="s">
        <v>2664</v>
      </c>
      <c r="I69" s="2274" t="s">
        <v>2665</v>
      </c>
      <c r="J69" s="1901" t="s">
        <v>2305</v>
      </c>
      <c r="K69" s="1901" t="s">
        <v>2306</v>
      </c>
      <c r="L69" s="1901" t="s">
        <v>2307</v>
      </c>
      <c r="M69" s="1901" t="s">
        <v>2308</v>
      </c>
      <c r="N69" s="1901" t="s">
        <v>2309</v>
      </c>
      <c r="O69" s="1620"/>
      <c r="P69" s="1620"/>
      <c r="Q69" s="3043"/>
      <c r="R69" s="3043"/>
      <c r="S69" s="3043"/>
      <c r="T69" s="3043"/>
      <c r="U69" s="3043"/>
      <c r="V69" s="3043"/>
      <c r="W69" s="3043"/>
      <c r="X69" s="1620"/>
      <c r="Y69" s="1620"/>
      <c r="Z69" s="1620"/>
      <c r="AA69" s="1620"/>
      <c r="AB69" s="1620"/>
      <c r="AC69" s="1620"/>
      <c r="AD69" s="1620"/>
      <c r="AE69" s="1620"/>
      <c r="AF69" s="1620"/>
      <c r="AG69" s="1620"/>
    </row>
    <row r="70" spans="1:33" s="2260" customFormat="1" ht="24">
      <c r="A70" s="2273" t="s">
        <v>2668</v>
      </c>
      <c r="B70" s="2277" t="str">
        <f>估价对象房地状况!C15</f>
        <v>较好</v>
      </c>
      <c r="C70" s="2161"/>
      <c r="D70" s="2278">
        <f t="shared" ref="D70:D78" si="20">SUMIF($J$69:$N$69,C70,J70:N70)</f>
        <v>0</v>
      </c>
      <c r="E70" s="2279">
        <f>ROUND(SUM(D70:D78),4)</f>
        <v>0</v>
      </c>
      <c r="F70" s="2280">
        <f>IF(E2="住宅",SUMIF(L1:L12,G2,N1:N12),"——")</f>
        <v>0</v>
      </c>
      <c r="G70" s="2281"/>
      <c r="H70" s="2282">
        <f t="shared" ref="H70:H78" si="21">IFERROR(ROUNDDOWN($F$70*I70/2,4),"——")</f>
        <v>0</v>
      </c>
      <c r="I70" s="2283">
        <v>0.14000000000000001</v>
      </c>
      <c r="J70" s="2284">
        <f t="shared" ref="J70:J78" si="22">K70+$G70</f>
        <v>0</v>
      </c>
      <c r="K70" s="2284">
        <f t="shared" ref="K70:K78" si="23">$L70+$G70</f>
        <v>0</v>
      </c>
      <c r="L70" s="2284">
        <v>0</v>
      </c>
      <c r="M70" s="2284">
        <f t="shared" ref="M70:N78" si="24">L70-$G70</f>
        <v>0</v>
      </c>
      <c r="N70" s="2284">
        <f t="shared" si="24"/>
        <v>0</v>
      </c>
      <c r="O70" s="1620"/>
      <c r="P70" s="1620"/>
      <c r="Q70" s="3043"/>
      <c r="R70" s="3043"/>
      <c r="S70" s="3043"/>
      <c r="T70" s="3043"/>
      <c r="U70" s="3043"/>
      <c r="V70" s="3043"/>
      <c r="W70" s="3043"/>
      <c r="X70" s="1620"/>
      <c r="Y70" s="1620"/>
      <c r="Z70" s="1620"/>
      <c r="AA70" s="1620"/>
      <c r="AB70" s="1620"/>
      <c r="AC70" s="1620"/>
      <c r="AD70" s="1620"/>
      <c r="AE70" s="1620"/>
      <c r="AF70" s="1620"/>
      <c r="AG70" s="1620"/>
    </row>
    <row r="71" spans="1:33" s="2260" customFormat="1" ht="14.25">
      <c r="A71" s="2273" t="s">
        <v>2652</v>
      </c>
      <c r="B71" s="2285" t="str">
        <f>估价对象房地状况!C18</f>
        <v>较好</v>
      </c>
      <c r="C71" s="2161"/>
      <c r="D71" s="2278">
        <f t="shared" si="20"/>
        <v>0</v>
      </c>
      <c r="E71" s="2286"/>
      <c r="F71" s="2280"/>
      <c r="G71" s="2281"/>
      <c r="H71" s="2282">
        <f t="shared" si="21"/>
        <v>0</v>
      </c>
      <c r="I71" s="2283">
        <v>0.3</v>
      </c>
      <c r="J71" s="2284">
        <f t="shared" si="22"/>
        <v>0</v>
      </c>
      <c r="K71" s="2284">
        <f t="shared" si="23"/>
        <v>0</v>
      </c>
      <c r="L71" s="2284">
        <v>0</v>
      </c>
      <c r="M71" s="2284">
        <f t="shared" si="24"/>
        <v>0</v>
      </c>
      <c r="N71" s="2284">
        <f t="shared" si="24"/>
        <v>0</v>
      </c>
      <c r="O71" s="1620"/>
      <c r="P71" s="1620"/>
      <c r="Q71" s="3043"/>
      <c r="R71" s="3043"/>
      <c r="S71" s="3043"/>
      <c r="T71" s="3043"/>
      <c r="U71" s="3043"/>
      <c r="V71" s="3043"/>
      <c r="W71" s="3043"/>
      <c r="X71" s="1620"/>
      <c r="Y71" s="1620"/>
      <c r="Z71" s="1620"/>
      <c r="AA71" s="1620"/>
      <c r="AB71" s="1620"/>
      <c r="AC71" s="1620"/>
      <c r="AD71" s="1620"/>
      <c r="AE71" s="1620"/>
      <c r="AF71" s="1620"/>
      <c r="AG71" s="1620"/>
    </row>
    <row r="72" spans="1:33" s="2260" customFormat="1" ht="24">
      <c r="A72" s="2273" t="s">
        <v>2653</v>
      </c>
      <c r="B72" s="2285">
        <f>估价对象房地状况!C19</f>
        <v>0</v>
      </c>
      <c r="C72" s="2161"/>
      <c r="D72" s="2278">
        <f t="shared" si="20"/>
        <v>0</v>
      </c>
      <c r="E72" s="2286"/>
      <c r="F72" s="2280"/>
      <c r="G72" s="2281"/>
      <c r="H72" s="2282">
        <f t="shared" si="21"/>
        <v>0</v>
      </c>
      <c r="I72" s="2283">
        <v>0.08</v>
      </c>
      <c r="J72" s="2284">
        <f t="shared" si="22"/>
        <v>0</v>
      </c>
      <c r="K72" s="2284">
        <f t="shared" si="23"/>
        <v>0</v>
      </c>
      <c r="L72" s="2284">
        <v>0</v>
      </c>
      <c r="M72" s="2284">
        <f t="shared" si="24"/>
        <v>0</v>
      </c>
      <c r="N72" s="2284">
        <f t="shared" si="24"/>
        <v>0</v>
      </c>
      <c r="O72" s="1620"/>
      <c r="P72" s="1620"/>
      <c r="Q72" s="3043"/>
      <c r="R72" s="3043"/>
      <c r="S72" s="3043"/>
      <c r="T72" s="3043"/>
      <c r="U72" s="3043"/>
      <c r="V72" s="3043"/>
      <c r="W72" s="3043"/>
      <c r="X72" s="1620"/>
      <c r="Y72" s="1620"/>
      <c r="Z72" s="1620"/>
      <c r="AA72" s="1620"/>
      <c r="AB72" s="1620"/>
      <c r="AC72" s="1620"/>
      <c r="AD72" s="1620"/>
      <c r="AE72" s="1620"/>
      <c r="AF72" s="1620"/>
      <c r="AG72" s="1620"/>
    </row>
    <row r="73" spans="1:33" s="2260" customFormat="1" ht="14.25">
      <c r="A73" s="2273" t="s">
        <v>2669</v>
      </c>
      <c r="B73" s="2285">
        <f>估价对象房地状况!C24</f>
        <v>0</v>
      </c>
      <c r="C73" s="2161"/>
      <c r="D73" s="2278">
        <f t="shared" si="20"/>
        <v>0</v>
      </c>
      <c r="E73" s="2286"/>
      <c r="F73" s="2280"/>
      <c r="G73" s="2281"/>
      <c r="H73" s="2282">
        <f t="shared" si="21"/>
        <v>0</v>
      </c>
      <c r="I73" s="2283">
        <v>0.04</v>
      </c>
      <c r="J73" s="2284">
        <f t="shared" si="22"/>
        <v>0</v>
      </c>
      <c r="K73" s="2284">
        <f t="shared" si="23"/>
        <v>0</v>
      </c>
      <c r="L73" s="2284">
        <v>0</v>
      </c>
      <c r="M73" s="2284">
        <f t="shared" si="24"/>
        <v>0</v>
      </c>
      <c r="N73" s="2284">
        <f t="shared" si="24"/>
        <v>0</v>
      </c>
      <c r="O73" s="1620"/>
      <c r="P73" s="1620"/>
      <c r="Q73" s="3043"/>
      <c r="R73" s="3043"/>
      <c r="S73" s="3043"/>
      <c r="T73" s="3043"/>
      <c r="U73" s="3043"/>
      <c r="V73" s="3043"/>
      <c r="W73" s="3043"/>
      <c r="X73" s="1620"/>
      <c r="Y73" s="1620"/>
      <c r="Z73" s="1620"/>
      <c r="AA73" s="1620"/>
      <c r="AB73" s="1620"/>
      <c r="AC73" s="1620"/>
      <c r="AD73" s="1620"/>
      <c r="AE73" s="1620"/>
      <c r="AF73" s="1620"/>
      <c r="AG73" s="1620"/>
    </row>
    <row r="74" spans="1:33" s="2260" customFormat="1" ht="24">
      <c r="A74" s="2273" t="s">
        <v>2659</v>
      </c>
      <c r="B74" s="2290" t="str">
        <f>估价对象房地状况!C21</f>
        <v>较好</v>
      </c>
      <c r="C74" s="2161"/>
      <c r="D74" s="2278">
        <f t="shared" si="20"/>
        <v>0</v>
      </c>
      <c r="E74" s="2286"/>
      <c r="F74" s="2280"/>
      <c r="G74" s="2281"/>
      <c r="H74" s="2282">
        <f t="shared" si="21"/>
        <v>0</v>
      </c>
      <c r="I74" s="2283">
        <v>0.08</v>
      </c>
      <c r="J74" s="2284">
        <f t="shared" si="22"/>
        <v>0</v>
      </c>
      <c r="K74" s="2284">
        <f t="shared" si="23"/>
        <v>0</v>
      </c>
      <c r="L74" s="2284">
        <v>0</v>
      </c>
      <c r="M74" s="2284">
        <f t="shared" si="24"/>
        <v>0</v>
      </c>
      <c r="N74" s="2284">
        <f t="shared" si="24"/>
        <v>0</v>
      </c>
      <c r="O74" s="1620"/>
      <c r="P74" s="1620"/>
      <c r="Q74" s="3043"/>
      <c r="R74" s="3043"/>
      <c r="S74" s="3043"/>
      <c r="T74" s="3043"/>
      <c r="U74" s="3043"/>
      <c r="V74" s="3043"/>
      <c r="W74" s="3043"/>
      <c r="X74" s="1620"/>
      <c r="Y74" s="1620"/>
      <c r="Z74" s="1620"/>
      <c r="AA74" s="1620"/>
      <c r="AB74" s="1620"/>
      <c r="AC74" s="1620"/>
      <c r="AD74" s="1620"/>
      <c r="AE74" s="1620"/>
      <c r="AF74" s="1620"/>
      <c r="AG74" s="1620"/>
    </row>
    <row r="75" spans="1:33" s="2260" customFormat="1" ht="24">
      <c r="A75" s="2273" t="s">
        <v>2660</v>
      </c>
      <c r="B75" s="2290" t="str">
        <f>估价对象房地状况!C22</f>
        <v>七通</v>
      </c>
      <c r="C75" s="2161"/>
      <c r="D75" s="2278">
        <f t="shared" si="20"/>
        <v>0</v>
      </c>
      <c r="E75" s="2286"/>
      <c r="F75" s="2280"/>
      <c r="G75" s="2281"/>
      <c r="H75" s="2282">
        <f t="shared" si="21"/>
        <v>0</v>
      </c>
      <c r="I75" s="2283">
        <v>0.12</v>
      </c>
      <c r="J75" s="2284">
        <f t="shared" si="22"/>
        <v>0</v>
      </c>
      <c r="K75" s="2284">
        <f t="shared" si="23"/>
        <v>0</v>
      </c>
      <c r="L75" s="2284">
        <v>0</v>
      </c>
      <c r="M75" s="2284">
        <f t="shared" si="24"/>
        <v>0</v>
      </c>
      <c r="N75" s="2284">
        <f t="shared" si="24"/>
        <v>0</v>
      </c>
      <c r="O75" s="1620"/>
      <c r="P75" s="1620"/>
      <c r="Q75" s="3043"/>
      <c r="R75" s="3043"/>
      <c r="S75" s="3043"/>
      <c r="T75" s="3043"/>
      <c r="U75" s="3043"/>
      <c r="V75" s="3043"/>
      <c r="W75" s="3043"/>
      <c r="X75" s="1620"/>
      <c r="Y75" s="1620"/>
      <c r="Z75" s="1620"/>
      <c r="AA75" s="1620"/>
      <c r="AB75" s="1620"/>
      <c r="AC75" s="1620"/>
      <c r="AD75" s="1620"/>
      <c r="AE75" s="1620"/>
      <c r="AF75" s="1620"/>
      <c r="AG75" s="1620"/>
    </row>
    <row r="76" spans="1:33" ht="24">
      <c r="A76" s="2273" t="s">
        <v>2657</v>
      </c>
      <c r="B76" s="2288" t="s">
        <v>2658</v>
      </c>
      <c r="C76" s="2161"/>
      <c r="D76" s="2278">
        <f t="shared" si="20"/>
        <v>0</v>
      </c>
      <c r="E76" s="2286"/>
      <c r="F76" s="2280"/>
      <c r="G76" s="2281"/>
      <c r="H76" s="2282">
        <f t="shared" si="21"/>
        <v>0</v>
      </c>
      <c r="I76" s="2283">
        <v>0.05</v>
      </c>
      <c r="J76" s="2284">
        <f t="shared" si="22"/>
        <v>0</v>
      </c>
      <c r="K76" s="2284">
        <f t="shared" si="23"/>
        <v>0</v>
      </c>
      <c r="L76" s="2284">
        <v>0</v>
      </c>
      <c r="M76" s="2284">
        <f t="shared" si="24"/>
        <v>0</v>
      </c>
      <c r="N76" s="2284">
        <f t="shared" si="24"/>
        <v>0</v>
      </c>
      <c r="Q76" s="3051"/>
      <c r="R76" s="3051"/>
      <c r="S76" s="3051"/>
      <c r="T76" s="3051"/>
      <c r="U76" s="3051"/>
      <c r="V76" s="3051"/>
      <c r="W76" s="3051"/>
      <c r="AA76" s="1621"/>
      <c r="AG76" s="2260"/>
    </row>
    <row r="77" spans="1:33" ht="24">
      <c r="A77" s="2273" t="s">
        <v>2661</v>
      </c>
      <c r="B77" s="2277" t="str">
        <f>估价对象房地状况!C20</f>
        <v>较好</v>
      </c>
      <c r="C77" s="2161"/>
      <c r="D77" s="2278">
        <f t="shared" si="20"/>
        <v>0</v>
      </c>
      <c r="E77" s="2286"/>
      <c r="F77" s="2280"/>
      <c r="G77" s="2281"/>
      <c r="H77" s="2282">
        <f t="shared" si="21"/>
        <v>0</v>
      </c>
      <c r="I77" s="2283">
        <v>0.15</v>
      </c>
      <c r="J77" s="2284">
        <f t="shared" si="22"/>
        <v>0</v>
      </c>
      <c r="K77" s="2284">
        <f t="shared" si="23"/>
        <v>0</v>
      </c>
      <c r="L77" s="2284">
        <v>0</v>
      </c>
      <c r="M77" s="2284">
        <f t="shared" si="24"/>
        <v>0</v>
      </c>
      <c r="N77" s="2284">
        <f t="shared" si="24"/>
        <v>0</v>
      </c>
      <c r="Q77" s="3051"/>
      <c r="R77" s="3051"/>
      <c r="S77" s="3051"/>
      <c r="T77" s="3051"/>
      <c r="U77" s="3051"/>
      <c r="V77" s="3051"/>
      <c r="W77" s="3051"/>
      <c r="AA77" s="1621"/>
      <c r="AG77" s="2260"/>
    </row>
    <row r="78" spans="1:33" ht="24.75" thickBot="1">
      <c r="A78" s="2291" t="s">
        <v>2670</v>
      </c>
      <c r="B78" s="2297"/>
      <c r="C78" s="2161"/>
      <c r="D78" s="2278">
        <f t="shared" si="20"/>
        <v>0</v>
      </c>
      <c r="E78" s="2293"/>
      <c r="F78" s="2280"/>
      <c r="G78" s="2281"/>
      <c r="H78" s="2282">
        <f t="shared" si="21"/>
        <v>0</v>
      </c>
      <c r="I78" s="2294">
        <v>0.04</v>
      </c>
      <c r="J78" s="2284">
        <f t="shared" si="22"/>
        <v>0</v>
      </c>
      <c r="K78" s="2284">
        <f t="shared" si="23"/>
        <v>0</v>
      </c>
      <c r="L78" s="2284">
        <v>0</v>
      </c>
      <c r="M78" s="2284">
        <f t="shared" si="24"/>
        <v>0</v>
      </c>
      <c r="N78" s="2284">
        <f t="shared" si="24"/>
        <v>0</v>
      </c>
      <c r="Q78" s="3051"/>
      <c r="R78" s="3051"/>
      <c r="S78" s="3051"/>
      <c r="T78" s="3051"/>
      <c r="U78" s="3051"/>
      <c r="V78" s="3051"/>
      <c r="W78" s="3051"/>
      <c r="AA78" s="1621"/>
      <c r="AG78" s="2260"/>
    </row>
    <row r="79" spans="1:33" ht="15">
      <c r="A79" s="2266" t="s">
        <v>2671</v>
      </c>
      <c r="B79" s="2295">
        <f>1+E81</f>
        <v>1</v>
      </c>
      <c r="C79" s="2269"/>
      <c r="D79" s="2269"/>
      <c r="E79" s="2270"/>
      <c r="F79" s="2271"/>
      <c r="G79" s="607"/>
      <c r="H79" s="607"/>
      <c r="I79" s="607"/>
      <c r="J79" s="607"/>
      <c r="K79" s="607"/>
      <c r="L79" s="607"/>
      <c r="M79" s="607"/>
      <c r="N79" s="607"/>
      <c r="Q79" s="3051"/>
      <c r="R79" s="3051"/>
      <c r="S79" s="3051"/>
      <c r="T79" s="3051"/>
      <c r="U79" s="3051"/>
      <c r="V79" s="3051"/>
      <c r="W79" s="3051"/>
      <c r="AA79" s="1621"/>
      <c r="AG79" s="2260"/>
    </row>
    <row r="80" spans="1:33" ht="24.75">
      <c r="A80" s="2273" t="s">
        <v>2637</v>
      </c>
      <c r="B80" s="2285"/>
      <c r="C80" s="2274" t="s">
        <v>2639</v>
      </c>
      <c r="D80" s="2274" t="s">
        <v>2640</v>
      </c>
      <c r="E80" s="2275" t="s">
        <v>2641</v>
      </c>
      <c r="F80" s="2225" t="s">
        <v>2642</v>
      </c>
      <c r="G80" s="2274" t="s">
        <v>2663</v>
      </c>
      <c r="H80" s="2276" t="s">
        <v>2664</v>
      </c>
      <c r="I80" s="2274" t="s">
        <v>2665</v>
      </c>
      <c r="J80" s="1901" t="s">
        <v>2305</v>
      </c>
      <c r="K80" s="1901" t="s">
        <v>2306</v>
      </c>
      <c r="L80" s="1901" t="s">
        <v>2307</v>
      </c>
      <c r="M80" s="1901" t="s">
        <v>2308</v>
      </c>
      <c r="N80" s="1901" t="s">
        <v>2309</v>
      </c>
      <c r="Q80" s="3051"/>
      <c r="R80" s="3051"/>
      <c r="S80" s="3051"/>
      <c r="T80" s="3051"/>
      <c r="U80" s="3051"/>
      <c r="V80" s="3051"/>
      <c r="W80" s="3051"/>
      <c r="AA80" s="1621"/>
      <c r="AG80" s="2260"/>
    </row>
    <row r="81" spans="1:33" ht="38.25">
      <c r="A81" s="2273" t="s">
        <v>2672</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1"/>
      <c r="R81" s="3051"/>
      <c r="S81" s="3051"/>
      <c r="T81" s="3051"/>
      <c r="U81" s="3051"/>
      <c r="V81" s="3051"/>
      <c r="W81" s="3051"/>
      <c r="AA81" s="1621"/>
      <c r="AG81" s="2260"/>
    </row>
    <row r="82" spans="1:33" ht="51">
      <c r="A82" s="2273" t="s">
        <v>2652</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1"/>
      <c r="R82" s="3051"/>
      <c r="S82" s="3051"/>
      <c r="T82" s="3051"/>
      <c r="U82" s="3051"/>
      <c r="V82" s="3051"/>
      <c r="W82" s="3051"/>
      <c r="AA82" s="1621"/>
      <c r="AG82" s="2260"/>
    </row>
    <row r="83" spans="1:33" ht="24">
      <c r="A83" s="2273" t="s">
        <v>2653</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1"/>
      <c r="R83" s="3051"/>
      <c r="S83" s="3051"/>
      <c r="T83" s="3051"/>
      <c r="U83" s="3051"/>
      <c r="V83" s="3051"/>
      <c r="W83" s="3051"/>
      <c r="AA83" s="1621"/>
      <c r="AG83" s="2260"/>
    </row>
    <row r="84" spans="1:33" ht="14.25">
      <c r="A84" s="2273" t="s">
        <v>2669</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1"/>
      <c r="R84" s="3051"/>
      <c r="S84" s="3051"/>
      <c r="T84" s="3051"/>
      <c r="U84" s="3051"/>
      <c r="V84" s="3051"/>
      <c r="W84" s="3051"/>
      <c r="AA84" s="1621"/>
      <c r="AG84" s="2260"/>
    </row>
    <row r="85" spans="1:33" ht="25.5">
      <c r="A85" s="2273" t="s">
        <v>2659</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1"/>
      <c r="R85" s="3051"/>
      <c r="S85" s="3051"/>
      <c r="T85" s="3051"/>
      <c r="U85" s="3051"/>
      <c r="V85" s="3051"/>
      <c r="W85" s="3051"/>
      <c r="AA85" s="1621"/>
      <c r="AG85" s="2260"/>
    </row>
    <row r="86" spans="1:33" ht="25.5">
      <c r="A86" s="2273" t="s">
        <v>2660</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1"/>
      <c r="R86" s="3051"/>
      <c r="S86" s="3051"/>
      <c r="T86" s="3051"/>
      <c r="U86" s="3051"/>
      <c r="V86" s="3051"/>
      <c r="W86" s="3051"/>
      <c r="AA86" s="1621"/>
      <c r="AG86" s="2260"/>
    </row>
    <row r="87" spans="1:33" ht="24">
      <c r="A87" s="2273" t="s">
        <v>2657</v>
      </c>
      <c r="B87" s="2288" t="s">
        <v>2658</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1"/>
      <c r="R87" s="3051"/>
      <c r="S87" s="3051"/>
      <c r="T87" s="3051"/>
      <c r="U87" s="3051"/>
      <c r="V87" s="3051"/>
      <c r="W87" s="3051"/>
      <c r="AA87" s="1621"/>
      <c r="AG87" s="2260"/>
    </row>
    <row r="88" spans="1:33" ht="39" thickBot="1">
      <c r="A88" s="2291" t="s">
        <v>2673</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1"/>
      <c r="R88" s="3051"/>
      <c r="S88" s="3051"/>
      <c r="T88" s="3051"/>
      <c r="U88" s="3051"/>
      <c r="V88" s="3051"/>
      <c r="W88" s="3051"/>
      <c r="AA88" s="1621"/>
      <c r="AG88" s="2260"/>
    </row>
    <row r="89" spans="1:33">
      <c r="Q89" s="3051"/>
      <c r="R89" s="3051"/>
      <c r="S89" s="3051"/>
      <c r="T89" s="3051"/>
      <c r="U89" s="3051"/>
      <c r="V89" s="3051"/>
      <c r="W89" s="3051"/>
    </row>
    <row r="90" spans="1:33">
      <c r="A90" s="3534" t="s">
        <v>2674</v>
      </c>
      <c r="B90" s="3534"/>
      <c r="C90" s="3534"/>
      <c r="D90" s="3534"/>
      <c r="E90" s="3534"/>
      <c r="F90" s="3534"/>
      <c r="G90" s="3534"/>
      <c r="H90" s="3534"/>
      <c r="I90" s="3534"/>
      <c r="J90" s="3534"/>
      <c r="K90" s="2301"/>
      <c r="L90" s="2301"/>
      <c r="M90" s="2301"/>
      <c r="N90" s="2301"/>
      <c r="Q90" s="3051"/>
      <c r="R90" s="3051"/>
      <c r="S90" s="3051"/>
      <c r="T90" s="3051"/>
      <c r="U90" s="3051"/>
      <c r="V90" s="3051"/>
      <c r="W90" s="3051"/>
    </row>
    <row r="91" spans="1:33">
      <c r="A91" s="3536" t="s">
        <v>2675</v>
      </c>
      <c r="B91" s="3536" t="s">
        <v>2676</v>
      </c>
      <c r="C91" s="2240" t="s">
        <v>2677</v>
      </c>
      <c r="D91" s="2241"/>
      <c r="E91" s="2241"/>
      <c r="F91" s="2241"/>
      <c r="G91" s="2241"/>
      <c r="H91" s="2241"/>
      <c r="I91" s="2241"/>
      <c r="J91" s="2303"/>
      <c r="K91" s="2063"/>
      <c r="L91" s="2063"/>
      <c r="M91" s="2063"/>
      <c r="N91" s="2063"/>
      <c r="Q91" s="3051"/>
      <c r="R91" s="3051"/>
      <c r="S91" s="3051"/>
      <c r="T91" s="3051"/>
      <c r="U91" s="3051"/>
      <c r="V91" s="3051"/>
      <c r="W91" s="3051"/>
    </row>
    <row r="92" spans="1:33">
      <c r="A92" s="3536"/>
      <c r="B92" s="3536"/>
      <c r="C92" s="2026" t="s">
        <v>2530</v>
      </c>
      <c r="D92" s="2026" t="s">
        <v>2531</v>
      </c>
      <c r="E92" s="2026" t="s">
        <v>2532</v>
      </c>
      <c r="F92" s="2026" t="s">
        <v>2533</v>
      </c>
      <c r="G92" s="2026" t="s">
        <v>2534</v>
      </c>
      <c r="H92" s="2026" t="s">
        <v>2535</v>
      </c>
      <c r="I92" s="2026" t="s">
        <v>2536</v>
      </c>
      <c r="J92" s="2026" t="s">
        <v>2537</v>
      </c>
      <c r="K92" s="2026" t="s">
        <v>2538</v>
      </c>
      <c r="L92" s="2026" t="s">
        <v>2539</v>
      </c>
      <c r="M92" s="2026" t="s">
        <v>2540</v>
      </c>
      <c r="N92" s="2026" t="s">
        <v>2541</v>
      </c>
      <c r="Q92" s="3051"/>
      <c r="R92" s="3051"/>
      <c r="S92" s="3051"/>
      <c r="T92" s="3051"/>
      <c r="U92" s="3051"/>
      <c r="V92" s="3051"/>
      <c r="W92" s="3051"/>
    </row>
    <row r="93" spans="1:33">
      <c r="A93" s="3537" t="s">
        <v>2678</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1"/>
      <c r="R93" s="3051"/>
      <c r="S93" s="3051"/>
      <c r="T93" s="3051"/>
      <c r="U93" s="3051"/>
      <c r="V93" s="3051"/>
      <c r="W93" s="3051"/>
    </row>
    <row r="94" spans="1:33">
      <c r="A94" s="3538"/>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1"/>
      <c r="R94" s="3051"/>
      <c r="S94" s="3051"/>
      <c r="T94" s="3051"/>
      <c r="U94" s="3051"/>
      <c r="V94" s="3051"/>
      <c r="W94" s="3051"/>
    </row>
    <row r="95" spans="1:33">
      <c r="A95" s="3538"/>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1"/>
      <c r="R95" s="3051"/>
      <c r="S95" s="3051"/>
      <c r="T95" s="3051"/>
      <c r="U95" s="3051"/>
      <c r="V95" s="3051"/>
      <c r="W95" s="3051"/>
    </row>
    <row r="96" spans="1:33">
      <c r="A96" s="3538"/>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1"/>
      <c r="R96" s="3051"/>
      <c r="S96" s="3051"/>
      <c r="T96" s="3051"/>
      <c r="U96" s="3051"/>
      <c r="V96" s="3051"/>
      <c r="W96" s="3051"/>
    </row>
    <row r="97" spans="1:23">
      <c r="A97" s="3538"/>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1"/>
      <c r="R97" s="3051"/>
      <c r="S97" s="3051"/>
      <c r="T97" s="3051"/>
      <c r="U97" s="3051"/>
      <c r="V97" s="3051"/>
      <c r="W97" s="3051"/>
    </row>
    <row r="98" spans="1:23">
      <c r="A98" s="3538"/>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1"/>
      <c r="R98" s="3051"/>
      <c r="S98" s="3051"/>
      <c r="T98" s="3051"/>
      <c r="U98" s="3051"/>
      <c r="V98" s="3051"/>
      <c r="W98" s="3051"/>
    </row>
    <row r="99" spans="1:23">
      <c r="A99" s="3538"/>
      <c r="B99" s="2304" t="s">
        <v>2546</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1"/>
      <c r="R99" s="3051"/>
      <c r="S99" s="3051"/>
      <c r="T99" s="3051"/>
      <c r="U99" s="3051"/>
      <c r="V99" s="3051"/>
      <c r="W99" s="3051"/>
    </row>
    <row r="100" spans="1:23">
      <c r="A100" s="3539"/>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1"/>
      <c r="R100" s="3051"/>
      <c r="S100" s="3051"/>
      <c r="T100" s="3051"/>
      <c r="U100" s="3051"/>
      <c r="V100" s="3051"/>
      <c r="W100" s="3051"/>
    </row>
    <row r="101" spans="1:23">
      <c r="A101" s="3537" t="s">
        <v>2679</v>
      </c>
      <c r="B101" s="2308" t="s">
        <v>2680</v>
      </c>
      <c r="C101" s="2309">
        <f>$G$3</f>
        <v>0</v>
      </c>
      <c r="D101" s="2309">
        <f t="shared" ref="D101:N101" si="31">$G$3</f>
        <v>0</v>
      </c>
      <c r="E101" s="2309">
        <f t="shared" si="31"/>
        <v>0</v>
      </c>
      <c r="F101" s="2309">
        <f t="shared" si="31"/>
        <v>0</v>
      </c>
      <c r="G101" s="2309">
        <f t="shared" si="31"/>
        <v>0</v>
      </c>
      <c r="H101" s="2309">
        <f t="shared" si="31"/>
        <v>0</v>
      </c>
      <c r="I101" s="2309">
        <f t="shared" si="31"/>
        <v>0</v>
      </c>
      <c r="J101" s="2309">
        <f t="shared" si="31"/>
        <v>0</v>
      </c>
      <c r="K101" s="2309">
        <f t="shared" si="31"/>
        <v>0</v>
      </c>
      <c r="L101" s="2309">
        <f t="shared" si="31"/>
        <v>0</v>
      </c>
      <c r="M101" s="2309">
        <f t="shared" si="31"/>
        <v>0</v>
      </c>
      <c r="N101" s="2309">
        <f t="shared" si="31"/>
        <v>0</v>
      </c>
      <c r="Q101" s="3051"/>
      <c r="R101" s="3051"/>
      <c r="S101" s="3051"/>
      <c r="T101" s="3051"/>
      <c r="U101" s="3051"/>
      <c r="V101" s="3051"/>
      <c r="W101" s="3051"/>
    </row>
    <row r="102" spans="1:23">
      <c r="A102" s="3538"/>
      <c r="B102" s="2304">
        <v>1</v>
      </c>
      <c r="C102" s="2305" t="e">
        <f>1.9362/C101</f>
        <v>#DIV/0!</v>
      </c>
      <c r="D102" s="2305" t="e">
        <f>1.9362/D101</f>
        <v>#DIV/0!</v>
      </c>
      <c r="E102" s="2305" t="e">
        <f>1.8629/E101</f>
        <v>#DIV/0!</v>
      </c>
      <c r="F102" s="2305" t="e">
        <f>1.8629/F101</f>
        <v>#DIV/0!</v>
      </c>
      <c r="G102" s="2305" t="e">
        <f>1.8629/G101</f>
        <v>#DIV/0!</v>
      </c>
      <c r="H102" s="2305" t="e">
        <f>1.8629/H101</f>
        <v>#DIV/0!</v>
      </c>
      <c r="I102" s="2305" t="e">
        <f>1.8629/I101</f>
        <v>#DIV/0!</v>
      </c>
      <c r="J102" s="2305" t="e">
        <f>1.942/J101</f>
        <v>#DIV/0!</v>
      </c>
      <c r="K102" s="2305" t="e">
        <f>1.942/K101</f>
        <v>#DIV/0!</v>
      </c>
      <c r="L102" s="2305" t="e">
        <f>1.942/L101</f>
        <v>#DIV/0!</v>
      </c>
      <c r="M102" s="2305" t="e">
        <f>1.942/M101</f>
        <v>#DIV/0!</v>
      </c>
      <c r="N102" s="2305" t="e">
        <f>1.942/N101</f>
        <v>#DIV/0!</v>
      </c>
      <c r="Q102" s="3051"/>
      <c r="R102" s="3051"/>
      <c r="S102" s="3051"/>
      <c r="T102" s="3051"/>
      <c r="U102" s="3051"/>
      <c r="V102" s="3051"/>
      <c r="W102" s="3051"/>
    </row>
    <row r="103" spans="1:23">
      <c r="A103" s="3538"/>
      <c r="B103" s="2304">
        <v>2</v>
      </c>
      <c r="C103" s="2305" t="e">
        <f>1.4198/C101</f>
        <v>#DIV/0!</v>
      </c>
      <c r="D103" s="2305" t="e">
        <f>1.4198/D101</f>
        <v>#DIV/0!</v>
      </c>
      <c r="E103" s="2305" t="e">
        <f>1.3372/E101</f>
        <v>#DIV/0!</v>
      </c>
      <c r="F103" s="2305" t="e">
        <f>1.3372/F101</f>
        <v>#DIV/0!</v>
      </c>
      <c r="G103" s="2305" t="e">
        <f>1.3372/G101</f>
        <v>#DIV/0!</v>
      </c>
      <c r="H103" s="2305" t="e">
        <f>1.3372/H101</f>
        <v>#DIV/0!</v>
      </c>
      <c r="I103" s="2305" t="e">
        <f>1.3372/I101</f>
        <v>#DIV/0!</v>
      </c>
      <c r="J103" s="2305" t="e">
        <f>1.2799/J101</f>
        <v>#DIV/0!</v>
      </c>
      <c r="K103" s="2305" t="e">
        <f>1.2799/K101</f>
        <v>#DIV/0!</v>
      </c>
      <c r="L103" s="2305" t="e">
        <f>1.2799/L101</f>
        <v>#DIV/0!</v>
      </c>
      <c r="M103" s="2305" t="e">
        <f>1.2799/M101</f>
        <v>#DIV/0!</v>
      </c>
      <c r="N103" s="2305" t="e">
        <f>1.2799/N101</f>
        <v>#DIV/0!</v>
      </c>
      <c r="Q103" s="3051"/>
      <c r="R103" s="3051"/>
      <c r="S103" s="3051"/>
      <c r="T103" s="3051"/>
      <c r="U103" s="3051"/>
      <c r="V103" s="3051"/>
      <c r="W103" s="3051"/>
    </row>
    <row r="104" spans="1:23">
      <c r="A104" s="3538"/>
      <c r="B104" s="2304">
        <v>3</v>
      </c>
      <c r="C104" s="2305" t="e">
        <f>1.1594/C101</f>
        <v>#DIV/0!</v>
      </c>
      <c r="D104" s="2305" t="e">
        <f>1.1594/D101</f>
        <v>#DIV/0!</v>
      </c>
      <c r="E104" s="2305" t="e">
        <f>1.0788/E101</f>
        <v>#DIV/0!</v>
      </c>
      <c r="F104" s="2305" t="e">
        <f>1.0788/F101</f>
        <v>#DIV/0!</v>
      </c>
      <c r="G104" s="2305" t="e">
        <f>1.0788/G101</f>
        <v>#DIV/0!</v>
      </c>
      <c r="H104" s="2305" t="e">
        <f>1.0788/H101</f>
        <v>#DIV/0!</v>
      </c>
      <c r="I104" s="2305" t="e">
        <f>1.0788/I101</f>
        <v>#DIV/0!</v>
      </c>
      <c r="J104" s="2305" t="e">
        <f>1.0072/J101</f>
        <v>#DIV/0!</v>
      </c>
      <c r="K104" s="2305" t="e">
        <f>1.0072/K101</f>
        <v>#DIV/0!</v>
      </c>
      <c r="L104" s="2305" t="e">
        <f>1.0072/L101</f>
        <v>#DIV/0!</v>
      </c>
      <c r="M104" s="2305" t="e">
        <f>1.0072/M101</f>
        <v>#DIV/0!</v>
      </c>
      <c r="N104" s="2305" t="e">
        <f>1.0072/N101</f>
        <v>#DIV/0!</v>
      </c>
      <c r="Q104" s="3051"/>
      <c r="R104" s="3051"/>
      <c r="S104" s="3051"/>
      <c r="T104" s="3051"/>
      <c r="U104" s="3051"/>
      <c r="V104" s="3051"/>
      <c r="W104" s="3051"/>
    </row>
    <row r="105" spans="1:23">
      <c r="A105" s="3538"/>
      <c r="B105" s="2304">
        <v>4</v>
      </c>
      <c r="C105" s="2305" t="e">
        <f>0.9622/C101</f>
        <v>#DIV/0!</v>
      </c>
      <c r="D105" s="2305" t="e">
        <f>0.9622/D101</f>
        <v>#DIV/0!</v>
      </c>
      <c r="E105" s="2305" t="e">
        <f>0.8656/E101</f>
        <v>#DIV/0!</v>
      </c>
      <c r="F105" s="2305" t="e">
        <f>0.8656/F101</f>
        <v>#DIV/0!</v>
      </c>
      <c r="G105" s="2305" t="e">
        <f>0.8656/G101</f>
        <v>#DIV/0!</v>
      </c>
      <c r="H105" s="2305" t="e">
        <f>0.8656/H101</f>
        <v>#DIV/0!</v>
      </c>
      <c r="I105" s="2305" t="e">
        <f>0.8656/I101</f>
        <v>#DIV/0!</v>
      </c>
      <c r="J105" s="2305" t="e">
        <f>0.7525/J101</f>
        <v>#DIV/0!</v>
      </c>
      <c r="K105" s="2305" t="e">
        <f>0.7525/K101</f>
        <v>#DIV/0!</v>
      </c>
      <c r="L105" s="2305" t="e">
        <f>0.7525/L101</f>
        <v>#DIV/0!</v>
      </c>
      <c r="M105" s="2305" t="e">
        <f>0.7525/M101</f>
        <v>#DIV/0!</v>
      </c>
      <c r="N105" s="2305" t="e">
        <f>0.7525/N101</f>
        <v>#DIV/0!</v>
      </c>
      <c r="Q105" s="3051"/>
      <c r="R105" s="3051"/>
      <c r="S105" s="3051"/>
      <c r="T105" s="3051"/>
      <c r="U105" s="3051"/>
      <c r="V105" s="3051"/>
      <c r="W105" s="3051"/>
    </row>
    <row r="106" spans="1:23">
      <c r="A106" s="3538"/>
      <c r="B106" s="2304">
        <v>5</v>
      </c>
      <c r="C106" s="2305" t="e">
        <f>0.8417/C101</f>
        <v>#DIV/0!</v>
      </c>
      <c r="D106" s="2305" t="e">
        <f>0.8417/D101</f>
        <v>#DIV/0!</v>
      </c>
      <c r="E106" s="2305" t="e">
        <f>0.7371/E101</f>
        <v>#DIV/0!</v>
      </c>
      <c r="F106" s="2305" t="e">
        <f>0.7371/F101</f>
        <v>#DIV/0!</v>
      </c>
      <c r="G106" s="2305" t="e">
        <f>0.7371/G101</f>
        <v>#DIV/0!</v>
      </c>
      <c r="H106" s="2305" t="e">
        <f>0.7371/H101</f>
        <v>#DIV/0!</v>
      </c>
      <c r="I106" s="2305" t="e">
        <f>0.7371/I101</f>
        <v>#DIV/0!</v>
      </c>
      <c r="J106" s="2305" t="e">
        <f>0.5659/J101</f>
        <v>#DIV/0!</v>
      </c>
      <c r="K106" s="2305" t="e">
        <f>0.5659/K101</f>
        <v>#DIV/0!</v>
      </c>
      <c r="L106" s="2305" t="e">
        <f>0.5659/L101</f>
        <v>#DIV/0!</v>
      </c>
      <c r="M106" s="2305" t="e">
        <f>0.5659/M101</f>
        <v>#DIV/0!</v>
      </c>
      <c r="N106" s="2305" t="e">
        <f>0.5659/N101</f>
        <v>#DIV/0!</v>
      </c>
      <c r="Q106" s="3051"/>
      <c r="R106" s="3051"/>
      <c r="S106" s="3051"/>
      <c r="T106" s="3051"/>
      <c r="U106" s="3051"/>
      <c r="V106" s="3051"/>
      <c r="W106" s="3051"/>
    </row>
    <row r="107" spans="1:23">
      <c r="A107" s="3538"/>
      <c r="B107" s="2304">
        <v>6</v>
      </c>
      <c r="C107" s="2305" t="e">
        <f>0.7608/C101</f>
        <v>#DIV/0!</v>
      </c>
      <c r="D107" s="2305" t="e">
        <f>0.7608/D101</f>
        <v>#DIV/0!</v>
      </c>
      <c r="E107" s="2305" t="e">
        <f>0.6482/E101</f>
        <v>#DIV/0!</v>
      </c>
      <c r="F107" s="2305" t="e">
        <f>0.6482/F101</f>
        <v>#DIV/0!</v>
      </c>
      <c r="G107" s="2305" t="e">
        <f>0.6482/G101</f>
        <v>#DIV/0!</v>
      </c>
      <c r="H107" s="2305" t="e">
        <f>0.6482/H101</f>
        <v>#DIV/0!</v>
      </c>
      <c r="I107" s="2305" t="e">
        <f>0.6482/I101</f>
        <v>#DIV/0!</v>
      </c>
      <c r="J107" s="2305" t="e">
        <f>0.4525/J101</f>
        <v>#DIV/0!</v>
      </c>
      <c r="K107" s="2305" t="e">
        <f>0.4525/K101</f>
        <v>#DIV/0!</v>
      </c>
      <c r="L107" s="2305" t="e">
        <f>0.4525/L101</f>
        <v>#DIV/0!</v>
      </c>
      <c r="M107" s="2305" t="e">
        <f>0.4525/M101</f>
        <v>#DIV/0!</v>
      </c>
      <c r="N107" s="2305" t="e">
        <f>0.4525/N101</f>
        <v>#DIV/0!</v>
      </c>
      <c r="Q107" s="3051"/>
      <c r="R107" s="3051"/>
      <c r="S107" s="3051"/>
      <c r="T107" s="3051"/>
      <c r="U107" s="3051"/>
      <c r="V107" s="3051"/>
      <c r="W107" s="3051"/>
    </row>
    <row r="108" spans="1:23">
      <c r="A108" s="3538"/>
      <c r="B108" s="3540" t="s">
        <v>2681</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1"/>
      <c r="R108" s="3051"/>
      <c r="S108" s="3051"/>
      <c r="T108" s="3051"/>
      <c r="U108" s="3051"/>
      <c r="V108" s="3051"/>
      <c r="W108" s="3051"/>
    </row>
    <row r="109" spans="1:23">
      <c r="A109" s="3539"/>
      <c r="B109" s="3541"/>
      <c r="C109" s="2307" t="e">
        <f>(-0.163*(C108^2)-0.59*C108+7617)*(10^(-4))/C101</f>
        <v>#DIV/0!</v>
      </c>
      <c r="D109" s="2307" t="e">
        <f>(-0.163*(D108^2)-0.59*D108+7617)*(10^(-4))/D101</f>
        <v>#DIV/0!</v>
      </c>
      <c r="E109" s="2307" t="e">
        <f>(-0.161*(E108^2)-7.509*E108+6533)*(10^(-4))/E101</f>
        <v>#DIV/0!</v>
      </c>
      <c r="F109" s="2307" t="e">
        <f>(-0.161*(F108^2)-7.509*F108+6533)*(10^(-4))/F101</f>
        <v>#DIV/0!</v>
      </c>
      <c r="G109" s="2307" t="e">
        <f>(-0.161*(G108^2)-7.509*G108+6533)*(10^(-4))/G101</f>
        <v>#DIV/0!</v>
      </c>
      <c r="H109" s="2307" t="e">
        <f>(-0.161*(H108^2)-7.509*H108+6533)*(10^(-4))/H101</f>
        <v>#DIV/0!</v>
      </c>
      <c r="I109" s="2307" t="e">
        <f>(-0.161*(I108^2)-7.509*I108+6533)*(10^(-4))/I101</f>
        <v>#DIV/0!</v>
      </c>
      <c r="J109" s="2307" t="e">
        <f>(-0.214*(J108^2)-21.991*J108+4665)*(10^(-4))/J101</f>
        <v>#DIV/0!</v>
      </c>
      <c r="K109" s="2307" t="e">
        <f>(-0.214*(K108^2)-21.991*K108+4665)*(10^(-4))/K101</f>
        <v>#DIV/0!</v>
      </c>
      <c r="L109" s="2307" t="e">
        <f>(-0.214*(L108^2)-21.991*L108+4665)*(10^(-4))/L101</f>
        <v>#DIV/0!</v>
      </c>
      <c r="M109" s="2307" t="e">
        <f>(-0.214*(M108^2)-21.991*M108+4665)*(10^(-4))/M101</f>
        <v>#DIV/0!</v>
      </c>
      <c r="N109" s="2307" t="e">
        <f>(-0.214*(N108^2)-21.991*N108+4665)*(10^(-4))/N101</f>
        <v>#DIV/0!</v>
      </c>
      <c r="Q109" s="3051"/>
      <c r="R109" s="3051"/>
      <c r="S109" s="3051"/>
      <c r="T109" s="3051"/>
      <c r="U109" s="3051"/>
      <c r="V109" s="3051"/>
      <c r="W109" s="3051"/>
    </row>
    <row r="110" spans="1:23">
      <c r="A110" s="3535" t="s">
        <v>2682</v>
      </c>
      <c r="B110" s="3535"/>
      <c r="C110" s="3535"/>
      <c r="D110" s="3535"/>
      <c r="E110" s="3535"/>
      <c r="F110" s="3535"/>
      <c r="G110" s="3535"/>
      <c r="H110" s="3535"/>
      <c r="I110" s="3535"/>
      <c r="J110" s="3535"/>
      <c r="K110" s="2075"/>
      <c r="L110" s="2075"/>
      <c r="M110" s="2075"/>
      <c r="N110" s="2075"/>
      <c r="Q110" s="3051"/>
      <c r="R110" s="3051"/>
      <c r="S110" s="3051"/>
      <c r="T110" s="3051"/>
      <c r="U110" s="3051"/>
      <c r="V110" s="3051"/>
      <c r="W110" s="3051"/>
    </row>
    <row r="112" spans="1:23" ht="13.5" thickBot="1"/>
    <row r="113" spans="1:13" ht="25.5" thickBot="1">
      <c r="A113" s="2310" t="s">
        <v>2683</v>
      </c>
      <c r="B113" s="2311">
        <f>G3</f>
        <v>0</v>
      </c>
      <c r="C113" s="2312" t="s">
        <v>2684</v>
      </c>
      <c r="D113" s="2313">
        <f>SUMPRODUCT((A115:A118=F113)*(B114:M114=H113)*B115:M118)</f>
        <v>0</v>
      </c>
      <c r="E113" s="1599" t="s">
        <v>2570</v>
      </c>
      <c r="F113" s="2314" t="str">
        <f>E2</f>
        <v>住宅</v>
      </c>
      <c r="G113" s="1599" t="s">
        <v>2504</v>
      </c>
      <c r="H113" s="2314">
        <f>G2</f>
        <v>0</v>
      </c>
      <c r="I113" s="1599"/>
      <c r="J113" s="2315"/>
      <c r="K113" s="2315"/>
      <c r="L113" s="2315"/>
      <c r="M113" s="2315"/>
    </row>
    <row r="114" spans="1:13">
      <c r="A114" s="2316"/>
      <c r="B114" s="2317" t="s">
        <v>2685</v>
      </c>
      <c r="C114" s="2317" t="s">
        <v>2686</v>
      </c>
      <c r="D114" s="2317" t="s">
        <v>2687</v>
      </c>
      <c r="E114" s="2318" t="s">
        <v>2688</v>
      </c>
      <c r="F114" s="2318" t="s">
        <v>2689</v>
      </c>
      <c r="G114" s="2318" t="s">
        <v>2690</v>
      </c>
      <c r="H114" s="2319" t="s">
        <v>2691</v>
      </c>
      <c r="I114" s="2319" t="s">
        <v>2692</v>
      </c>
      <c r="J114" s="2320" t="s">
        <v>2693</v>
      </c>
      <c r="K114" s="2320" t="s">
        <v>2694</v>
      </c>
      <c r="L114" s="2320" t="s">
        <v>2695</v>
      </c>
      <c r="M114" s="2321" t="s">
        <v>2696</v>
      </c>
    </row>
    <row r="115" spans="1:13">
      <c r="A115" s="2322" t="s">
        <v>2571</v>
      </c>
      <c r="B115" s="2323">
        <f>ROUND(0.9335-0.0094*B113,4)</f>
        <v>0.9335</v>
      </c>
      <c r="C115" s="2323">
        <f>B115</f>
        <v>0.9335</v>
      </c>
      <c r="D115" s="2323">
        <f>ROUND(0.8331-0.0109*B113,4)</f>
        <v>0.83309999999999995</v>
      </c>
      <c r="E115" s="2323">
        <f>D115</f>
        <v>0.83309999999999995</v>
      </c>
      <c r="F115" s="2323">
        <f>E115</f>
        <v>0.83309999999999995</v>
      </c>
      <c r="G115" s="2323">
        <f>F115</f>
        <v>0.83309999999999995</v>
      </c>
      <c r="H115" s="2323">
        <f>G115</f>
        <v>0.83309999999999995</v>
      </c>
      <c r="I115" s="2323">
        <f>ROUND(0.689-0.0155*B113,4)</f>
        <v>0.68899999999999995</v>
      </c>
      <c r="J115" s="2323">
        <f t="shared" ref="J115:M118" si="33">I115</f>
        <v>0.68899999999999995</v>
      </c>
      <c r="K115" s="2323">
        <f t="shared" si="33"/>
        <v>0.68899999999999995</v>
      </c>
      <c r="L115" s="2323">
        <f t="shared" si="33"/>
        <v>0.68899999999999995</v>
      </c>
      <c r="M115" s="2324">
        <f t="shared" si="33"/>
        <v>0.68899999999999995</v>
      </c>
    </row>
    <row r="116" spans="1:13">
      <c r="A116" s="2322" t="s">
        <v>2572</v>
      </c>
      <c r="B116" s="2323">
        <f>ROUND(0.949-0.012*B113,4)</f>
        <v>0.94899999999999995</v>
      </c>
      <c r="C116" s="2323">
        <f>B116</f>
        <v>0.94899999999999995</v>
      </c>
      <c r="D116" s="2323">
        <f>ROUND(0.8567-0.013*B113,4)</f>
        <v>0.85670000000000002</v>
      </c>
      <c r="E116" s="2323">
        <f t="shared" ref="E116:H117" si="34">D116</f>
        <v>0.85670000000000002</v>
      </c>
      <c r="F116" s="2323">
        <f t="shared" si="34"/>
        <v>0.85670000000000002</v>
      </c>
      <c r="G116" s="2323">
        <f t="shared" si="34"/>
        <v>0.85670000000000002</v>
      </c>
      <c r="H116" s="2323">
        <f t="shared" si="34"/>
        <v>0.85670000000000002</v>
      </c>
      <c r="I116" s="2323">
        <f>ROUND(0.7694-0.014*B113,4)</f>
        <v>0.76939999999999997</v>
      </c>
      <c r="J116" s="2323">
        <f t="shared" si="33"/>
        <v>0.76939999999999997</v>
      </c>
      <c r="K116" s="2323">
        <f t="shared" si="33"/>
        <v>0.76939999999999997</v>
      </c>
      <c r="L116" s="2323">
        <f t="shared" si="33"/>
        <v>0.76939999999999997</v>
      </c>
      <c r="M116" s="2324">
        <f t="shared" si="33"/>
        <v>0.76939999999999997</v>
      </c>
    </row>
    <row r="117" spans="1:13">
      <c r="A117" s="2322" t="s">
        <v>2573</v>
      </c>
      <c r="B117" s="2323">
        <f>ROUND(0.8808-0.006*B113,4)</f>
        <v>0.88080000000000003</v>
      </c>
      <c r="C117" s="2323">
        <f>B117</f>
        <v>0.88080000000000003</v>
      </c>
      <c r="D117" s="2323">
        <f>ROUND(0.8748-0.008*B113,4)</f>
        <v>0.87480000000000002</v>
      </c>
      <c r="E117" s="2323">
        <f t="shared" si="34"/>
        <v>0.87480000000000002</v>
      </c>
      <c r="F117" s="2323">
        <f t="shared" si="34"/>
        <v>0.87480000000000002</v>
      </c>
      <c r="G117" s="2323">
        <f t="shared" si="34"/>
        <v>0.87480000000000002</v>
      </c>
      <c r="H117" s="2323">
        <f t="shared" si="34"/>
        <v>0.87480000000000002</v>
      </c>
      <c r="I117" s="2323">
        <f>ROUND(0.7412-0.0095*B113,4)</f>
        <v>0.74119999999999997</v>
      </c>
      <c r="J117" s="2323">
        <f t="shared" si="33"/>
        <v>0.74119999999999997</v>
      </c>
      <c r="K117" s="2323">
        <f t="shared" si="33"/>
        <v>0.74119999999999997</v>
      </c>
      <c r="L117" s="2323">
        <f t="shared" si="33"/>
        <v>0.74119999999999997</v>
      </c>
      <c r="M117" s="2324">
        <f t="shared" si="33"/>
        <v>0.74119999999999997</v>
      </c>
    </row>
    <row r="118" spans="1:13" ht="13.5" thickBot="1">
      <c r="A118" s="2325" t="s">
        <v>2574</v>
      </c>
      <c r="B118" s="2326">
        <f>ROUND(0.7275-0.01*B113,4)</f>
        <v>0.72750000000000004</v>
      </c>
      <c r="C118" s="2326">
        <f>B118</f>
        <v>0.72750000000000004</v>
      </c>
      <c r="D118" s="2326">
        <f>ROUND(0.7043-0.012*B113,4)</f>
        <v>0.70430000000000004</v>
      </c>
      <c r="E118" s="2326">
        <f>D118</f>
        <v>0.70430000000000004</v>
      </c>
      <c r="F118" s="2326">
        <f>E118</f>
        <v>0.70430000000000004</v>
      </c>
      <c r="G118" s="2326">
        <f>ROUND(0.6299-0.0122*B113,4)</f>
        <v>0.62990000000000002</v>
      </c>
      <c r="H118" s="2326">
        <f>G118</f>
        <v>0.62990000000000002</v>
      </c>
      <c r="I118" s="2326">
        <f>ROUND(0.5667-0.0136*B113,4)</f>
        <v>0.56669999999999998</v>
      </c>
      <c r="J118" s="2326">
        <f t="shared" si="33"/>
        <v>0.56669999999999998</v>
      </c>
      <c r="K118" s="2326">
        <f t="shared" si="33"/>
        <v>0.56669999999999998</v>
      </c>
      <c r="L118" s="2326">
        <f t="shared" si="33"/>
        <v>0.56669999999999998</v>
      </c>
      <c r="M118" s="2327">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57" t="s">
        <v>779</v>
      </c>
      <c r="B1" s="3557"/>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14.25">
      <c r="A5" s="680" t="s">
        <v>714</v>
      </c>
      <c r="B5" s="691" t="str">
        <f>估价对象房地状况!C6</f>
        <v>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较好</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较好</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14.25">
      <c r="A16" s="680" t="s">
        <v>714</v>
      </c>
      <c r="B16" s="681" t="str">
        <f>估价对象房地状况!C6</f>
        <v>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较好</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较好</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14.25">
      <c r="A26" s="680" t="s">
        <v>723</v>
      </c>
      <c r="B26" s="686" t="str">
        <f>估价对象房地状况!C3</f>
        <v>较好</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14.25">
      <c r="A27" s="680" t="s">
        <v>714</v>
      </c>
      <c r="B27" s="681" t="str">
        <f>估价对象房地状况!C6</f>
        <v>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较好</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较好</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57" t="s">
        <v>105</v>
      </c>
      <c r="B1" s="3557"/>
      <c r="C1" s="3557"/>
      <c r="D1" s="3557"/>
      <c r="E1" s="3557"/>
      <c r="F1" s="355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58" t="s">
        <v>118</v>
      </c>
      <c r="B2" s="3558"/>
      <c r="C2" s="3558"/>
      <c r="D2" s="3558"/>
      <c r="E2" s="3558"/>
      <c r="F2" s="355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5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6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2716</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61" t="s">
        <v>132</v>
      </c>
      <c r="B18" s="767" t="s">
        <v>517</v>
      </c>
      <c r="C18" s="768" t="s">
        <v>518</v>
      </c>
      <c r="D18" s="769"/>
      <c r="E18" s="767">
        <v>1</v>
      </c>
      <c r="F18" s="770" t="s">
        <v>519</v>
      </c>
      <c r="G18" s="771"/>
      <c r="H18" s="763"/>
      <c r="I18" s="763"/>
    </row>
    <row r="19" spans="1:9" s="772" customFormat="1" ht="19.5" customHeight="1">
      <c r="A19" s="3561"/>
      <c r="B19" s="3561" t="s">
        <v>520</v>
      </c>
      <c r="C19" s="768" t="s">
        <v>521</v>
      </c>
      <c r="D19" s="769"/>
      <c r="E19" s="767">
        <v>0.9</v>
      </c>
      <c r="F19" s="770" t="s">
        <v>522</v>
      </c>
      <c r="G19" s="771"/>
      <c r="H19" s="763"/>
      <c r="I19" s="763"/>
    </row>
    <row r="20" spans="1:9" s="772" customFormat="1" ht="19.5" customHeight="1">
      <c r="A20" s="3561"/>
      <c r="B20" s="3561"/>
      <c r="C20" s="768" t="s">
        <v>523</v>
      </c>
      <c r="D20" s="769"/>
      <c r="E20" s="767">
        <v>1.1000000000000001</v>
      </c>
      <c r="F20" s="770" t="s">
        <v>524</v>
      </c>
      <c r="G20" s="771"/>
      <c r="H20" s="763"/>
      <c r="I20" s="763"/>
    </row>
    <row r="21" spans="1:9" s="772" customFormat="1" ht="19.5" customHeight="1">
      <c r="A21" s="3561"/>
      <c r="B21" s="3561"/>
      <c r="C21" s="768" t="s">
        <v>525</v>
      </c>
      <c r="D21" s="769"/>
      <c r="E21" s="767">
        <v>0.8</v>
      </c>
      <c r="F21" s="770" t="s">
        <v>526</v>
      </c>
      <c r="G21" s="771"/>
      <c r="H21" s="763"/>
      <c r="I21" s="763"/>
    </row>
    <row r="22" spans="1:9" s="772" customFormat="1" ht="19.5" customHeight="1">
      <c r="A22" s="3561"/>
      <c r="B22" s="3561"/>
      <c r="C22" s="768" t="s">
        <v>527</v>
      </c>
      <c r="D22" s="769"/>
      <c r="E22" s="767">
        <v>0.5</v>
      </c>
      <c r="F22" s="770"/>
      <c r="G22" s="771"/>
      <c r="H22" s="763"/>
      <c r="I22" s="763"/>
    </row>
    <row r="23" spans="1:9" s="772" customFormat="1" ht="19.5" customHeight="1">
      <c r="A23" s="3561" t="s">
        <v>133</v>
      </c>
      <c r="B23" s="767" t="s">
        <v>517</v>
      </c>
      <c r="C23" s="768" t="s">
        <v>528</v>
      </c>
      <c r="D23" s="769"/>
      <c r="E23" s="767">
        <v>1</v>
      </c>
      <c r="F23" s="770" t="s">
        <v>529</v>
      </c>
      <c r="G23" s="771"/>
      <c r="H23" s="763"/>
      <c r="I23" s="763"/>
    </row>
    <row r="24" spans="1:9" s="772" customFormat="1" ht="19.5" customHeight="1">
      <c r="A24" s="3561"/>
      <c r="B24" s="3561" t="s">
        <v>520</v>
      </c>
      <c r="C24" s="768" t="s">
        <v>530</v>
      </c>
      <c r="D24" s="769"/>
      <c r="E24" s="767">
        <v>0.5</v>
      </c>
      <c r="F24" s="770"/>
      <c r="G24" s="771"/>
      <c r="H24" s="763"/>
      <c r="I24" s="763"/>
    </row>
    <row r="25" spans="1:9" s="772" customFormat="1" ht="19.5" customHeight="1">
      <c r="A25" s="3561"/>
      <c r="B25" s="3561"/>
      <c r="C25" s="768" t="s">
        <v>531</v>
      </c>
      <c r="D25" s="769"/>
      <c r="E25" s="767">
        <v>1.1000000000000001</v>
      </c>
      <c r="F25" s="770"/>
      <c r="G25" s="771"/>
      <c r="H25" s="763"/>
      <c r="I25" s="763"/>
    </row>
    <row r="26" spans="1:9" s="772" customFormat="1" ht="19.5" customHeight="1">
      <c r="A26" s="3561"/>
      <c r="B26" s="3561"/>
      <c r="C26" s="768" t="s">
        <v>532</v>
      </c>
      <c r="D26" s="769"/>
      <c r="E26" s="767">
        <v>1.1000000000000001</v>
      </c>
      <c r="F26" s="770"/>
      <c r="G26" s="771"/>
      <c r="H26" s="763"/>
      <c r="I26" s="763"/>
    </row>
    <row r="27" spans="1:9" s="772" customFormat="1" ht="19.5" customHeight="1">
      <c r="A27" s="3561"/>
      <c r="B27" s="3561"/>
      <c r="C27" s="768" t="s">
        <v>533</v>
      </c>
      <c r="D27" s="769"/>
      <c r="E27" s="767">
        <v>0.9</v>
      </c>
      <c r="F27" s="770" t="s">
        <v>534</v>
      </c>
      <c r="G27" s="771"/>
      <c r="H27" s="763"/>
      <c r="I27" s="763"/>
    </row>
    <row r="28" spans="1:9" s="772" customFormat="1" ht="19.5" customHeight="1">
      <c r="A28" s="3561"/>
      <c r="B28" s="3561"/>
      <c r="C28" s="768" t="s">
        <v>535</v>
      </c>
      <c r="D28" s="769"/>
      <c r="E28" s="767">
        <v>0.9</v>
      </c>
      <c r="F28" s="770" t="s">
        <v>536</v>
      </c>
      <c r="G28" s="771"/>
      <c r="H28" s="763"/>
      <c r="I28" s="763"/>
    </row>
    <row r="29" spans="1:9" s="772" customFormat="1" ht="19.5" customHeight="1">
      <c r="A29" s="3561"/>
      <c r="B29" s="3561"/>
      <c r="C29" s="768" t="s">
        <v>537</v>
      </c>
      <c r="D29" s="769"/>
      <c r="E29" s="767">
        <v>0.9</v>
      </c>
      <c r="F29" s="770" t="s">
        <v>538</v>
      </c>
      <c r="G29" s="771"/>
      <c r="H29" s="763"/>
      <c r="I29" s="763"/>
    </row>
    <row r="30" spans="1:9" s="772" customFormat="1" ht="19.5" customHeight="1">
      <c r="A30" s="3561"/>
      <c r="B30" s="3561"/>
      <c r="C30" s="768" t="s">
        <v>539</v>
      </c>
      <c r="D30" s="769"/>
      <c r="E30" s="767">
        <v>0.9</v>
      </c>
      <c r="F30" s="770" t="s">
        <v>540</v>
      </c>
      <c r="G30" s="771"/>
      <c r="H30" s="763"/>
      <c r="I30" s="763"/>
    </row>
    <row r="31" spans="1:9" s="772" customFormat="1" ht="19.5" customHeight="1">
      <c r="A31" s="3561"/>
      <c r="B31" s="3561"/>
      <c r="C31" s="768" t="s">
        <v>541</v>
      </c>
      <c r="D31" s="769"/>
      <c r="E31" s="767">
        <v>0.8</v>
      </c>
      <c r="F31" s="770" t="s">
        <v>542</v>
      </c>
      <c r="G31" s="771"/>
      <c r="H31" s="763"/>
      <c r="I31" s="763"/>
    </row>
    <row r="32" spans="1:9" s="772" customFormat="1" ht="19.5" customHeight="1">
      <c r="A32" s="3561"/>
      <c r="B32" s="3561"/>
      <c r="C32" s="768" t="s">
        <v>543</v>
      </c>
      <c r="D32" s="769"/>
      <c r="E32" s="767">
        <v>0.8</v>
      </c>
      <c r="F32" s="770" t="s">
        <v>544</v>
      </c>
      <c r="G32" s="771"/>
      <c r="H32" s="763"/>
      <c r="I32" s="763"/>
    </row>
    <row r="33" spans="1:9" s="772" customFormat="1" ht="19.5" customHeight="1">
      <c r="A33" s="3561" t="s">
        <v>134</v>
      </c>
      <c r="B33" s="767" t="s">
        <v>517</v>
      </c>
      <c r="C33" s="768" t="s">
        <v>545</v>
      </c>
      <c r="D33" s="769"/>
      <c r="E33" s="767">
        <v>1</v>
      </c>
      <c r="F33" s="770" t="s">
        <v>546</v>
      </c>
      <c r="G33" s="771"/>
      <c r="H33" s="763"/>
      <c r="I33" s="763"/>
    </row>
    <row r="34" spans="1:9" s="772" customFormat="1" ht="19.5" customHeight="1">
      <c r="A34" s="3561"/>
      <c r="B34" s="767" t="s">
        <v>520</v>
      </c>
      <c r="C34" s="768" t="s">
        <v>547</v>
      </c>
      <c r="D34" s="769"/>
      <c r="E34" s="767">
        <v>1.5</v>
      </c>
      <c r="F34" s="770" t="s">
        <v>548</v>
      </c>
      <c r="G34" s="771"/>
      <c r="H34" s="763"/>
      <c r="I34" s="763"/>
    </row>
    <row r="35" spans="1:9" s="772" customFormat="1" ht="19.5" customHeight="1">
      <c r="A35" s="3561" t="s">
        <v>135</v>
      </c>
      <c r="B35" s="767" t="s">
        <v>517</v>
      </c>
      <c r="C35" s="768" t="s">
        <v>549</v>
      </c>
      <c r="D35" s="769"/>
      <c r="E35" s="767">
        <v>1</v>
      </c>
      <c r="F35" s="770" t="s">
        <v>550</v>
      </c>
      <c r="G35" s="771"/>
      <c r="H35" s="763"/>
      <c r="I35" s="763"/>
    </row>
    <row r="36" spans="1:9" s="772" customFormat="1" ht="19.5" customHeight="1">
      <c r="A36" s="3561"/>
      <c r="B36" s="3561" t="s">
        <v>520</v>
      </c>
      <c r="C36" s="768" t="s">
        <v>551</v>
      </c>
      <c r="D36" s="769"/>
      <c r="E36" s="767">
        <v>1</v>
      </c>
      <c r="F36" s="770" t="s">
        <v>552</v>
      </c>
      <c r="G36" s="771"/>
      <c r="H36" s="763"/>
      <c r="I36" s="763"/>
    </row>
    <row r="37" spans="1:9" s="772" customFormat="1" ht="19.5" customHeight="1">
      <c r="A37" s="3561"/>
      <c r="B37" s="3561"/>
      <c r="C37" s="768" t="s">
        <v>553</v>
      </c>
      <c r="D37" s="769"/>
      <c r="E37" s="767">
        <v>1.5</v>
      </c>
      <c r="F37" s="770" t="s">
        <v>554</v>
      </c>
      <c r="G37" s="771"/>
      <c r="H37" s="763"/>
      <c r="I37" s="763"/>
    </row>
    <row r="38" spans="1:9" s="772" customFormat="1" ht="19.5" customHeight="1">
      <c r="A38" s="3561"/>
      <c r="B38" s="3561"/>
      <c r="C38" s="768" t="s">
        <v>555</v>
      </c>
      <c r="D38" s="769"/>
      <c r="E38" s="767">
        <v>1</v>
      </c>
      <c r="F38" s="770" t="s">
        <v>556</v>
      </c>
      <c r="G38" s="771"/>
      <c r="H38" s="763"/>
      <c r="I38" s="763"/>
    </row>
    <row r="39" spans="1:9" s="772" customFormat="1" ht="19.5" customHeight="1">
      <c r="A39" s="3561"/>
      <c r="B39" s="356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61" t="s">
        <v>571</v>
      </c>
      <c r="C61" s="681" t="s">
        <v>572</v>
      </c>
      <c r="D61" s="681" t="s">
        <v>573</v>
      </c>
      <c r="E61" s="780">
        <v>0.5</v>
      </c>
      <c r="F61" s="767">
        <v>80</v>
      </c>
    </row>
    <row r="62" spans="1:8" s="763" customFormat="1" ht="24">
      <c r="A62" s="767">
        <v>2</v>
      </c>
      <c r="B62" s="3561"/>
      <c r="C62" s="681" t="s">
        <v>574</v>
      </c>
      <c r="D62" s="681" t="s">
        <v>575</v>
      </c>
      <c r="E62" s="780">
        <v>0.5</v>
      </c>
      <c r="F62" s="767">
        <v>80</v>
      </c>
    </row>
    <row r="63" spans="1:8" s="763" customFormat="1" ht="36">
      <c r="A63" s="767">
        <v>3</v>
      </c>
      <c r="B63" s="3561"/>
      <c r="C63" s="681" t="s">
        <v>576</v>
      </c>
      <c r="D63" s="681" t="s">
        <v>577</v>
      </c>
      <c r="E63" s="780">
        <v>0.5</v>
      </c>
      <c r="F63" s="767">
        <v>80</v>
      </c>
    </row>
    <row r="64" spans="1:8" s="763" customFormat="1" ht="36">
      <c r="A64" s="767">
        <v>4</v>
      </c>
      <c r="B64" s="3561"/>
      <c r="C64" s="681" t="s">
        <v>578</v>
      </c>
      <c r="D64" s="681" t="s">
        <v>579</v>
      </c>
      <c r="E64" s="780">
        <v>0.4</v>
      </c>
      <c r="F64" s="767">
        <v>60</v>
      </c>
    </row>
    <row r="65" spans="1:6" s="763" customFormat="1" ht="36">
      <c r="A65" s="767">
        <v>5</v>
      </c>
      <c r="B65" s="3561"/>
      <c r="C65" s="681" t="s">
        <v>580</v>
      </c>
      <c r="D65" s="681" t="s">
        <v>581</v>
      </c>
      <c r="E65" s="780">
        <v>0.2</v>
      </c>
      <c r="F65" s="767">
        <v>30</v>
      </c>
    </row>
    <row r="66" spans="1:6" s="763" customFormat="1" ht="36">
      <c r="A66" s="767">
        <v>6</v>
      </c>
      <c r="B66" s="3561"/>
      <c r="C66" s="681" t="s">
        <v>582</v>
      </c>
      <c r="D66" s="681" t="s">
        <v>583</v>
      </c>
      <c r="E66" s="780">
        <v>0.3</v>
      </c>
      <c r="F66" s="767">
        <v>50</v>
      </c>
    </row>
    <row r="67" spans="1:6" s="763" customFormat="1" ht="36">
      <c r="A67" s="767">
        <v>7</v>
      </c>
      <c r="B67" s="3561"/>
      <c r="C67" s="681" t="s">
        <v>584</v>
      </c>
      <c r="D67" s="681" t="s">
        <v>585</v>
      </c>
      <c r="E67" s="780">
        <v>0.2</v>
      </c>
      <c r="F67" s="767">
        <v>30</v>
      </c>
    </row>
    <row r="68" spans="1:6" s="763" customFormat="1" ht="36">
      <c r="A68" s="767">
        <v>8</v>
      </c>
      <c r="B68" s="3561"/>
      <c r="C68" s="681" t="s">
        <v>586</v>
      </c>
      <c r="D68" s="681" t="s">
        <v>587</v>
      </c>
      <c r="E68" s="780">
        <v>0.2</v>
      </c>
      <c r="F68" s="767">
        <v>30</v>
      </c>
    </row>
    <row r="69" spans="1:6" s="763" customFormat="1" ht="36">
      <c r="A69" s="767">
        <v>9</v>
      </c>
      <c r="B69" s="3561"/>
      <c r="C69" s="681" t="s">
        <v>588</v>
      </c>
      <c r="D69" s="681" t="s">
        <v>589</v>
      </c>
      <c r="E69" s="780">
        <v>0.2</v>
      </c>
      <c r="F69" s="767">
        <v>30</v>
      </c>
    </row>
    <row r="70" spans="1:6" s="763" customFormat="1" ht="48">
      <c r="A70" s="767">
        <v>10</v>
      </c>
      <c r="B70" s="3561"/>
      <c r="C70" s="681" t="s">
        <v>590</v>
      </c>
      <c r="D70" s="681" t="s">
        <v>591</v>
      </c>
      <c r="E70" s="780">
        <v>0.2</v>
      </c>
      <c r="F70" s="767">
        <v>30</v>
      </c>
    </row>
    <row r="71" spans="1:6" s="763" customFormat="1" ht="48">
      <c r="A71" s="767">
        <v>11</v>
      </c>
      <c r="B71" s="3561"/>
      <c r="C71" s="681" t="s">
        <v>592</v>
      </c>
      <c r="D71" s="681" t="s">
        <v>593</v>
      </c>
      <c r="E71" s="780">
        <v>0.2</v>
      </c>
      <c r="F71" s="767">
        <v>30</v>
      </c>
    </row>
    <row r="72" spans="1:6" s="763" customFormat="1" ht="36">
      <c r="A72" s="767">
        <v>12</v>
      </c>
      <c r="B72" s="3561"/>
      <c r="C72" s="681" t="s">
        <v>594</v>
      </c>
      <c r="D72" s="681" t="s">
        <v>595</v>
      </c>
      <c r="E72" s="780">
        <v>0.5</v>
      </c>
      <c r="F72" s="767">
        <v>80</v>
      </c>
    </row>
    <row r="73" spans="1:6" s="763" customFormat="1" ht="24">
      <c r="A73" s="767">
        <v>13</v>
      </c>
      <c r="B73" s="3561"/>
      <c r="C73" s="681" t="s">
        <v>596</v>
      </c>
      <c r="D73" s="681" t="s">
        <v>597</v>
      </c>
      <c r="E73" s="780">
        <v>0.4</v>
      </c>
      <c r="F73" s="767">
        <v>60</v>
      </c>
    </row>
    <row r="74" spans="1:6" s="763" customFormat="1" ht="24">
      <c r="A74" s="767">
        <v>14</v>
      </c>
      <c r="B74" s="3561"/>
      <c r="C74" s="681" t="s">
        <v>598</v>
      </c>
      <c r="D74" s="681" t="s">
        <v>599</v>
      </c>
      <c r="E74" s="780">
        <v>0.2</v>
      </c>
      <c r="F74" s="767">
        <v>30</v>
      </c>
    </row>
    <row r="75" spans="1:6" s="763" customFormat="1" ht="24">
      <c r="A75" s="767">
        <v>15</v>
      </c>
      <c r="B75" s="3561"/>
      <c r="C75" s="681" t="s">
        <v>600</v>
      </c>
      <c r="D75" s="681" t="s">
        <v>601</v>
      </c>
      <c r="E75" s="780">
        <v>0.2</v>
      </c>
      <c r="F75" s="767">
        <v>30</v>
      </c>
    </row>
    <row r="76" spans="1:6" s="763" customFormat="1" ht="24">
      <c r="A76" s="767">
        <v>16</v>
      </c>
      <c r="B76" s="3561" t="s">
        <v>602</v>
      </c>
      <c r="C76" s="681" t="s">
        <v>603</v>
      </c>
      <c r="D76" s="681" t="s">
        <v>604</v>
      </c>
      <c r="E76" s="780">
        <v>0.5</v>
      </c>
      <c r="F76" s="767">
        <v>80</v>
      </c>
    </row>
    <row r="77" spans="1:6" s="763" customFormat="1" ht="24">
      <c r="A77" s="767">
        <v>17</v>
      </c>
      <c r="B77" s="3561"/>
      <c r="C77" s="681" t="s">
        <v>605</v>
      </c>
      <c r="D77" s="681" t="s">
        <v>606</v>
      </c>
      <c r="E77" s="780">
        <v>0.5</v>
      </c>
      <c r="F77" s="767">
        <v>80</v>
      </c>
    </row>
    <row r="78" spans="1:6" s="763" customFormat="1" ht="24">
      <c r="A78" s="767">
        <v>18</v>
      </c>
      <c r="B78" s="3561"/>
      <c r="C78" s="681" t="s">
        <v>607</v>
      </c>
      <c r="D78" s="681" t="s">
        <v>608</v>
      </c>
      <c r="E78" s="780">
        <v>0.2</v>
      </c>
      <c r="F78" s="767">
        <v>30</v>
      </c>
    </row>
    <row r="79" spans="1:6" s="763" customFormat="1" ht="24">
      <c r="A79" s="767">
        <v>19</v>
      </c>
      <c r="B79" s="3561"/>
      <c r="C79" s="681" t="s">
        <v>609</v>
      </c>
      <c r="D79" s="681" t="s">
        <v>610</v>
      </c>
      <c r="E79" s="780">
        <v>0.5</v>
      </c>
      <c r="F79" s="767">
        <v>80</v>
      </c>
    </row>
    <row r="80" spans="1:6" s="763" customFormat="1" ht="36">
      <c r="A80" s="767">
        <v>20</v>
      </c>
      <c r="B80" s="3561"/>
      <c r="C80" s="681" t="s">
        <v>611</v>
      </c>
      <c r="D80" s="681" t="s">
        <v>612</v>
      </c>
      <c r="E80" s="780">
        <v>0.2</v>
      </c>
      <c r="F80" s="767">
        <v>30</v>
      </c>
    </row>
    <row r="81" spans="1:6" s="763" customFormat="1" ht="36">
      <c r="A81" s="767">
        <v>21</v>
      </c>
      <c r="B81" s="3561"/>
      <c r="C81" s="681" t="s">
        <v>613</v>
      </c>
      <c r="D81" s="681" t="s">
        <v>614</v>
      </c>
      <c r="E81" s="780">
        <v>0.2</v>
      </c>
      <c r="F81" s="767">
        <v>30</v>
      </c>
    </row>
    <row r="82" spans="1:6" s="763" customFormat="1" ht="48">
      <c r="A82" s="767">
        <v>22</v>
      </c>
      <c r="B82" s="3561"/>
      <c r="C82" s="681" t="s">
        <v>615</v>
      </c>
      <c r="D82" s="681" t="s">
        <v>616</v>
      </c>
      <c r="E82" s="780">
        <v>0.2</v>
      </c>
      <c r="F82" s="767">
        <v>30</v>
      </c>
    </row>
    <row r="83" spans="1:6" s="763" customFormat="1" ht="48">
      <c r="A83" s="767">
        <v>23</v>
      </c>
      <c r="B83" s="3561"/>
      <c r="C83" s="681" t="s">
        <v>617</v>
      </c>
      <c r="D83" s="681" t="s">
        <v>618</v>
      </c>
      <c r="E83" s="780">
        <v>0.2</v>
      </c>
      <c r="F83" s="767">
        <v>30</v>
      </c>
    </row>
    <row r="84" spans="1:6" s="763" customFormat="1" ht="36">
      <c r="A84" s="767">
        <v>24</v>
      </c>
      <c r="B84" s="3561"/>
      <c r="C84" s="681" t="s">
        <v>619</v>
      </c>
      <c r="D84" s="681" t="s">
        <v>620</v>
      </c>
      <c r="E84" s="780">
        <v>0.2</v>
      </c>
      <c r="F84" s="767">
        <v>30</v>
      </c>
    </row>
    <row r="85" spans="1:6" s="763" customFormat="1" ht="36">
      <c r="A85" s="767">
        <v>25</v>
      </c>
      <c r="B85" s="3561"/>
      <c r="C85" s="681" t="s">
        <v>621</v>
      </c>
      <c r="D85" s="681" t="s">
        <v>622</v>
      </c>
      <c r="E85" s="780">
        <v>0.5</v>
      </c>
      <c r="F85" s="767">
        <v>80</v>
      </c>
    </row>
    <row r="86" spans="1:6" s="763" customFormat="1" ht="36">
      <c r="A86" s="767">
        <v>26</v>
      </c>
      <c r="B86" s="3561"/>
      <c r="C86" s="681" t="s">
        <v>623</v>
      </c>
      <c r="D86" s="681" t="s">
        <v>624</v>
      </c>
      <c r="E86" s="780">
        <v>0.2</v>
      </c>
      <c r="F86" s="767">
        <v>30</v>
      </c>
    </row>
    <row r="87" spans="1:6" s="763" customFormat="1" ht="36">
      <c r="A87" s="767">
        <v>27</v>
      </c>
      <c r="B87" s="3561"/>
      <c r="C87" s="681" t="s">
        <v>625</v>
      </c>
      <c r="D87" s="681" t="s">
        <v>626</v>
      </c>
      <c r="E87" s="780">
        <v>0.2</v>
      </c>
      <c r="F87" s="767">
        <v>30</v>
      </c>
    </row>
    <row r="88" spans="1:6" s="763" customFormat="1" ht="36">
      <c r="A88" s="767">
        <v>28</v>
      </c>
      <c r="B88" s="3561"/>
      <c r="C88" s="681" t="s">
        <v>627</v>
      </c>
      <c r="D88" s="681" t="s">
        <v>628</v>
      </c>
      <c r="E88" s="780">
        <v>0.2</v>
      </c>
      <c r="F88" s="767">
        <v>30</v>
      </c>
    </row>
    <row r="89" spans="1:6" s="763" customFormat="1" ht="24">
      <c r="A89" s="767">
        <v>29</v>
      </c>
      <c r="B89" s="3561"/>
      <c r="C89" s="681" t="s">
        <v>629</v>
      </c>
      <c r="D89" s="681" t="s">
        <v>630</v>
      </c>
      <c r="E89" s="780">
        <v>0.2</v>
      </c>
      <c r="F89" s="767">
        <v>30</v>
      </c>
    </row>
    <row r="90" spans="1:6" s="763" customFormat="1" ht="24">
      <c r="A90" s="767">
        <v>30</v>
      </c>
      <c r="B90" s="3561"/>
      <c r="C90" s="681" t="s">
        <v>631</v>
      </c>
      <c r="D90" s="681" t="s">
        <v>632</v>
      </c>
      <c r="E90" s="780">
        <v>0.2</v>
      </c>
      <c r="F90" s="767">
        <v>30</v>
      </c>
    </row>
    <row r="91" spans="1:6" s="763" customFormat="1" ht="36">
      <c r="A91" s="767">
        <v>31</v>
      </c>
      <c r="B91" s="3561"/>
      <c r="C91" s="681" t="s">
        <v>633</v>
      </c>
      <c r="D91" s="681" t="s">
        <v>634</v>
      </c>
      <c r="E91" s="780">
        <v>0.2</v>
      </c>
      <c r="F91" s="767">
        <v>30</v>
      </c>
    </row>
    <row r="92" spans="1:6" s="763" customFormat="1" ht="24">
      <c r="A92" s="767">
        <v>32</v>
      </c>
      <c r="B92" s="3561" t="s">
        <v>635</v>
      </c>
      <c r="C92" s="767" t="s">
        <v>636</v>
      </c>
      <c r="D92" s="681" t="s">
        <v>637</v>
      </c>
      <c r="E92" s="780">
        <v>0.2</v>
      </c>
      <c r="F92" s="767">
        <v>30</v>
      </c>
    </row>
    <row r="93" spans="1:6" s="763" customFormat="1" ht="36">
      <c r="A93" s="767">
        <v>33</v>
      </c>
      <c r="B93" s="3561"/>
      <c r="C93" s="767" t="s">
        <v>638</v>
      </c>
      <c r="D93" s="681" t="s">
        <v>639</v>
      </c>
      <c r="E93" s="780">
        <v>0.2</v>
      </c>
      <c r="F93" s="767">
        <v>30</v>
      </c>
    </row>
    <row r="94" spans="1:6" s="763" customFormat="1" ht="48">
      <c r="A94" s="767">
        <v>34</v>
      </c>
      <c r="B94" s="3561"/>
      <c r="C94" s="767" t="s">
        <v>640</v>
      </c>
      <c r="D94" s="681" t="s">
        <v>641</v>
      </c>
      <c r="E94" s="780">
        <v>0.2</v>
      </c>
      <c r="F94" s="767">
        <v>30</v>
      </c>
    </row>
    <row r="95" spans="1:6" s="763" customFormat="1" ht="36">
      <c r="A95" s="767">
        <v>35</v>
      </c>
      <c r="B95" s="3561"/>
      <c r="C95" s="767" t="s">
        <v>642</v>
      </c>
      <c r="D95" s="681" t="s">
        <v>643</v>
      </c>
      <c r="E95" s="780">
        <v>0.2</v>
      </c>
      <c r="F95" s="767">
        <v>30</v>
      </c>
    </row>
    <row r="96" spans="1:6" s="763" customFormat="1" ht="48">
      <c r="A96" s="767">
        <v>36</v>
      </c>
      <c r="B96" s="3561"/>
      <c r="C96" s="681" t="s">
        <v>644</v>
      </c>
      <c r="D96" s="681" t="s">
        <v>645</v>
      </c>
      <c r="E96" s="780">
        <v>0.2</v>
      </c>
      <c r="F96" s="767">
        <v>30</v>
      </c>
    </row>
    <row r="97" spans="1:6" s="763" customFormat="1" ht="36">
      <c r="A97" s="767">
        <v>37</v>
      </c>
      <c r="B97" s="3561"/>
      <c r="C97" s="767" t="s">
        <v>646</v>
      </c>
      <c r="D97" s="681" t="s">
        <v>647</v>
      </c>
      <c r="E97" s="780">
        <v>0.2</v>
      </c>
      <c r="F97" s="767">
        <v>30</v>
      </c>
    </row>
    <row r="98" spans="1:6" s="763" customFormat="1" ht="36">
      <c r="A98" s="767">
        <v>38</v>
      </c>
      <c r="B98" s="3561"/>
      <c r="C98" s="767" t="s">
        <v>648</v>
      </c>
      <c r="D98" s="681" t="s">
        <v>649</v>
      </c>
      <c r="E98" s="780">
        <v>0.2</v>
      </c>
      <c r="F98" s="767">
        <v>30</v>
      </c>
    </row>
    <row r="99" spans="1:6" s="763" customFormat="1" ht="36">
      <c r="A99" s="767">
        <v>39</v>
      </c>
      <c r="B99" s="3561" t="s">
        <v>650</v>
      </c>
      <c r="C99" s="767" t="s">
        <v>651</v>
      </c>
      <c r="D99" s="681" t="s">
        <v>652</v>
      </c>
      <c r="E99" s="780">
        <v>0.3</v>
      </c>
      <c r="F99" s="767">
        <v>50</v>
      </c>
    </row>
    <row r="100" spans="1:6" s="763" customFormat="1" ht="24">
      <c r="A100" s="767">
        <v>40</v>
      </c>
      <c r="B100" s="3561"/>
      <c r="C100" s="767" t="s">
        <v>653</v>
      </c>
      <c r="D100" s="681" t="s">
        <v>654</v>
      </c>
      <c r="E100" s="780">
        <v>0.2</v>
      </c>
      <c r="F100" s="767">
        <v>30</v>
      </c>
    </row>
    <row r="101" spans="1:6" s="763" customFormat="1" ht="36">
      <c r="A101" s="767">
        <v>41</v>
      </c>
      <c r="B101" s="356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61" t="s">
        <v>665</v>
      </c>
      <c r="C105" s="767" t="s">
        <v>666</v>
      </c>
      <c r="D105" s="681" t="s">
        <v>667</v>
      </c>
      <c r="E105" s="780">
        <v>0.2</v>
      </c>
      <c r="F105" s="767">
        <v>30</v>
      </c>
    </row>
    <row r="106" spans="1:6" s="763" customFormat="1" ht="36">
      <c r="A106" s="767">
        <v>46</v>
      </c>
      <c r="B106" s="3561"/>
      <c r="C106" s="767" t="s">
        <v>668</v>
      </c>
      <c r="D106" s="681" t="s">
        <v>669</v>
      </c>
      <c r="E106" s="780">
        <v>0.2</v>
      </c>
      <c r="F106" s="767">
        <v>30</v>
      </c>
    </row>
    <row r="107" spans="1:6" s="763" customFormat="1" ht="36">
      <c r="A107" s="767">
        <v>47</v>
      </c>
      <c r="B107" s="3561" t="s">
        <v>670</v>
      </c>
      <c r="C107" s="767" t="s">
        <v>671</v>
      </c>
      <c r="D107" s="681" t="s">
        <v>672</v>
      </c>
      <c r="E107" s="780">
        <v>0.3</v>
      </c>
      <c r="F107" s="767">
        <v>50</v>
      </c>
    </row>
    <row r="108" spans="1:6" s="763" customFormat="1" ht="36">
      <c r="A108" s="767">
        <v>48</v>
      </c>
      <c r="B108" s="356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61" t="s">
        <v>681</v>
      </c>
      <c r="C111" s="767" t="s">
        <v>682</v>
      </c>
      <c r="D111" s="681" t="s">
        <v>683</v>
      </c>
      <c r="E111" s="780">
        <v>0.2</v>
      </c>
      <c r="F111" s="767">
        <v>30</v>
      </c>
    </row>
    <row r="112" spans="1:6" s="763" customFormat="1" ht="24">
      <c r="A112" s="767">
        <v>52</v>
      </c>
      <c r="B112" s="3561"/>
      <c r="C112" s="767" t="s">
        <v>684</v>
      </c>
      <c r="D112" s="681" t="s">
        <v>685</v>
      </c>
      <c r="E112" s="780">
        <v>0.2</v>
      </c>
      <c r="F112" s="767">
        <v>30</v>
      </c>
    </row>
    <row r="113" spans="1:6" s="763" customFormat="1" ht="24">
      <c r="A113" s="767">
        <v>53</v>
      </c>
      <c r="B113" s="356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61" t="s">
        <v>694</v>
      </c>
      <c r="C116" s="767" t="s">
        <v>695</v>
      </c>
      <c r="D116" s="681" t="s">
        <v>696</v>
      </c>
      <c r="E116" s="780">
        <v>0.2</v>
      </c>
      <c r="F116" s="767">
        <v>30</v>
      </c>
    </row>
    <row r="117" spans="1:6" ht="36">
      <c r="A117" s="767">
        <v>57</v>
      </c>
      <c r="B117" s="356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7" t="s">
        <v>1020</v>
      </c>
      <c r="C1" s="3567"/>
      <c r="D1" s="3567"/>
      <c r="E1" s="3567"/>
      <c r="F1" s="3567"/>
      <c r="G1" s="3566" t="s">
        <v>1021</v>
      </c>
      <c r="H1" s="3566"/>
      <c r="I1" s="3566"/>
      <c r="J1" s="3566"/>
      <c r="K1" s="3566"/>
      <c r="L1" s="3566"/>
      <c r="N1" s="3566" t="s">
        <v>1022</v>
      </c>
      <c r="O1" s="3566"/>
      <c r="P1" s="3566"/>
      <c r="Q1" s="3566"/>
      <c r="S1" s="3566" t="s">
        <v>1023</v>
      </c>
      <c r="T1" s="3566"/>
      <c r="U1" s="3566"/>
      <c r="V1" s="3566"/>
      <c r="X1" s="3565" t="s">
        <v>1024</v>
      </c>
      <c r="Y1" s="3566"/>
      <c r="Z1" s="3566"/>
      <c r="AA1" s="3566"/>
      <c r="AB1" s="3566"/>
      <c r="AD1" s="3565" t="s">
        <v>1025</v>
      </c>
      <c r="AE1" s="3566"/>
      <c r="AF1" s="3566"/>
      <c r="AG1" s="3566"/>
      <c r="AH1" s="3566"/>
    </row>
    <row r="2" spans="1:34" s="2329" customFormat="1" ht="14.25" thickBot="1">
      <c r="B2" s="2330" t="s">
        <v>1026</v>
      </c>
      <c r="C2" s="2330" t="s">
        <v>1027</v>
      </c>
      <c r="D2" s="2331" t="s">
        <v>1028</v>
      </c>
      <c r="E2" s="2331" t="s">
        <v>1029</v>
      </c>
      <c r="F2" s="2330" t="s">
        <v>1030</v>
      </c>
      <c r="G2" s="2332"/>
      <c r="I2" s="2330" t="s">
        <v>1247</v>
      </c>
      <c r="J2" s="2331" t="s">
        <v>1248</v>
      </c>
      <c r="K2" s="2331" t="s">
        <v>1249</v>
      </c>
      <c r="L2" s="2330" t="s">
        <v>1250</v>
      </c>
      <c r="N2" s="2330" t="s">
        <v>1026</v>
      </c>
      <c r="O2" s="2331" t="s">
        <v>1251</v>
      </c>
      <c r="P2" s="2331" t="s">
        <v>728</v>
      </c>
      <c r="Q2" s="2330" t="s">
        <v>1030</v>
      </c>
      <c r="S2" s="2330" t="s">
        <v>1026</v>
      </c>
      <c r="T2" s="2331" t="s">
        <v>1251</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2702</v>
      </c>
      <c r="B3" s="2334"/>
      <c r="C3" s="2334"/>
      <c r="D3" s="2335"/>
      <c r="E3" s="2335"/>
      <c r="F3" s="2334"/>
      <c r="G3" s="2336"/>
      <c r="H3" s="2337"/>
      <c r="I3" s="2338">
        <f>ROUND(AVERAGE(I4:I33),2)</f>
        <v>1.68</v>
      </c>
      <c r="J3" s="2338">
        <f>ROUND(AVERAGE(J4:J33),2)</f>
        <v>1.1000000000000001</v>
      </c>
      <c r="K3" s="2338">
        <f>ROUND(AVERAGE(K4:K33),2)</f>
        <v>1.85</v>
      </c>
      <c r="L3" s="2339">
        <f>ROUND(AVERAGE(L4:L33),2)</f>
        <v>1.19</v>
      </c>
      <c r="N3" s="2336"/>
      <c r="S3" s="2336"/>
      <c r="W3" s="2341"/>
      <c r="X3" s="2342">
        <f>ROUND(SUMPRODUCT(PRODUCT(1+N3:N$32)),4)</f>
        <v>1.571</v>
      </c>
      <c r="Y3" s="2342">
        <f>ROUND(SUMPRODUCT(PRODUCT(1+O3:O$32)),4)</f>
        <v>1.3420000000000001</v>
      </c>
      <c r="Z3" s="2342">
        <f t="shared" ref="Z3:Z30" si="0">Y3</f>
        <v>1.3420000000000001</v>
      </c>
      <c r="AA3" s="2342">
        <f>ROUND(SUMPRODUCT(PRODUCT(1+P3:P$32)),4)</f>
        <v>1.6415999999999999</v>
      </c>
      <c r="AB3" s="2342">
        <f>ROUND(SUMPRODUCT(PRODUCT(1+Q3:Q$32)),4)</f>
        <v>1.389</v>
      </c>
      <c r="AD3" s="2343">
        <f>ROUND(AVERAGE(I3:I$33)/100,4)</f>
        <v>1.6799999999999999E-2</v>
      </c>
      <c r="AE3" s="2343">
        <f>ROUND(AVERAGE(J3:J$33)/100,4)</f>
        <v>1.0999999999999999E-2</v>
      </c>
      <c r="AF3" s="2343">
        <f t="shared" ref="AF3:AF21" si="1">AE3</f>
        <v>1.0999999999999999E-2</v>
      </c>
      <c r="AG3" s="2343">
        <f>ROUND(AVERAGE(K3:K$33)/100,4)</f>
        <v>1.8499999999999999E-2</v>
      </c>
      <c r="AH3" s="2343">
        <f>ROUND(AVERAGE(L3:L$33)/100,4)</f>
        <v>1.1900000000000001E-2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2879</v>
      </c>
      <c r="B5" s="2353">
        <f t="shared" ref="B5" si="2">B6*(1+N5)</f>
        <v>483.1434279321756</v>
      </c>
      <c r="C5" s="2353">
        <f t="shared" ref="C5" si="3">C6*(1+O5)</f>
        <v>345.93622669144776</v>
      </c>
      <c r="D5" s="2354">
        <f t="shared" ref="D5" si="4">C5</f>
        <v>345.93622669144776</v>
      </c>
      <c r="E5" s="2353">
        <f t="shared" ref="E5" si="5">E6*(1+P5)</f>
        <v>694.24498562544113</v>
      </c>
      <c r="F5" s="2353">
        <f t="shared" ref="F5" si="6">F6*(1+Q5)</f>
        <v>319.35475932716082</v>
      </c>
      <c r="G5" s="3142">
        <v>2021</v>
      </c>
      <c r="H5" s="2356">
        <v>1</v>
      </c>
      <c r="I5" s="2357">
        <v>0</v>
      </c>
      <c r="J5" s="2357">
        <v>0</v>
      </c>
      <c r="K5" s="2357">
        <v>0</v>
      </c>
      <c r="L5" s="2358">
        <v>0</v>
      </c>
      <c r="N5" s="2360">
        <f t="shared" ref="N5" si="7">I5/100</f>
        <v>0</v>
      </c>
      <c r="O5" s="2360">
        <f t="shared" ref="O5" si="8">J5/100</f>
        <v>0</v>
      </c>
      <c r="P5" s="2360">
        <f t="shared" ref="P5" si="9">K5/100</f>
        <v>0</v>
      </c>
      <c r="Q5" s="2360">
        <f t="shared" ref="Q5" si="10">L5/100</f>
        <v>0</v>
      </c>
      <c r="S5" s="2369">
        <f>B5/B6-1</f>
        <v>0</v>
      </c>
      <c r="T5" s="2370">
        <f>C5/C6-1</f>
        <v>0</v>
      </c>
      <c r="U5" s="2370">
        <f>E5/E6-1</f>
        <v>0</v>
      </c>
      <c r="V5" s="2370">
        <f>F5/F6-1</f>
        <v>0</v>
      </c>
      <c r="W5" s="2361" t="s">
        <v>2701</v>
      </c>
      <c r="X5" s="2362">
        <f>ROUND(SUMPRODUCT(PRODUCT(1+N5:N$32)),4)</f>
        <v>1.571</v>
      </c>
      <c r="Y5" s="2362">
        <f>ROUND(SUMPRODUCT(PRODUCT(1+O5:O$32)),4)</f>
        <v>1.3420000000000001</v>
      </c>
      <c r="Z5" s="2362">
        <f t="shared" ref="Z5" si="11">Y5</f>
        <v>1.3420000000000001</v>
      </c>
      <c r="AA5" s="2362">
        <f>ROUND(SUMPRODUCT(PRODUCT(1+P5:P$32)),4)</f>
        <v>1.6415999999999999</v>
      </c>
      <c r="AB5" s="2362">
        <f>ROUND(SUMPRODUCT(PRODUCT(1+Q5:Q$32)),4)</f>
        <v>1.389</v>
      </c>
      <c r="AD5" s="2363">
        <f>ROUND(AVERAGE(I5:I$33)/100,4)</f>
        <v>1.6799999999999999E-2</v>
      </c>
      <c r="AE5" s="2363">
        <f>ROUND(AVERAGE(J5:J$33)/100,4)</f>
        <v>1.0999999999999999E-2</v>
      </c>
      <c r="AF5" s="2363">
        <f t="shared" ref="AF5" si="12">AE5</f>
        <v>1.0999999999999999E-2</v>
      </c>
      <c r="AG5" s="2363">
        <f>ROUND(AVERAGE(K5:K$33)/100,4)</f>
        <v>1.8499999999999999E-2</v>
      </c>
      <c r="AH5" s="2363">
        <f>ROUND(AVERAGE(L5:L$33)/100,4)</f>
        <v>1.1900000000000001E-2</v>
      </c>
    </row>
    <row r="6" spans="1:34" s="2371" customFormat="1" ht="14.45" customHeight="1">
      <c r="A6" s="2364" t="s">
        <v>2880</v>
      </c>
      <c r="B6" s="2365">
        <f t="shared" ref="B6" si="13">B7*(1+N6)</f>
        <v>483.1434279321756</v>
      </c>
      <c r="C6" s="2365">
        <f t="shared" ref="C6" si="14">C7*(1+O6)</f>
        <v>345.93622669144776</v>
      </c>
      <c r="D6" s="2365">
        <f t="shared" ref="D6" si="15">C6</f>
        <v>345.93622669144776</v>
      </c>
      <c r="E6" s="2365">
        <f t="shared" ref="E6" si="16">E7*(1+P6)</f>
        <v>694.24498562544113</v>
      </c>
      <c r="F6" s="2365">
        <f t="shared" ref="F6" si="17">F7*(1+Q6)</f>
        <v>319.35475932716082</v>
      </c>
      <c r="G6" s="3142">
        <v>2020</v>
      </c>
      <c r="H6" s="2366">
        <v>4</v>
      </c>
      <c r="I6" s="2366">
        <v>0</v>
      </c>
      <c r="J6" s="2366">
        <v>0</v>
      </c>
      <c r="K6" s="2366">
        <v>0</v>
      </c>
      <c r="L6" s="2367">
        <v>0</v>
      </c>
      <c r="M6" s="2368"/>
      <c r="N6" s="2369">
        <f t="shared" ref="N6" si="18">I6/100</f>
        <v>0</v>
      </c>
      <c r="O6" s="2370">
        <f t="shared" ref="O6" si="19">J6/100</f>
        <v>0</v>
      </c>
      <c r="P6" s="2370">
        <f t="shared" ref="P6" si="20">K6/100</f>
        <v>0</v>
      </c>
      <c r="Q6" s="2370">
        <f t="shared" ref="Q6" si="21">L6/100</f>
        <v>0</v>
      </c>
      <c r="R6" s="2368"/>
      <c r="S6" s="2369"/>
      <c r="T6" s="2370"/>
      <c r="U6" s="2370"/>
      <c r="V6" s="2370"/>
      <c r="W6" s="2368"/>
      <c r="X6" s="2368">
        <f>ROUND(SUMPRODUCT(PRODUCT(1+N6:N$32)),4)</f>
        <v>1.571</v>
      </c>
      <c r="Y6" s="2368">
        <f>ROUND(SUMPRODUCT(PRODUCT(1+O6:O$32)),4)</f>
        <v>1.3420000000000001</v>
      </c>
      <c r="Z6" s="2368">
        <f t="shared" ref="Z6" si="22">Y6</f>
        <v>1.3420000000000001</v>
      </c>
      <c r="AA6" s="2368">
        <f>ROUND(SUMPRODUCT(PRODUCT(1+P6:P$32)),4)</f>
        <v>1.6415999999999999</v>
      </c>
      <c r="AB6" s="2368">
        <f>ROUND(SUMPRODUCT(PRODUCT(1+Q6:Q$32)),4)</f>
        <v>1.389</v>
      </c>
      <c r="AC6" s="2368"/>
      <c r="AD6" s="2370">
        <f>ROUND(AVERAGE(I6:I$33)/100,4)</f>
        <v>1.7399999999999999E-2</v>
      </c>
      <c r="AE6" s="2370">
        <f>ROUND(AVERAGE(J6:J$33)/100,4)</f>
        <v>1.14E-2</v>
      </c>
      <c r="AF6" s="2370">
        <f t="shared" ref="AF6" si="23">AE6</f>
        <v>1.14E-2</v>
      </c>
      <c r="AG6" s="2370">
        <f>ROUND(AVERAGE(K6:K$33)/100,4)</f>
        <v>1.9199999999999998E-2</v>
      </c>
      <c r="AH6" s="2370">
        <f>ROUND(AVERAGE(L6:L$33)/100,4)</f>
        <v>1.23E-2</v>
      </c>
    </row>
    <row r="7" spans="1:34" s="2371" customFormat="1" ht="14.45" customHeight="1">
      <c r="A7" s="2364" t="s">
        <v>2878</v>
      </c>
      <c r="B7" s="2365">
        <f t="shared" ref="B7" si="24">B8*(1+N7)</f>
        <v>483.1434279321756</v>
      </c>
      <c r="C7" s="2365">
        <f t="shared" ref="C7" si="25">C8*(1+O7)</f>
        <v>345.93622669144776</v>
      </c>
      <c r="D7" s="2365">
        <f t="shared" ref="D7" si="26">C7</f>
        <v>345.93622669144776</v>
      </c>
      <c r="E7" s="2365">
        <f t="shared" ref="E7" si="27">E8*(1+P7)</f>
        <v>694.24498562544113</v>
      </c>
      <c r="F7" s="2365">
        <f t="shared" ref="F7" si="28">F8*(1+Q7)</f>
        <v>319.35475932716082</v>
      </c>
      <c r="G7" s="3141">
        <v>2020</v>
      </c>
      <c r="H7" s="2366">
        <v>3</v>
      </c>
      <c r="I7" s="2366">
        <v>0.36</v>
      </c>
      <c r="J7" s="2366">
        <v>-0.39</v>
      </c>
      <c r="K7" s="2366">
        <v>0.49</v>
      </c>
      <c r="L7" s="2367">
        <v>7.0000000000000007E-2</v>
      </c>
      <c r="M7" s="2368"/>
      <c r="N7" s="2369">
        <f t="shared" ref="N7" si="29">I7/100</f>
        <v>3.5999999999999999E-3</v>
      </c>
      <c r="O7" s="2370">
        <f t="shared" ref="O7" si="30">J7/100</f>
        <v>-3.9000000000000003E-3</v>
      </c>
      <c r="P7" s="2370">
        <f t="shared" ref="P7" si="31">K7/100</f>
        <v>4.8999999999999998E-3</v>
      </c>
      <c r="Q7" s="2370">
        <f t="shared" ref="Q7" si="32">L7/100</f>
        <v>7.000000000000001E-4</v>
      </c>
      <c r="R7" s="2368"/>
      <c r="S7" s="2369"/>
      <c r="T7" s="2370"/>
      <c r="U7" s="2370"/>
      <c r="V7" s="2370"/>
      <c r="W7" s="2368"/>
      <c r="X7" s="2368">
        <f>ROUND(SUMPRODUCT(PRODUCT(1+N7:N$32)),4)</f>
        <v>1.571</v>
      </c>
      <c r="Y7" s="2368">
        <f>ROUND(SUMPRODUCT(PRODUCT(1+O7:O$32)),4)</f>
        <v>1.3420000000000001</v>
      </c>
      <c r="Z7" s="2368">
        <f t="shared" ref="Z7" si="33">Y7</f>
        <v>1.3420000000000001</v>
      </c>
      <c r="AA7" s="2368">
        <f>ROUND(SUMPRODUCT(PRODUCT(1+P7:P$32)),4)</f>
        <v>1.6415999999999999</v>
      </c>
      <c r="AB7" s="2368">
        <f>ROUND(SUMPRODUCT(PRODUCT(1+Q7:Q$32)),4)</f>
        <v>1.389</v>
      </c>
      <c r="AC7" s="2368"/>
      <c r="AD7" s="2370">
        <f>ROUND(AVERAGE(I7:I$33)/100,4)</f>
        <v>1.8100000000000002E-2</v>
      </c>
      <c r="AE7" s="2370">
        <f>ROUND(AVERAGE(J7:J$33)/100,4)</f>
        <v>1.1900000000000001E-2</v>
      </c>
      <c r="AF7" s="2370">
        <f t="shared" ref="AF7" si="34">AE7</f>
        <v>1.1900000000000001E-2</v>
      </c>
      <c r="AG7" s="2370">
        <f>ROUND(AVERAGE(K7:K$33)/100,4)</f>
        <v>1.9900000000000001E-2</v>
      </c>
      <c r="AH7" s="2370">
        <f>ROUND(AVERAGE(L7:L$33)/100,4)</f>
        <v>1.2800000000000001E-2</v>
      </c>
    </row>
    <row r="8" spans="1:34" s="2371" customFormat="1" ht="14.45" customHeight="1">
      <c r="A8" s="2364" t="s">
        <v>2732</v>
      </c>
      <c r="B8" s="2365">
        <f t="shared" ref="B8" si="35">B9*(1+N8)</f>
        <v>481.4103506697644</v>
      </c>
      <c r="C8" s="2365">
        <f t="shared" ref="C8" si="36">C9*(1+O8)</f>
        <v>347.29066026648707</v>
      </c>
      <c r="D8" s="2365">
        <f t="shared" ref="D8" si="37">C8</f>
        <v>347.29066026648707</v>
      </c>
      <c r="E8" s="2365">
        <f t="shared" ref="E8" si="38">E9*(1+P8)</f>
        <v>690.85977273901995</v>
      </c>
      <c r="F8" s="2365">
        <f t="shared" ref="F8" si="39">F9*(1+Q8)</f>
        <v>319.13136737000184</v>
      </c>
      <c r="G8" s="2355">
        <v>2020</v>
      </c>
      <c r="H8" s="2366">
        <v>2</v>
      </c>
      <c r="I8" s="2366">
        <v>0.31</v>
      </c>
      <c r="J8" s="2366">
        <v>-0.78</v>
      </c>
      <c r="K8" s="2366">
        <v>0.5</v>
      </c>
      <c r="L8" s="2367">
        <v>0.47</v>
      </c>
      <c r="M8" s="2368"/>
      <c r="N8" s="2369">
        <f t="shared" ref="N8" si="40">I8/100</f>
        <v>3.0999999999999999E-3</v>
      </c>
      <c r="O8" s="2370">
        <f t="shared" ref="O8" si="41">J8/100</f>
        <v>-7.8000000000000005E-3</v>
      </c>
      <c r="P8" s="2370">
        <f t="shared" ref="P8" si="42">K8/100</f>
        <v>5.0000000000000001E-3</v>
      </c>
      <c r="Q8" s="2370">
        <f t="shared" ref="Q8" si="43">L8/100</f>
        <v>4.6999999999999993E-3</v>
      </c>
      <c r="R8" s="2368"/>
      <c r="S8" s="2369"/>
      <c r="T8" s="2370"/>
      <c r="U8" s="2370"/>
      <c r="V8" s="2370"/>
      <c r="W8" s="2368"/>
      <c r="X8" s="2368">
        <f>ROUND(SUMPRODUCT(PRODUCT(1+N8:N$32)),4)</f>
        <v>1.5652999999999999</v>
      </c>
      <c r="Y8" s="2368">
        <f>ROUND(SUMPRODUCT(PRODUCT(1+O8:O$32)),4)</f>
        <v>1.3472</v>
      </c>
      <c r="Z8" s="2368">
        <f t="shared" ref="Z8" si="44">Y8</f>
        <v>1.3472</v>
      </c>
      <c r="AA8" s="2368">
        <f>ROUND(SUMPRODUCT(PRODUCT(1+P8:P$32)),4)</f>
        <v>1.6335999999999999</v>
      </c>
      <c r="AB8" s="2368">
        <f>ROUND(SUMPRODUCT(PRODUCT(1+Q8:Q$32)),4)</f>
        <v>1.3880999999999999</v>
      </c>
      <c r="AC8" s="2368"/>
      <c r="AD8" s="2370">
        <f>ROUND(AVERAGE(I8:I$33)/100,4)</f>
        <v>1.8599999999999998E-2</v>
      </c>
      <c r="AE8" s="2370">
        <f>ROUND(AVERAGE(J8:J$33)/100,4)</f>
        <v>1.2500000000000001E-2</v>
      </c>
      <c r="AF8" s="2370">
        <f t="shared" ref="AF8" si="45">AE8</f>
        <v>1.2500000000000001E-2</v>
      </c>
      <c r="AG8" s="2370">
        <f>ROUND(AVERAGE(K8:K$33)/100,4)</f>
        <v>2.0400000000000001E-2</v>
      </c>
      <c r="AH8" s="2370">
        <f>ROUND(AVERAGE(L8:L$33)/100,4)</f>
        <v>1.32E-2</v>
      </c>
    </row>
    <row r="9" spans="1:34" s="2371" customFormat="1" ht="14.45" customHeight="1">
      <c r="A9" s="2364" t="s">
        <v>2729</v>
      </c>
      <c r="B9" s="2365">
        <f t="shared" ref="B9" si="46">B10*(1+N9)</f>
        <v>479.92259063878413</v>
      </c>
      <c r="C9" s="2365">
        <f t="shared" ref="C9" si="47">C10*(1+O9)</f>
        <v>350.02082268341775</v>
      </c>
      <c r="D9" s="2365">
        <f t="shared" ref="D9" si="48">C9</f>
        <v>350.02082268341775</v>
      </c>
      <c r="E9" s="2365">
        <f t="shared" ref="E9" si="49">E10*(1+P9)</f>
        <v>687.42265944181099</v>
      </c>
      <c r="F9" s="2365">
        <f t="shared" ref="F9" si="50">F10*(1+Q9)</f>
        <v>317.63846657708956</v>
      </c>
      <c r="G9" s="2355">
        <v>2020</v>
      </c>
      <c r="H9" s="2366">
        <v>1</v>
      </c>
      <c r="I9" s="2366">
        <v>0.12</v>
      </c>
      <c r="J9" s="2366">
        <v>-0.4</v>
      </c>
      <c r="K9" s="2366">
        <v>0.21</v>
      </c>
      <c r="L9" s="2367">
        <v>0.27</v>
      </c>
      <c r="M9" s="2368"/>
      <c r="N9" s="2369">
        <f t="shared" ref="N9" si="51">I9/100</f>
        <v>1.1999999999999999E-3</v>
      </c>
      <c r="O9" s="2370">
        <f t="shared" ref="O9" si="52">J9/100</f>
        <v>-4.0000000000000001E-3</v>
      </c>
      <c r="P9" s="2370">
        <f t="shared" ref="P9" si="53">K9/100</f>
        <v>2.0999999999999999E-3</v>
      </c>
      <c r="Q9" s="2370">
        <f t="shared" ref="Q9" si="54">L9/100</f>
        <v>2.7000000000000001E-3</v>
      </c>
      <c r="R9" s="2368"/>
      <c r="S9" s="2369">
        <f>B9/B10-1</f>
        <v>1.2000000000000899E-3</v>
      </c>
      <c r="T9" s="2370">
        <f>C9/C10-1</f>
        <v>-4.0000000000000036E-3</v>
      </c>
      <c r="U9" s="2370">
        <f>E9/E10-1</f>
        <v>2.0999999999999908E-3</v>
      </c>
      <c r="V9" s="2370">
        <f>F9/F10-1</f>
        <v>2.6999999999999247E-3</v>
      </c>
      <c r="W9" s="2368"/>
      <c r="X9" s="2368">
        <f>ROUND(SUMPRODUCT(PRODUCT(1+N9:N$32)),4)</f>
        <v>1.5605</v>
      </c>
      <c r="Y9" s="2368">
        <f>ROUND(SUMPRODUCT(PRODUCT(1+O9:O$32)),4)</f>
        <v>1.3577999999999999</v>
      </c>
      <c r="Z9" s="2368">
        <f t="shared" ref="Z9" si="55">Y9</f>
        <v>1.3577999999999999</v>
      </c>
      <c r="AA9" s="2368">
        <f>ROUND(SUMPRODUCT(PRODUCT(1+P9:P$32)),4)</f>
        <v>1.6254999999999999</v>
      </c>
      <c r="AB9" s="2368">
        <f>ROUND(SUMPRODUCT(PRODUCT(1+Q9:Q$32)),4)</f>
        <v>1.3815999999999999</v>
      </c>
      <c r="AC9" s="2368"/>
      <c r="AD9" s="2370">
        <f>ROUND(AVERAGE(I9:I$33)/100,4)</f>
        <v>1.9199999999999998E-2</v>
      </c>
      <c r="AE9" s="2370">
        <f>ROUND(AVERAGE(J9:J$33)/100,4)</f>
        <v>1.3299999999999999E-2</v>
      </c>
      <c r="AF9" s="2370">
        <f t="shared" ref="AF9" si="56">AE9</f>
        <v>1.3299999999999999E-2</v>
      </c>
      <c r="AG9" s="2370">
        <f>ROUND(AVERAGE(K9:K$33)/100,4)</f>
        <v>2.1100000000000001E-2</v>
      </c>
      <c r="AH9" s="2370">
        <f>ROUND(AVERAGE(L9:L$33)/100,4)</f>
        <v>1.3599999999999999E-2</v>
      </c>
    </row>
    <row r="10" spans="1:34" s="2371" customFormat="1" ht="14.45" customHeight="1">
      <c r="A10" s="2364" t="s">
        <v>2727</v>
      </c>
      <c r="B10" s="2365">
        <f t="shared" ref="B10:B15" si="57">B11*(1+N10)</f>
        <v>479.34737379023579</v>
      </c>
      <c r="C10" s="2365">
        <f t="shared" ref="C10" si="58">C11*(1+O10)</f>
        <v>351.4265287986122</v>
      </c>
      <c r="D10" s="2365">
        <f t="shared" ref="D10" si="59">C10</f>
        <v>351.4265287986122</v>
      </c>
      <c r="E10" s="2365">
        <f t="shared" ref="E10" si="60">E11*(1+P10)</f>
        <v>685.98209703803116</v>
      </c>
      <c r="F10" s="2365">
        <f t="shared" ref="F10" si="61">F11*(1+Q10)</f>
        <v>316.78315206651001</v>
      </c>
      <c r="G10" s="2355">
        <v>2019</v>
      </c>
      <c r="H10" s="2366">
        <v>4</v>
      </c>
      <c r="I10" s="2366">
        <v>0.45</v>
      </c>
      <c r="J10" s="2366">
        <v>-0.12</v>
      </c>
      <c r="K10" s="2366">
        <v>0.54</v>
      </c>
      <c r="L10" s="2367">
        <v>0.48</v>
      </c>
      <c r="M10" s="2368"/>
      <c r="N10" s="2369">
        <f t="shared" ref="N10:N15" si="62">I10/100</f>
        <v>4.5000000000000005E-3</v>
      </c>
      <c r="O10" s="2370">
        <f t="shared" ref="O10" si="63">J10/100</f>
        <v>-1.1999999999999999E-3</v>
      </c>
      <c r="P10" s="2370">
        <f t="shared" ref="P10" si="64">K10/100</f>
        <v>5.4000000000000003E-3</v>
      </c>
      <c r="Q10" s="2370">
        <f t="shared" ref="Q10" si="65">L10/100</f>
        <v>4.7999999999999996E-3</v>
      </c>
      <c r="R10" s="2368"/>
      <c r="S10" s="2369"/>
      <c r="T10" s="2370"/>
      <c r="U10" s="2370"/>
      <c r="V10" s="2370"/>
      <c r="W10" s="2368"/>
      <c r="X10" s="2368">
        <f>ROUND(SUMPRODUCT(PRODUCT(1+N10:N$32)),4)</f>
        <v>1.5586</v>
      </c>
      <c r="Y10" s="2368">
        <f>ROUND(SUMPRODUCT(PRODUCT(1+O10:O$32)),4)</f>
        <v>1.3633</v>
      </c>
      <c r="Z10" s="2368">
        <f t="shared" ref="Z10" si="66">Y10</f>
        <v>1.3633</v>
      </c>
      <c r="AA10" s="2368">
        <f>ROUND(SUMPRODUCT(PRODUCT(1+P10:P$32)),4)</f>
        <v>1.6221000000000001</v>
      </c>
      <c r="AB10" s="2368">
        <f>ROUND(SUMPRODUCT(PRODUCT(1+Q10:Q$32)),4)</f>
        <v>1.3777999999999999</v>
      </c>
      <c r="AC10" s="2368"/>
      <c r="AD10" s="2370">
        <f>ROUND(AVERAGE(I10:I$33)/100,4)</f>
        <v>0.02</v>
      </c>
      <c r="AE10" s="2370">
        <f>ROUND(AVERAGE(J10:J$33)/100,4)</f>
        <v>1.4E-2</v>
      </c>
      <c r="AF10" s="2370">
        <f t="shared" ref="AF10" si="67">AE10</f>
        <v>1.4E-2</v>
      </c>
      <c r="AG10" s="2370">
        <f>ROUND(AVERAGE(K10:K$33)/100,4)</f>
        <v>2.1899999999999999E-2</v>
      </c>
      <c r="AH10" s="2370">
        <f>ROUND(AVERAGE(L10:L$33)/100,4)</f>
        <v>1.4E-2</v>
      </c>
    </row>
    <row r="11" spans="1:34" s="2371" customFormat="1" ht="14.45" customHeight="1" thickBot="1">
      <c r="A11" s="2364" t="s">
        <v>2724</v>
      </c>
      <c r="B11" s="2365">
        <f t="shared" si="57"/>
        <v>477.19997390765138</v>
      </c>
      <c r="C11" s="2365">
        <f t="shared" ref="C11" si="68">C12*(1+O11)</f>
        <v>351.84874729536665</v>
      </c>
      <c r="D11" s="2365">
        <f t="shared" ref="D11" si="69">C11</f>
        <v>351.84874729536665</v>
      </c>
      <c r="E11" s="2365">
        <f t="shared" ref="E11" si="70">E12*(1+P11)</f>
        <v>682.29768951465201</v>
      </c>
      <c r="F11" s="2365">
        <f t="shared" ref="F11" si="71">F12*(1+Q11)</f>
        <v>315.26985675409043</v>
      </c>
      <c r="G11" s="2355">
        <v>2019</v>
      </c>
      <c r="H11" s="2366">
        <v>3</v>
      </c>
      <c r="I11" s="2366">
        <v>0.61</v>
      </c>
      <c r="J11" s="2366">
        <v>0.67</v>
      </c>
      <c r="K11" s="2366">
        <v>0.6</v>
      </c>
      <c r="L11" s="2367">
        <v>1.03</v>
      </c>
      <c r="M11" s="2368"/>
      <c r="N11" s="2369">
        <f t="shared" si="62"/>
        <v>6.0999999999999995E-3</v>
      </c>
      <c r="O11" s="2370">
        <f t="shared" ref="O11" si="72">J11/100</f>
        <v>6.7000000000000002E-3</v>
      </c>
      <c r="P11" s="2370">
        <f t="shared" ref="P11" si="73">K11/100</f>
        <v>6.0000000000000001E-3</v>
      </c>
      <c r="Q11" s="2370">
        <f t="shared" ref="Q11" si="74">L11/100</f>
        <v>1.03E-2</v>
      </c>
      <c r="R11" s="2368"/>
      <c r="S11" s="2369"/>
      <c r="T11" s="2370"/>
      <c r="U11" s="2370"/>
      <c r="V11" s="2370"/>
      <c r="W11" s="2368"/>
      <c r="X11" s="2368">
        <f>ROUND(SUMPRODUCT(PRODUCT(1+N11:N$32)),4)</f>
        <v>1.5516000000000001</v>
      </c>
      <c r="Y11" s="2368">
        <f>ROUND(SUMPRODUCT(PRODUCT(1+O11:O$32)),4)</f>
        <v>1.3649</v>
      </c>
      <c r="Z11" s="2368">
        <f t="shared" ref="Z11" si="75">Y11</f>
        <v>1.3649</v>
      </c>
      <c r="AA11" s="2368">
        <f>ROUND(SUMPRODUCT(PRODUCT(1+P11:P$32)),4)</f>
        <v>1.6133999999999999</v>
      </c>
      <c r="AB11" s="2368">
        <f>ROUND(SUMPRODUCT(PRODUCT(1+Q11:Q$32)),4)</f>
        <v>1.3713</v>
      </c>
      <c r="AC11" s="2368"/>
      <c r="AD11" s="2370">
        <f>ROUND(AVERAGE(I11:I$33)/100,4)</f>
        <v>2.07E-2</v>
      </c>
      <c r="AE11" s="2370">
        <f>ROUND(AVERAGE(J11:J$33)/100,4)</f>
        <v>1.47E-2</v>
      </c>
      <c r="AF11" s="2370">
        <f t="shared" ref="AF11" si="76">AE11</f>
        <v>1.47E-2</v>
      </c>
      <c r="AG11" s="2370">
        <f>ROUND(AVERAGE(K11:K$33)/100,4)</f>
        <v>2.2599999999999999E-2</v>
      </c>
      <c r="AH11" s="2370">
        <f>ROUND(AVERAGE(L11:L$33)/100,4)</f>
        <v>1.44E-2</v>
      </c>
    </row>
    <row r="12" spans="1:34" s="2371" customFormat="1" ht="14.45" customHeight="1">
      <c r="A12" s="2364" t="s">
        <v>2718</v>
      </c>
      <c r="B12" s="2365">
        <f t="shared" si="57"/>
        <v>474.30670301923408</v>
      </c>
      <c r="C12" s="2365">
        <f t="shared" ref="C12" si="77">C13*(1+O12)</f>
        <v>349.50705005996491</v>
      </c>
      <c r="D12" s="2365">
        <f t="shared" ref="D12" si="78">C12</f>
        <v>349.50705005996491</v>
      </c>
      <c r="E12" s="2365">
        <f t="shared" ref="E12" si="79">E13*(1+P12)</f>
        <v>678.22831959706957</v>
      </c>
      <c r="F12" s="2365">
        <f t="shared" ref="F12" si="80">F13*(1+Q12)</f>
        <v>312.0556832169558</v>
      </c>
      <c r="G12" s="2355">
        <v>2019</v>
      </c>
      <c r="H12" s="2372">
        <v>2</v>
      </c>
      <c r="I12" s="2372">
        <v>1.53</v>
      </c>
      <c r="J12" s="2372">
        <v>1.01</v>
      </c>
      <c r="K12" s="2372">
        <v>1.62</v>
      </c>
      <c r="L12" s="2373">
        <v>1.25</v>
      </c>
      <c r="M12" s="2368"/>
      <c r="N12" s="2369">
        <f t="shared" si="62"/>
        <v>1.5300000000000001E-2</v>
      </c>
      <c r="O12" s="2370">
        <f t="shared" ref="O12" si="81">J12/100</f>
        <v>1.01E-2</v>
      </c>
      <c r="P12" s="2370">
        <f t="shared" ref="P12" si="82">K12/100</f>
        <v>1.6200000000000003E-2</v>
      </c>
      <c r="Q12" s="2370">
        <f t="shared" ref="Q12" si="83">L12/100</f>
        <v>1.2500000000000001E-2</v>
      </c>
      <c r="R12" s="2368"/>
      <c r="S12" s="2369"/>
      <c r="T12" s="2370"/>
      <c r="U12" s="2370"/>
      <c r="V12" s="2370"/>
      <c r="W12" s="2368"/>
      <c r="X12" s="2368">
        <f>ROUND(SUMPRODUCT(PRODUCT(1+N12:N$32)),4)</f>
        <v>1.5422</v>
      </c>
      <c r="Y12" s="2368">
        <f>ROUND(SUMPRODUCT(PRODUCT(1+O12:O$32)),4)</f>
        <v>1.3557999999999999</v>
      </c>
      <c r="Z12" s="2368">
        <f t="shared" ref="Z12" si="84">Y12</f>
        <v>1.3557999999999999</v>
      </c>
      <c r="AA12" s="2368">
        <f>ROUND(SUMPRODUCT(PRODUCT(1+P12:P$32)),4)</f>
        <v>1.6036999999999999</v>
      </c>
      <c r="AB12" s="2368">
        <f>ROUND(SUMPRODUCT(PRODUCT(1+Q12:Q$32)),4)</f>
        <v>1.3573</v>
      </c>
      <c r="AC12" s="2368"/>
      <c r="AD12" s="2370">
        <f>ROUND(AVERAGE(I12:I$33)/100,4)</f>
        <v>2.1299999999999999E-2</v>
      </c>
      <c r="AE12" s="2370">
        <f>ROUND(AVERAGE(J12:J$33)/100,4)</f>
        <v>1.4999999999999999E-2</v>
      </c>
      <c r="AF12" s="2370">
        <f t="shared" ref="AF12" si="85">AE12</f>
        <v>1.4999999999999999E-2</v>
      </c>
      <c r="AG12" s="2370">
        <f>ROUND(AVERAGE(K12:K$33)/100,4)</f>
        <v>2.3300000000000001E-2</v>
      </c>
      <c r="AH12" s="2370">
        <f>ROUND(AVERAGE(L12:L$33)/100,4)</f>
        <v>1.46E-2</v>
      </c>
    </row>
    <row r="13" spans="1:34" s="2371" customFormat="1" ht="14.45" customHeight="1" thickBot="1">
      <c r="A13" s="2364" t="s">
        <v>2719</v>
      </c>
      <c r="B13" s="2365">
        <f t="shared" si="57"/>
        <v>467.15916775261894</v>
      </c>
      <c r="C13" s="2365">
        <f t="shared" ref="C13" si="86">C14*(1+O13)</f>
        <v>346.01232557169084</v>
      </c>
      <c r="D13" s="2365">
        <f t="shared" ref="D13" si="87">C13</f>
        <v>346.01232557169084</v>
      </c>
      <c r="E13" s="2365">
        <f t="shared" ref="E13" si="88">E14*(1+P13)</f>
        <v>667.41617752122568</v>
      </c>
      <c r="F13" s="2365">
        <f t="shared" ref="F13" si="89">F14*(1+Q13)</f>
        <v>308.20314391798104</v>
      </c>
      <c r="G13" s="2355">
        <v>2019</v>
      </c>
      <c r="H13" s="2366">
        <v>1</v>
      </c>
      <c r="I13" s="2366">
        <v>0.6</v>
      </c>
      <c r="J13" s="2366">
        <v>0.37</v>
      </c>
      <c r="K13" s="2366">
        <v>0.63</v>
      </c>
      <c r="L13" s="2367">
        <v>1.1299999999999999</v>
      </c>
      <c r="M13" s="2368"/>
      <c r="N13" s="2369">
        <f t="shared" si="62"/>
        <v>6.0000000000000001E-3</v>
      </c>
      <c r="O13" s="2370">
        <f t="shared" ref="O13" si="90">J13/100</f>
        <v>3.7000000000000002E-3</v>
      </c>
      <c r="P13" s="2370">
        <f t="shared" ref="P13" si="91">K13/100</f>
        <v>6.3E-3</v>
      </c>
      <c r="Q13" s="2370">
        <f t="shared" ref="Q13" si="92">L13/100</f>
        <v>1.1299999999999999E-2</v>
      </c>
      <c r="R13" s="2368"/>
      <c r="S13" s="2369">
        <f>B13/B14-1</f>
        <v>6.0000000000000053E-3</v>
      </c>
      <c r="T13" s="2370">
        <f>C13/C14-1</f>
        <v>3.7000000000000366E-3</v>
      </c>
      <c r="U13" s="2370">
        <f>E13/E14-1</f>
        <v>6.2999999999999723E-3</v>
      </c>
      <c r="V13" s="2370">
        <f>F13/F14-1</f>
        <v>1.1300000000000088E-2</v>
      </c>
      <c r="W13" s="2368"/>
      <c r="X13" s="2368">
        <f>ROUND(SUMPRODUCT(PRODUCT(1+N13:N$32)),4)</f>
        <v>1.5189999999999999</v>
      </c>
      <c r="Y13" s="2368">
        <f>ROUND(SUMPRODUCT(PRODUCT(1+O13:O$32)),4)</f>
        <v>1.3423</v>
      </c>
      <c r="Z13" s="2368">
        <f t="shared" ref="Z13" si="93">Y13</f>
        <v>1.3423</v>
      </c>
      <c r="AA13" s="2368">
        <f>ROUND(SUMPRODUCT(PRODUCT(1+P13:P$32)),4)</f>
        <v>1.5782</v>
      </c>
      <c r="AB13" s="2368">
        <f>ROUND(SUMPRODUCT(PRODUCT(1+Q13:Q$32)),4)</f>
        <v>1.3405</v>
      </c>
      <c r="AC13" s="2368"/>
      <c r="AD13" s="2370">
        <f>ROUND(AVERAGE(I13:I$33)/100,4)</f>
        <v>2.1600000000000001E-2</v>
      </c>
      <c r="AE13" s="2370">
        <f>ROUND(AVERAGE(J13:J$33)/100,4)</f>
        <v>1.5299999999999999E-2</v>
      </c>
      <c r="AF13" s="2370">
        <f t="shared" ref="AF13" si="94">AE13</f>
        <v>1.5299999999999999E-2</v>
      </c>
      <c r="AG13" s="2370">
        <f>ROUND(AVERAGE(K13:K$33)/100,4)</f>
        <v>2.3699999999999999E-2</v>
      </c>
      <c r="AH13" s="2370">
        <f>ROUND(AVERAGE(L13:L$33)/100,4)</f>
        <v>1.47E-2</v>
      </c>
    </row>
    <row r="14" spans="1:34">
      <c r="A14" s="2364" t="s">
        <v>2715</v>
      </c>
      <c r="B14" s="2374">
        <f t="shared" si="57"/>
        <v>464.37293017158942</v>
      </c>
      <c r="C14" s="2374">
        <f t="shared" ref="C14" si="95">C15*(1+O14)</f>
        <v>344.73679941385956</v>
      </c>
      <c r="D14" s="2374">
        <f t="shared" ref="D14" si="96">C14</f>
        <v>344.73679941385956</v>
      </c>
      <c r="E14" s="2374">
        <f t="shared" ref="E14" si="97">E15*(1+P14)</f>
        <v>663.2377795103107</v>
      </c>
      <c r="F14" s="2375">
        <f t="shared" ref="F14" si="98">F15*(1+Q14)</f>
        <v>304.75936311478398</v>
      </c>
      <c r="G14" s="3563">
        <v>2018</v>
      </c>
      <c r="H14" s="2372">
        <v>4</v>
      </c>
      <c r="I14" s="2372">
        <v>0.96</v>
      </c>
      <c r="J14" s="2372">
        <v>1.03</v>
      </c>
      <c r="K14" s="2372">
        <v>0.92</v>
      </c>
      <c r="L14" s="2373">
        <v>1.29</v>
      </c>
      <c r="N14" s="2376">
        <f t="shared" si="62"/>
        <v>9.5999999999999992E-3</v>
      </c>
      <c r="O14" s="2377">
        <f t="shared" ref="O14" si="99">J14/100</f>
        <v>1.03E-2</v>
      </c>
      <c r="P14" s="2377">
        <f t="shared" ref="P14" si="100">K14/100</f>
        <v>9.1999999999999998E-3</v>
      </c>
      <c r="Q14" s="2377">
        <f t="shared" ref="Q14" si="101">L14/100</f>
        <v>1.29E-2</v>
      </c>
      <c r="R14" s="2378"/>
      <c r="S14" s="2379"/>
      <c r="T14" s="2380"/>
      <c r="U14" s="2380"/>
      <c r="V14" s="2380"/>
      <c r="X14" s="2350">
        <f>ROUND(SUMPRODUCT(PRODUCT(1+N14:N$32)),4)</f>
        <v>1.5099</v>
      </c>
      <c r="Y14" s="2350">
        <f>ROUND(SUMPRODUCT(PRODUCT(1+O14:O$32)),4)</f>
        <v>1.3372999999999999</v>
      </c>
      <c r="Z14" s="2350">
        <f t="shared" ref="Z14" si="102">Y14</f>
        <v>1.3372999999999999</v>
      </c>
      <c r="AA14" s="2350">
        <f>ROUND(SUMPRODUCT(PRODUCT(1+P14:P$32)),4)</f>
        <v>1.5683</v>
      </c>
      <c r="AB14" s="2350">
        <f>ROUND(SUMPRODUCT(PRODUCT(1+Q14:Q$32)),4)</f>
        <v>1.3255999999999999</v>
      </c>
      <c r="AD14" s="2351">
        <f>ROUND(AVERAGE(I14:I$33)/100,4)</f>
        <v>2.24E-2</v>
      </c>
      <c r="AE14" s="2351">
        <f>ROUND(AVERAGE(J14:J$33)/100,4)</f>
        <v>1.5800000000000002E-2</v>
      </c>
      <c r="AF14" s="2351">
        <f t="shared" ref="AF14" si="103">AE14</f>
        <v>1.5800000000000002E-2</v>
      </c>
      <c r="AG14" s="2351">
        <f>ROUND(AVERAGE(K14:K$33)/100,4)</f>
        <v>2.4500000000000001E-2</v>
      </c>
      <c r="AH14" s="2351">
        <f>ROUND(AVERAGE(L14:L$33)/100,4)</f>
        <v>1.49E-2</v>
      </c>
    </row>
    <row r="15" spans="1:34" s="2383" customFormat="1" ht="14.45" customHeight="1">
      <c r="A15" s="2364" t="s">
        <v>2710</v>
      </c>
      <c r="B15" s="2381">
        <f t="shared" si="57"/>
        <v>459.95733971036987</v>
      </c>
      <c r="C15" s="2381">
        <f t="shared" ref="C15" si="104">C16*(1+O15)</f>
        <v>341.22221064422405</v>
      </c>
      <c r="D15" s="2381">
        <f t="shared" ref="D15" si="105">C15</f>
        <v>341.22221064422405</v>
      </c>
      <c r="E15" s="2381">
        <f t="shared" ref="E15" si="106">E16*(1+P15)</f>
        <v>657.19161663724799</v>
      </c>
      <c r="F15" s="2381">
        <f t="shared" ref="F15" si="107">F16*(1+Q15)</f>
        <v>300.87803644464805</v>
      </c>
      <c r="G15" s="3563"/>
      <c r="H15" s="2366">
        <v>3</v>
      </c>
      <c r="I15" s="2366">
        <v>1.51</v>
      </c>
      <c r="J15" s="2366">
        <v>1.41</v>
      </c>
      <c r="K15" s="2366">
        <v>1.52</v>
      </c>
      <c r="L15" s="2367">
        <v>1.74</v>
      </c>
      <c r="M15" s="2350"/>
      <c r="N15" s="2382">
        <f t="shared" si="62"/>
        <v>1.5100000000000001E-2</v>
      </c>
      <c r="O15" s="2351">
        <f t="shared" ref="O15" si="108">J15/100</f>
        <v>1.41E-2</v>
      </c>
      <c r="P15" s="2351">
        <f t="shared" ref="P15" si="109">K15/100</f>
        <v>1.52E-2</v>
      </c>
      <c r="Q15" s="2351">
        <f t="shared" ref="Q15" si="110">L15/100</f>
        <v>1.7399999999999999E-2</v>
      </c>
      <c r="R15" s="2350"/>
      <c r="S15" s="2382"/>
      <c r="T15" s="2351"/>
      <c r="U15" s="2351"/>
      <c r="V15" s="2351"/>
      <c r="W15" s="2350"/>
      <c r="X15" s="2350">
        <f>ROUND(SUMPRODUCT(PRODUCT(1+N15:N$32)),4)</f>
        <v>1.4956</v>
      </c>
      <c r="Y15" s="2350">
        <f>ROUND(SUMPRODUCT(PRODUCT(1+O15:O$32)),4)</f>
        <v>1.3237000000000001</v>
      </c>
      <c r="Z15" s="2350">
        <f t="shared" ref="Z15" si="111">Y15</f>
        <v>1.3237000000000001</v>
      </c>
      <c r="AA15" s="2350">
        <f>ROUND(SUMPRODUCT(PRODUCT(1+P15:P$32)),4)</f>
        <v>1.554</v>
      </c>
      <c r="AB15" s="2350">
        <f>ROUND(SUMPRODUCT(PRODUCT(1+Q15:Q$32)),4)</f>
        <v>1.3087</v>
      </c>
      <c r="AC15" s="2350"/>
      <c r="AD15" s="2351">
        <f>ROUND(AVERAGE(I15:I$33)/100,4)</f>
        <v>2.3099999999999999E-2</v>
      </c>
      <c r="AE15" s="2351">
        <f>ROUND(AVERAGE(J15:J$33)/100,4)</f>
        <v>1.61E-2</v>
      </c>
      <c r="AF15" s="2351">
        <f t="shared" ref="AF15" si="112">AE15</f>
        <v>1.61E-2</v>
      </c>
      <c r="AG15" s="2351">
        <f>ROUND(AVERAGE(K15:K$33)/100,4)</f>
        <v>2.53E-2</v>
      </c>
      <c r="AH15" s="2351">
        <f>ROUND(AVERAGE(L15:L$33)/100,4)</f>
        <v>1.4999999999999999E-2</v>
      </c>
    </row>
    <row r="16" spans="1:34" s="2383" customFormat="1" ht="14.45" customHeight="1">
      <c r="A16" s="2364" t="s">
        <v>2709</v>
      </c>
      <c r="B16" s="2381">
        <f t="shared" ref="B16:B21" si="113">B17*(1+N16)</f>
        <v>453.11529869999993</v>
      </c>
      <c r="C16" s="2381">
        <f t="shared" ref="C16" si="114">C17*(1+O16)</f>
        <v>336.47787264000004</v>
      </c>
      <c r="D16" s="2381">
        <f t="shared" ref="D16" si="115">C16</f>
        <v>336.47787264000004</v>
      </c>
      <c r="E16" s="2381">
        <f t="shared" ref="E16" si="116">E17*(1+P16)</f>
        <v>647.35186823999993</v>
      </c>
      <c r="F16" s="2381">
        <f t="shared" ref="F16" si="117">F17*(1+Q16)</f>
        <v>295.73229452000004</v>
      </c>
      <c r="G16" s="3563"/>
      <c r="H16" s="2384">
        <v>2</v>
      </c>
      <c r="I16" s="2384">
        <v>1.49</v>
      </c>
      <c r="J16" s="2384">
        <v>0.96</v>
      </c>
      <c r="K16" s="2384">
        <v>1.58</v>
      </c>
      <c r="L16" s="2385">
        <v>2.44</v>
      </c>
      <c r="M16" s="2350"/>
      <c r="N16" s="2382">
        <f t="shared" ref="N16" si="118">I16/100</f>
        <v>1.49E-2</v>
      </c>
      <c r="O16" s="2351">
        <f t="shared" ref="O16" si="119">J16/100</f>
        <v>9.5999999999999992E-3</v>
      </c>
      <c r="P16" s="2351">
        <f t="shared" ref="P16" si="120">K16/100</f>
        <v>1.5800000000000002E-2</v>
      </c>
      <c r="Q16" s="2351">
        <f t="shared" ref="Q16" si="121">L16/100</f>
        <v>2.4399999999999998E-2</v>
      </c>
      <c r="R16" s="2350"/>
      <c r="S16" s="2382"/>
      <c r="T16" s="2351"/>
      <c r="U16" s="2351"/>
      <c r="V16" s="2351"/>
      <c r="W16" s="2350"/>
      <c r="X16" s="2350">
        <f>ROUND(SUMPRODUCT(PRODUCT(1+N16:N$32)),4)</f>
        <v>1.4733000000000001</v>
      </c>
      <c r="Y16" s="2350">
        <f>ROUND(SUMPRODUCT(PRODUCT(1+O16:O$32)),4)</f>
        <v>1.3052999999999999</v>
      </c>
      <c r="Z16" s="2350">
        <f t="shared" ref="Z16" si="122">Y16</f>
        <v>1.3052999999999999</v>
      </c>
      <c r="AA16" s="2350">
        <f>ROUND(SUMPRODUCT(PRODUCT(1+P16:P$32)),4)</f>
        <v>1.5306999999999999</v>
      </c>
      <c r="AB16" s="2350">
        <f>ROUND(SUMPRODUCT(PRODUCT(1+Q16:Q$32)),4)</f>
        <v>1.2863</v>
      </c>
      <c r="AC16" s="2350"/>
      <c r="AD16" s="2351">
        <f>ROUND(AVERAGE(I16:I$33)/100,4)</f>
        <v>2.35E-2</v>
      </c>
      <c r="AE16" s="2351">
        <f>ROUND(AVERAGE(J16:J$33)/100,4)</f>
        <v>1.6199999999999999E-2</v>
      </c>
      <c r="AF16" s="2351">
        <f t="shared" ref="AF16" si="123">AE16</f>
        <v>1.6199999999999999E-2</v>
      </c>
      <c r="AG16" s="2351">
        <f>ROUND(AVERAGE(K16:K$33)/100,4)</f>
        <v>2.5899999999999999E-2</v>
      </c>
      <c r="AH16" s="2351">
        <f>ROUND(AVERAGE(L16:L$33)/100,4)</f>
        <v>1.49E-2</v>
      </c>
    </row>
    <row r="17" spans="1:34" s="2383" customFormat="1" ht="15" customHeight="1" thickBot="1">
      <c r="A17" s="2364" t="s">
        <v>2706</v>
      </c>
      <c r="B17" s="2381">
        <f t="shared" si="113"/>
        <v>446.46299999999997</v>
      </c>
      <c r="C17" s="2381">
        <f t="shared" ref="C17" si="124">C18*(1+O17)</f>
        <v>333.27840000000003</v>
      </c>
      <c r="D17" s="2381">
        <f t="shared" ref="D17:D22" si="125">C17</f>
        <v>333.27840000000003</v>
      </c>
      <c r="E17" s="2381">
        <f t="shared" ref="E17" si="126">E18*(1+P17)</f>
        <v>637.28279999999995</v>
      </c>
      <c r="F17" s="2381">
        <f t="shared" ref="F17" si="127">F18*(1+Q17)</f>
        <v>288.68830000000003</v>
      </c>
      <c r="G17" s="3572"/>
      <c r="H17" s="2366">
        <v>1</v>
      </c>
      <c r="I17" s="2366">
        <v>1.7</v>
      </c>
      <c r="J17" s="2366">
        <v>1.92</v>
      </c>
      <c r="K17" s="2366">
        <v>1.64</v>
      </c>
      <c r="L17" s="2367">
        <v>2.0099999999999998</v>
      </c>
      <c r="M17" s="2350"/>
      <c r="N17" s="2382">
        <f t="shared" ref="N17:N22" si="128">I17/100</f>
        <v>1.7000000000000001E-2</v>
      </c>
      <c r="O17" s="2351">
        <f t="shared" ref="O17" si="129">J17/100</f>
        <v>1.9199999999999998E-2</v>
      </c>
      <c r="P17" s="2351">
        <f t="shared" ref="P17" si="130">K17/100</f>
        <v>1.6399999999999998E-2</v>
      </c>
      <c r="Q17" s="2351">
        <f t="shared" ref="Q17" si="131">L17/100</f>
        <v>2.0099999999999996E-2</v>
      </c>
      <c r="R17" s="2350"/>
      <c r="S17" s="2386">
        <f>B17/B18-1</f>
        <v>1.6999999999999904E-2</v>
      </c>
      <c r="T17" s="2387">
        <f>C17/C18-1</f>
        <v>1.9200000000000106E-2</v>
      </c>
      <c r="U17" s="2387">
        <f>E17/E18-1</f>
        <v>1.639999999999997E-2</v>
      </c>
      <c r="V17" s="2387">
        <f>F17/F18-1</f>
        <v>2.0100000000000007E-2</v>
      </c>
      <c r="W17" s="2350"/>
      <c r="X17" s="2350">
        <f>ROUND(SUMPRODUCT(PRODUCT(1+N17:N$32)),4)</f>
        <v>1.4517</v>
      </c>
      <c r="Y17" s="2350">
        <f>ROUND(SUMPRODUCT(PRODUCT(1+O17:O$32)),4)</f>
        <v>1.2928999999999999</v>
      </c>
      <c r="Z17" s="2350">
        <f t="shared" ref="Z17" si="132">Y17</f>
        <v>1.2928999999999999</v>
      </c>
      <c r="AA17" s="2350">
        <f>ROUND(SUMPRODUCT(PRODUCT(1+P17:P$32)),4)</f>
        <v>1.5068999999999999</v>
      </c>
      <c r="AB17" s="2350">
        <f>ROUND(SUMPRODUCT(PRODUCT(1+Q17:Q$32)),4)</f>
        <v>1.2557</v>
      </c>
      <c r="AC17" s="2350"/>
      <c r="AD17" s="2351">
        <f>ROUND(AVERAGE(I17:I$33)/100,4)</f>
        <v>2.4E-2</v>
      </c>
      <c r="AE17" s="2351">
        <f>ROUND(AVERAGE(J17:J$33)/100,4)</f>
        <v>1.66E-2</v>
      </c>
      <c r="AF17" s="2351">
        <f t="shared" ref="AF17" si="133">AE17</f>
        <v>1.66E-2</v>
      </c>
      <c r="AG17" s="2351">
        <f>ROUND(AVERAGE(K17:K$33)/100,4)</f>
        <v>2.6499999999999999E-2</v>
      </c>
      <c r="AH17" s="2351">
        <f>ROUND(AVERAGE(L17:L$33)/100,4)</f>
        <v>1.43E-2</v>
      </c>
    </row>
    <row r="18" spans="1:34">
      <c r="A18" s="2364" t="s">
        <v>2703</v>
      </c>
      <c r="B18" s="2374">
        <v>439</v>
      </c>
      <c r="C18" s="2374">
        <v>327</v>
      </c>
      <c r="D18" s="2374">
        <f t="shared" si="125"/>
        <v>327</v>
      </c>
      <c r="E18" s="2374">
        <v>627</v>
      </c>
      <c r="F18" s="2375">
        <v>283</v>
      </c>
      <c r="G18" s="3568">
        <v>2017</v>
      </c>
      <c r="H18" s="2372">
        <v>4</v>
      </c>
      <c r="I18" s="2372">
        <v>1.71</v>
      </c>
      <c r="J18" s="2372">
        <v>1.78</v>
      </c>
      <c r="K18" s="2372">
        <v>1.71</v>
      </c>
      <c r="L18" s="2373">
        <v>1.43</v>
      </c>
      <c r="N18" s="2376">
        <f t="shared" si="128"/>
        <v>1.7100000000000001E-2</v>
      </c>
      <c r="O18" s="2377">
        <f t="shared" ref="O18" si="134">J18/100</f>
        <v>1.78E-2</v>
      </c>
      <c r="P18" s="2377">
        <f t="shared" ref="P18" si="135">K18/100</f>
        <v>1.7100000000000001E-2</v>
      </c>
      <c r="Q18" s="2377">
        <f t="shared" ref="Q18" si="136">L18/100</f>
        <v>1.43E-2</v>
      </c>
      <c r="R18" s="2378"/>
      <c r="S18" s="2379"/>
      <c r="T18" s="2380"/>
      <c r="U18" s="2380"/>
      <c r="V18" s="2380"/>
      <c r="X18" s="2350">
        <f>ROUND(SUMPRODUCT(PRODUCT(1+N18:N$32)),4)</f>
        <v>1.4274</v>
      </c>
      <c r="Y18" s="2350">
        <f>ROUND(SUMPRODUCT(PRODUCT(1+O18:O$32)),4)</f>
        <v>1.2685</v>
      </c>
      <c r="Z18" s="2350">
        <f t="shared" si="0"/>
        <v>1.2685</v>
      </c>
      <c r="AA18" s="2350">
        <f>ROUND(SUMPRODUCT(PRODUCT(1+P18:P$32)),4)</f>
        <v>1.4825999999999999</v>
      </c>
      <c r="AB18" s="2350">
        <f>ROUND(SUMPRODUCT(PRODUCT(1+Q18:Q$32)),4)</f>
        <v>1.2309000000000001</v>
      </c>
      <c r="AD18" s="2351">
        <f>ROUND(AVERAGE(I18:I$33)/100,4)</f>
        <v>2.4500000000000001E-2</v>
      </c>
      <c r="AE18" s="2351">
        <f>ROUND(AVERAGE(J18:J$33)/100,4)</f>
        <v>1.6500000000000001E-2</v>
      </c>
      <c r="AF18" s="2351">
        <f t="shared" si="1"/>
        <v>1.6500000000000001E-2</v>
      </c>
      <c r="AG18" s="2351">
        <f>ROUND(AVERAGE(K18:K$33)/100,4)</f>
        <v>2.7099999999999999E-2</v>
      </c>
      <c r="AH18" s="2351">
        <f>ROUND(AVERAGE(L18:L$33)/100,4)</f>
        <v>1.3899999999999999E-2</v>
      </c>
    </row>
    <row r="19" spans="1:34" s="2383" customFormat="1" ht="14.45" customHeight="1">
      <c r="A19" s="2364" t="s">
        <v>2700</v>
      </c>
      <c r="B19" s="2381">
        <f t="shared" si="113"/>
        <v>431.80730811680002</v>
      </c>
      <c r="C19" s="2381">
        <f t="shared" ref="C19" si="137">C20*(1+O19)</f>
        <v>320.57880516480003</v>
      </c>
      <c r="D19" s="2381">
        <f t="shared" si="125"/>
        <v>320.57880516480003</v>
      </c>
      <c r="E19" s="2381">
        <f t="shared" ref="E19:F21" si="138">E20*(1+P19)</f>
        <v>615.96110553196797</v>
      </c>
      <c r="F19" s="2381">
        <f t="shared" si="138"/>
        <v>279.46777300108801</v>
      </c>
      <c r="G19" s="3563"/>
      <c r="H19" s="2366">
        <v>3</v>
      </c>
      <c r="I19" s="2366">
        <v>2.98</v>
      </c>
      <c r="J19" s="2366">
        <v>2.11</v>
      </c>
      <c r="K19" s="2366">
        <v>3.24</v>
      </c>
      <c r="L19" s="2367">
        <v>1.72</v>
      </c>
      <c r="M19" s="2350"/>
      <c r="N19" s="2382">
        <f t="shared" si="128"/>
        <v>2.98E-2</v>
      </c>
      <c r="O19" s="2388">
        <f t="shared" ref="O19" si="139">J19/100</f>
        <v>2.1099999999999997E-2</v>
      </c>
      <c r="P19" s="2388">
        <f t="shared" ref="P19" si="140">K19/100</f>
        <v>3.2400000000000005E-2</v>
      </c>
      <c r="Q19" s="2388">
        <f t="shared" ref="Q19" si="141">L19/100</f>
        <v>1.72E-2</v>
      </c>
      <c r="R19" s="2350"/>
      <c r="S19" s="2382"/>
      <c r="T19" s="2351"/>
      <c r="U19" s="2351"/>
      <c r="V19" s="2351"/>
      <c r="W19" s="2350"/>
      <c r="X19" s="2350">
        <f>ROUND(SUMPRODUCT(PRODUCT(1+N19:N$32)),4)</f>
        <v>1.4034</v>
      </c>
      <c r="Y19" s="2350">
        <f>ROUND(SUMPRODUCT(PRODUCT(1+O19:O$32)),4)</f>
        <v>1.2463</v>
      </c>
      <c r="Z19" s="2350">
        <f t="shared" si="0"/>
        <v>1.2463</v>
      </c>
      <c r="AA19" s="2350">
        <f>ROUND(SUMPRODUCT(PRODUCT(1+P19:P$32)),4)</f>
        <v>1.4577</v>
      </c>
      <c r="AB19" s="2350">
        <f>ROUND(SUMPRODUCT(PRODUCT(1+Q19:Q$32)),4)</f>
        <v>1.2136</v>
      </c>
      <c r="AC19" s="2350"/>
      <c r="AD19" s="2351">
        <f>ROUND(AVERAGE(I19:I$33)/100,4)</f>
        <v>2.4899999999999999E-2</v>
      </c>
      <c r="AE19" s="2351">
        <f>ROUND(AVERAGE(J19:J$33)/100,4)</f>
        <v>1.6400000000000001E-2</v>
      </c>
      <c r="AF19" s="2351">
        <f t="shared" si="1"/>
        <v>1.6400000000000001E-2</v>
      </c>
      <c r="AG19" s="2351">
        <f>ROUND(AVERAGE(K19:K$33)/100,4)</f>
        <v>2.7799999999999998E-2</v>
      </c>
      <c r="AH19" s="2351">
        <f>ROUND(AVERAGE(L19:L$33)/100,4)</f>
        <v>1.3899999999999999E-2</v>
      </c>
    </row>
    <row r="20" spans="1:34" s="2359" customFormat="1" ht="14.45" customHeight="1">
      <c r="A20" s="2364" t="s">
        <v>1246</v>
      </c>
      <c r="B20" s="2381">
        <f t="shared" si="113"/>
        <v>419.31181600000002</v>
      </c>
      <c r="C20" s="2381">
        <f t="shared" ref="C20" si="142">C21*(1+O20)</f>
        <v>313.95436800000004</v>
      </c>
      <c r="D20" s="2381">
        <f t="shared" si="125"/>
        <v>313.95436800000004</v>
      </c>
      <c r="E20" s="2381">
        <f t="shared" si="138"/>
        <v>596.63028431999999</v>
      </c>
      <c r="F20" s="2381">
        <f t="shared" si="138"/>
        <v>274.74220703999998</v>
      </c>
      <c r="G20" s="3563"/>
      <c r="H20" s="2384">
        <v>2</v>
      </c>
      <c r="I20" s="2384">
        <v>3.4</v>
      </c>
      <c r="J20" s="2384">
        <v>2</v>
      </c>
      <c r="K20" s="2384">
        <v>3.82</v>
      </c>
      <c r="L20" s="2385">
        <v>1.68</v>
      </c>
      <c r="M20" s="2350"/>
      <c r="N20" s="2382">
        <f t="shared" si="128"/>
        <v>3.4000000000000002E-2</v>
      </c>
      <c r="O20" s="2388">
        <f t="shared" ref="O20" si="143">J20/100</f>
        <v>0.02</v>
      </c>
      <c r="P20" s="2388">
        <f t="shared" ref="P20" si="144">K20/100</f>
        <v>3.8199999999999998E-2</v>
      </c>
      <c r="Q20" s="2388">
        <f t="shared" ref="Q20" si="145">L20/100</f>
        <v>1.6799999999999999E-2</v>
      </c>
      <c r="R20" s="2350"/>
      <c r="S20" s="2382"/>
      <c r="T20" s="2351"/>
      <c r="U20" s="2351"/>
      <c r="V20" s="2351"/>
      <c r="W20" s="2350"/>
      <c r="X20" s="2389">
        <f>ROUND(SUMPRODUCT(PRODUCT(1+N20:N$32)),4)</f>
        <v>1.3628</v>
      </c>
      <c r="Y20" s="2389">
        <f>ROUND(SUMPRODUCT(PRODUCT(1+O20:O$32)),4)</f>
        <v>1.2205999999999999</v>
      </c>
      <c r="Z20" s="2389">
        <f t="shared" si="0"/>
        <v>1.2205999999999999</v>
      </c>
      <c r="AA20" s="2389">
        <f>ROUND(SUMPRODUCT(PRODUCT(1+P20:P$32)),4)</f>
        <v>1.4118999999999999</v>
      </c>
      <c r="AB20" s="2389">
        <f>ROUND(SUMPRODUCT(PRODUCT(1+Q20:Q$32)),4)</f>
        <v>1.1930000000000001</v>
      </c>
      <c r="AC20" s="2344"/>
      <c r="AD20" s="2390">
        <f>ROUND(AVERAGE(I20:I$33)/100,4)</f>
        <v>2.46E-2</v>
      </c>
      <c r="AE20" s="2390">
        <f>ROUND(AVERAGE(J20:J$33)/100,4)</f>
        <v>1.6E-2</v>
      </c>
      <c r="AF20" s="2390">
        <f t="shared" si="1"/>
        <v>1.6E-2</v>
      </c>
      <c r="AG20" s="2390">
        <f>ROUND(AVERAGE(K20:K$33)/100,4)</f>
        <v>2.75E-2</v>
      </c>
      <c r="AH20" s="2390">
        <f>ROUND(AVERAGE(L20:L$33)/100,4)</f>
        <v>1.37E-2</v>
      </c>
    </row>
    <row r="21" spans="1:34" s="2383" customFormat="1" ht="15" customHeight="1" thickBot="1">
      <c r="A21" s="2364" t="s">
        <v>1036</v>
      </c>
      <c r="B21" s="2381">
        <f t="shared" si="113"/>
        <v>405.524</v>
      </c>
      <c r="C21" s="2381">
        <f t="shared" ref="C21" si="146">C22*(1+O21)</f>
        <v>307.79840000000002</v>
      </c>
      <c r="D21" s="2381">
        <f t="shared" si="125"/>
        <v>307.79840000000002</v>
      </c>
      <c r="E21" s="2381">
        <f t="shared" si="138"/>
        <v>574.67759999999998</v>
      </c>
      <c r="F21" s="2381">
        <f t="shared" si="138"/>
        <v>270.20280000000002</v>
      </c>
      <c r="G21" s="3572"/>
      <c r="H21" s="2366">
        <v>1</v>
      </c>
      <c r="I21" s="2366">
        <v>3.45</v>
      </c>
      <c r="J21" s="2366">
        <v>1.92</v>
      </c>
      <c r="K21" s="2366">
        <v>3.92</v>
      </c>
      <c r="L21" s="2367">
        <v>1.58</v>
      </c>
      <c r="M21" s="2350"/>
      <c r="N21" s="2386">
        <f t="shared" si="128"/>
        <v>3.4500000000000003E-2</v>
      </c>
      <c r="O21" s="2387">
        <f t="shared" ref="O21:Q36" si="147">J21/100</f>
        <v>1.9199999999999998E-2</v>
      </c>
      <c r="P21" s="2387">
        <f t="shared" si="147"/>
        <v>3.9199999999999999E-2</v>
      </c>
      <c r="Q21" s="2387">
        <f t="shared" si="147"/>
        <v>1.5800000000000002E-2</v>
      </c>
      <c r="R21" s="2350"/>
      <c r="S21" s="2386">
        <f>B21/B22-1</f>
        <v>3.4499999999999975E-2</v>
      </c>
      <c r="T21" s="2387">
        <f>C21/C22-1</f>
        <v>1.9200000000000106E-2</v>
      </c>
      <c r="U21" s="2387">
        <f>E21/E22-1</f>
        <v>3.9199999999999902E-2</v>
      </c>
      <c r="V21" s="2387">
        <f>F21/F22-1</f>
        <v>1.5800000000000036E-2</v>
      </c>
      <c r="W21" s="2350"/>
      <c r="X21" s="2350">
        <f>ROUND(SUMPRODUCT(PRODUCT(1+N21:N$32)),4)</f>
        <v>1.3180000000000001</v>
      </c>
      <c r="Y21" s="2350">
        <f>ROUND(SUMPRODUCT(PRODUCT(1+O21:O$32)),4)</f>
        <v>1.1966000000000001</v>
      </c>
      <c r="Z21" s="2350">
        <f t="shared" si="0"/>
        <v>1.1966000000000001</v>
      </c>
      <c r="AA21" s="2350">
        <f>ROUND(SUMPRODUCT(PRODUCT(1+P21:P$32)),4)</f>
        <v>1.36</v>
      </c>
      <c r="AB21" s="2350">
        <f>ROUND(SUMPRODUCT(PRODUCT(1+Q21:Q$32)),4)</f>
        <v>1.1733</v>
      </c>
      <c r="AC21" s="2350"/>
      <c r="AD21" s="2351">
        <f>ROUND(AVERAGE(I21:I$33)/100,4)</f>
        <v>2.3900000000000001E-2</v>
      </c>
      <c r="AE21" s="2351">
        <f>ROUND(AVERAGE(J21:J$33)/100,4)</f>
        <v>1.5699999999999999E-2</v>
      </c>
      <c r="AF21" s="2351">
        <f t="shared" si="1"/>
        <v>1.5699999999999999E-2</v>
      </c>
      <c r="AG21" s="2351">
        <f>ROUND(AVERAGE(K21:K$33)/100,4)</f>
        <v>2.6599999999999999E-2</v>
      </c>
      <c r="AH21" s="2351">
        <f>ROUND(AVERAGE(L21:L$33)/100,4)</f>
        <v>1.34E-2</v>
      </c>
    </row>
    <row r="22" spans="1:34">
      <c r="A22" s="2364" t="s">
        <v>1037</v>
      </c>
      <c r="B22" s="2374">
        <v>392</v>
      </c>
      <c r="C22" s="2374">
        <v>302</v>
      </c>
      <c r="D22" s="2374">
        <f t="shared" si="125"/>
        <v>302</v>
      </c>
      <c r="E22" s="2374">
        <v>553</v>
      </c>
      <c r="F22" s="2375">
        <v>266</v>
      </c>
      <c r="G22" s="3568">
        <v>2016</v>
      </c>
      <c r="H22" s="2372">
        <v>4</v>
      </c>
      <c r="I22" s="2372">
        <v>4.5599999999999996</v>
      </c>
      <c r="J22" s="2372">
        <v>2.15</v>
      </c>
      <c r="K22" s="2372">
        <v>5.32</v>
      </c>
      <c r="L22" s="2373">
        <v>1.57</v>
      </c>
      <c r="N22" s="2382">
        <f t="shared" si="128"/>
        <v>4.5599999999999995E-2</v>
      </c>
      <c r="O22" s="2351">
        <f t="shared" si="147"/>
        <v>2.1499999999999998E-2</v>
      </c>
      <c r="P22" s="2351">
        <f t="shared" si="147"/>
        <v>5.3200000000000004E-2</v>
      </c>
      <c r="Q22" s="2351">
        <f t="shared" si="147"/>
        <v>1.5700000000000002E-2</v>
      </c>
      <c r="R22" s="2378"/>
      <c r="S22" s="2379"/>
      <c r="T22" s="2380"/>
      <c r="U22" s="2380"/>
      <c r="V22" s="2380"/>
      <c r="X22" s="2350">
        <f>ROUND(SUMPRODUCT(PRODUCT(1+N22:N$32)),4)</f>
        <v>1.274</v>
      </c>
      <c r="Y22" s="2350">
        <f>ROUND(SUMPRODUCT(PRODUCT(1+O22:O$32)),4)</f>
        <v>1.1740999999999999</v>
      </c>
      <c r="Z22" s="2350">
        <f t="shared" si="0"/>
        <v>1.1740999999999999</v>
      </c>
      <c r="AA22" s="2350">
        <f>ROUND(SUMPRODUCT(PRODUCT(1+P22:P$32)),4)</f>
        <v>1.3087</v>
      </c>
      <c r="AB22" s="2350">
        <f>ROUND(SUMPRODUCT(PRODUCT(1+Q22:Q$32)),4)</f>
        <v>1.1551</v>
      </c>
      <c r="AD22" s="2351">
        <f>ROUND(AVERAGE(I22:I$33)/100,4)</f>
        <v>2.3E-2</v>
      </c>
      <c r="AE22" s="2351">
        <f>ROUND(AVERAGE(J22:J$33)/100,4)</f>
        <v>1.55E-2</v>
      </c>
      <c r="AF22" s="2351">
        <f t="shared" ref="AF22:AF31" si="148">AE22</f>
        <v>1.55E-2</v>
      </c>
      <c r="AG22" s="2351">
        <f>ROUND(AVERAGE(K22:K$33)/100,4)</f>
        <v>2.5600000000000001E-2</v>
      </c>
      <c r="AH22" s="2351">
        <f>ROUND(AVERAGE(L22:L$33)/100,4)</f>
        <v>1.32E-2</v>
      </c>
    </row>
    <row r="23" spans="1:34">
      <c r="A23" s="2364" t="s">
        <v>103</v>
      </c>
      <c r="B23" s="2381">
        <f t="shared" ref="B23:C25" si="149">B22/(1+N22)</f>
        <v>374.90436113236416</v>
      </c>
      <c r="C23" s="2381">
        <f t="shared" si="149"/>
        <v>295.64366128242779</v>
      </c>
      <c r="D23" s="2381">
        <f t="shared" ref="D23:D82" si="150">C23</f>
        <v>295.64366128242779</v>
      </c>
      <c r="E23" s="2381">
        <f t="shared" ref="E23:F25" si="151">E22/(1+P22)</f>
        <v>525.06646410938095</v>
      </c>
      <c r="F23" s="2381">
        <f t="shared" si="151"/>
        <v>261.88835286009646</v>
      </c>
      <c r="G23" s="3563"/>
      <c r="H23" s="2366">
        <v>3</v>
      </c>
      <c r="I23" s="2366">
        <v>4.12</v>
      </c>
      <c r="J23" s="2366">
        <v>2</v>
      </c>
      <c r="K23" s="2366">
        <v>4.79</v>
      </c>
      <c r="L23" s="2367">
        <v>1.97</v>
      </c>
      <c r="N23" s="2382">
        <f t="shared" ref="N23:Q57" si="152">I23/100</f>
        <v>4.1200000000000001E-2</v>
      </c>
      <c r="O23" s="2351">
        <f t="shared" si="147"/>
        <v>0.02</v>
      </c>
      <c r="P23" s="2351">
        <f t="shared" si="147"/>
        <v>4.7899999999999998E-2</v>
      </c>
      <c r="Q23" s="2351">
        <f t="shared" si="147"/>
        <v>1.9699999999999999E-2</v>
      </c>
      <c r="R23" s="2378"/>
      <c r="S23" s="2382"/>
      <c r="T23" s="2351"/>
      <c r="U23" s="2351"/>
      <c r="V23" s="2351"/>
      <c r="X23" s="2350">
        <f>ROUND(SUMPRODUCT(PRODUCT(1+N23:N$32)),4)</f>
        <v>1.2184999999999999</v>
      </c>
      <c r="Y23" s="2350">
        <f>ROUND(SUMPRODUCT(PRODUCT(1+O23:O$32)),4)</f>
        <v>1.1494</v>
      </c>
      <c r="Z23" s="2350">
        <f t="shared" si="0"/>
        <v>1.1494</v>
      </c>
      <c r="AA23" s="2350">
        <f>ROUND(SUMPRODUCT(PRODUCT(1+P23:P$32)),4)</f>
        <v>1.2425999999999999</v>
      </c>
      <c r="AB23" s="2350">
        <f>ROUND(SUMPRODUCT(PRODUCT(1+Q23:Q$32)),4)</f>
        <v>1.1372</v>
      </c>
      <c r="AD23" s="2351">
        <f>ROUND(AVERAGE(I23:I$33)/100,4)</f>
        <v>2.0899999999999998E-2</v>
      </c>
      <c r="AE23" s="2351">
        <f>ROUND(AVERAGE(J23:J$33)/100,4)</f>
        <v>1.49E-2</v>
      </c>
      <c r="AF23" s="2351">
        <f t="shared" si="148"/>
        <v>1.49E-2</v>
      </c>
      <c r="AG23" s="2351">
        <f>ROUND(AVERAGE(K23:K$33)/100,4)</f>
        <v>2.3099999999999999E-2</v>
      </c>
      <c r="AH23" s="2351">
        <f>ROUND(AVERAGE(L23:L$33)/100,4)</f>
        <v>1.2999999999999999E-2</v>
      </c>
    </row>
    <row r="24" spans="1:34">
      <c r="A24" s="2364" t="s">
        <v>93</v>
      </c>
      <c r="B24" s="2381">
        <f t="shared" si="149"/>
        <v>360.06949782209392</v>
      </c>
      <c r="C24" s="2381">
        <f t="shared" si="149"/>
        <v>289.84672674747821</v>
      </c>
      <c r="D24" s="2381">
        <f t="shared" si="150"/>
        <v>289.84672674747821</v>
      </c>
      <c r="E24" s="2381">
        <f t="shared" si="151"/>
        <v>501.06543001181495</v>
      </c>
      <c r="F24" s="2381">
        <f t="shared" si="151"/>
        <v>256.82882500744967</v>
      </c>
      <c r="G24" s="3563"/>
      <c r="H24" s="2384">
        <v>2</v>
      </c>
      <c r="I24" s="2384">
        <v>3.85</v>
      </c>
      <c r="J24" s="2384">
        <v>1.95</v>
      </c>
      <c r="K24" s="2384">
        <v>4.4800000000000004</v>
      </c>
      <c r="L24" s="2385">
        <v>1.41</v>
      </c>
      <c r="N24" s="2382">
        <f t="shared" si="152"/>
        <v>3.85E-2</v>
      </c>
      <c r="O24" s="2351">
        <f t="shared" si="147"/>
        <v>1.95E-2</v>
      </c>
      <c r="P24" s="2351">
        <f t="shared" si="147"/>
        <v>4.4800000000000006E-2</v>
      </c>
      <c r="Q24" s="2351">
        <f t="shared" si="147"/>
        <v>1.41E-2</v>
      </c>
      <c r="R24" s="2378"/>
      <c r="S24" s="2382"/>
      <c r="T24" s="2351"/>
      <c r="U24" s="2351"/>
      <c r="V24" s="2351"/>
      <c r="X24" s="2350">
        <f>ROUND(SUMPRODUCT(PRODUCT(1+N24:N$32)),4)</f>
        <v>1.1702999999999999</v>
      </c>
      <c r="Y24" s="2350">
        <f>ROUND(SUMPRODUCT(PRODUCT(1+O24:O$32)),4)</f>
        <v>1.1269</v>
      </c>
      <c r="Z24" s="2350">
        <f t="shared" si="0"/>
        <v>1.1269</v>
      </c>
      <c r="AA24" s="2350">
        <f>ROUND(SUMPRODUCT(PRODUCT(1+P24:P$32)),4)</f>
        <v>1.1858</v>
      </c>
      <c r="AB24" s="2350">
        <f>ROUND(SUMPRODUCT(PRODUCT(1+Q24:Q$32)),4)</f>
        <v>1.1152</v>
      </c>
      <c r="AD24" s="2351">
        <f>ROUND(AVERAGE(I24:I$33)/100,4)</f>
        <v>1.89E-2</v>
      </c>
      <c r="AE24" s="2351">
        <f>ROUND(AVERAGE(J24:J$33)/100,4)</f>
        <v>1.44E-2</v>
      </c>
      <c r="AF24" s="2351">
        <f t="shared" si="148"/>
        <v>1.44E-2</v>
      </c>
      <c r="AG24" s="2351">
        <f>ROUND(AVERAGE(K24:K$33)/100,4)</f>
        <v>2.06E-2</v>
      </c>
      <c r="AH24" s="2351">
        <f>ROUND(AVERAGE(L24:L$33)/100,4)</f>
        <v>1.23E-2</v>
      </c>
    </row>
    <row r="25" spans="1:34" ht="13.5" thickBot="1">
      <c r="A25" s="2364" t="s">
        <v>102</v>
      </c>
      <c r="B25" s="2381">
        <f t="shared" si="149"/>
        <v>346.720748986128</v>
      </c>
      <c r="C25" s="2381">
        <f t="shared" si="149"/>
        <v>284.30282172386285</v>
      </c>
      <c r="D25" s="2381">
        <f t="shared" si="150"/>
        <v>284.30282172386285</v>
      </c>
      <c r="E25" s="2381">
        <f t="shared" si="151"/>
        <v>479.58023546306947</v>
      </c>
      <c r="F25" s="2381">
        <f t="shared" si="151"/>
        <v>253.25788877571213</v>
      </c>
      <c r="G25" s="3564"/>
      <c r="H25" s="2366">
        <v>1</v>
      </c>
      <c r="I25" s="2366">
        <v>4.09</v>
      </c>
      <c r="J25" s="2366">
        <v>2.93</v>
      </c>
      <c r="K25" s="2366">
        <v>4.54</v>
      </c>
      <c r="L25" s="2367">
        <v>1.48</v>
      </c>
      <c r="N25" s="2382">
        <f t="shared" si="152"/>
        <v>4.0899999999999999E-2</v>
      </c>
      <c r="O25" s="2351">
        <f t="shared" si="147"/>
        <v>2.9300000000000003E-2</v>
      </c>
      <c r="P25" s="2351">
        <f t="shared" si="147"/>
        <v>4.5400000000000003E-2</v>
      </c>
      <c r="Q25" s="2351">
        <f t="shared" si="147"/>
        <v>1.4800000000000001E-2</v>
      </c>
      <c r="R25" s="2378"/>
      <c r="S25" s="2386">
        <f>B25/B26-1</f>
        <v>4.1203450408792808E-2</v>
      </c>
      <c r="T25" s="2387">
        <f>C25/C26-1</f>
        <v>2.6363977342465095E-2</v>
      </c>
      <c r="U25" s="2387">
        <f>E25/E26-1</f>
        <v>4.4837114298626357E-2</v>
      </c>
      <c r="V25" s="2387">
        <f>F25/F26-1</f>
        <v>1.7099954922538574E-2</v>
      </c>
      <c r="X25" s="2350">
        <f>ROUND(SUMPRODUCT(PRODUCT(1+N25:N$32)),4)</f>
        <v>1.1269</v>
      </c>
      <c r="Y25" s="2350">
        <f>ROUND(SUMPRODUCT(PRODUCT(1+O25:O$32)),4)</f>
        <v>1.1052999999999999</v>
      </c>
      <c r="Z25" s="2350">
        <f t="shared" si="0"/>
        <v>1.1052999999999999</v>
      </c>
      <c r="AA25" s="2350">
        <f>ROUND(SUMPRODUCT(PRODUCT(1+P25:P$32)),4)</f>
        <v>1.1349</v>
      </c>
      <c r="AB25" s="2350">
        <f>ROUND(SUMPRODUCT(PRODUCT(1+Q25:Q$32)),4)</f>
        <v>1.0996999999999999</v>
      </c>
      <c r="AD25" s="2351">
        <f>ROUND(AVERAGE(I25:I$33)/100,4)</f>
        <v>1.67E-2</v>
      </c>
      <c r="AE25" s="2351">
        <f>ROUND(AVERAGE(J25:J$33)/100,4)</f>
        <v>1.38E-2</v>
      </c>
      <c r="AF25" s="2351">
        <f t="shared" si="148"/>
        <v>1.38E-2</v>
      </c>
      <c r="AG25" s="2351">
        <f>ROUND(AVERAGE(K25:K$33)/100,4)</f>
        <v>1.7899999999999999E-2</v>
      </c>
      <c r="AH25" s="2351">
        <f>ROUND(AVERAGE(L25:L$33)/100,4)</f>
        <v>1.21E-2</v>
      </c>
    </row>
    <row r="26" spans="1:34" ht="13.5" thickBot="1">
      <c r="A26" s="2364" t="s">
        <v>101</v>
      </c>
      <c r="B26" s="2374">
        <v>333</v>
      </c>
      <c r="C26" s="2374">
        <v>277</v>
      </c>
      <c r="D26" s="2374">
        <f t="shared" si="150"/>
        <v>277</v>
      </c>
      <c r="E26" s="2374">
        <v>459</v>
      </c>
      <c r="F26" s="2375">
        <v>249</v>
      </c>
      <c r="G26" s="3562">
        <v>2015</v>
      </c>
      <c r="H26" s="2391">
        <v>4</v>
      </c>
      <c r="I26" s="2391">
        <v>1.63</v>
      </c>
      <c r="J26" s="2391">
        <v>1.1100000000000001</v>
      </c>
      <c r="K26" s="2391">
        <v>1.77</v>
      </c>
      <c r="L26" s="2392">
        <v>1.89</v>
      </c>
      <c r="N26" s="2376">
        <f t="shared" si="152"/>
        <v>1.6299999999999999E-2</v>
      </c>
      <c r="O26" s="2377">
        <f t="shared" si="147"/>
        <v>1.11E-2</v>
      </c>
      <c r="P26" s="2377">
        <f t="shared" si="147"/>
        <v>1.77E-2</v>
      </c>
      <c r="Q26" s="2377">
        <f t="shared" si="147"/>
        <v>1.89E-2</v>
      </c>
      <c r="R26" s="2378"/>
      <c r="X26" s="2350">
        <f>ROUND(SUMPRODUCT(PRODUCT(1+N26:N$32)),4)</f>
        <v>1.0826</v>
      </c>
      <c r="Y26" s="2350">
        <f>ROUND(SUMPRODUCT(PRODUCT(1+O26:O$32)),4)</f>
        <v>1.0738000000000001</v>
      </c>
      <c r="Z26" s="2350">
        <f t="shared" si="0"/>
        <v>1.0738000000000001</v>
      </c>
      <c r="AA26" s="2350">
        <f>ROUND(SUMPRODUCT(PRODUCT(1+P26:P$32)),4)</f>
        <v>1.0855999999999999</v>
      </c>
      <c r="AB26" s="2350">
        <f>ROUND(SUMPRODUCT(PRODUCT(1+Q26:Q$32)),4)</f>
        <v>1.0837000000000001</v>
      </c>
      <c r="AD26" s="2351">
        <f>ROUND(AVERAGE(I26:I$33)/100,4)</f>
        <v>1.37E-2</v>
      </c>
      <c r="AE26" s="2351">
        <f>ROUND(AVERAGE(J26:J$33)/100,4)</f>
        <v>1.1900000000000001E-2</v>
      </c>
      <c r="AF26" s="2351">
        <f t="shared" si="148"/>
        <v>1.1900000000000001E-2</v>
      </c>
      <c r="AG26" s="2351">
        <f>ROUND(AVERAGE(K26:K$33)/100,4)</f>
        <v>1.4500000000000001E-2</v>
      </c>
      <c r="AH26" s="2351">
        <f>ROUND(AVERAGE(L26:L$33)/100,4)</f>
        <v>1.18E-2</v>
      </c>
    </row>
    <row r="27" spans="1:34">
      <c r="A27" s="2364" t="s">
        <v>100</v>
      </c>
      <c r="B27" s="2381">
        <f t="shared" ref="B27:C29" si="153">B26/(1+N26)</f>
        <v>327.65915576109415</v>
      </c>
      <c r="C27" s="2381">
        <f t="shared" si="153"/>
        <v>273.95905449510434</v>
      </c>
      <c r="D27" s="2381">
        <f t="shared" si="150"/>
        <v>273.95905449510434</v>
      </c>
      <c r="E27" s="2381">
        <f t="shared" ref="E27:F29" si="154">E26/(1+P26)</f>
        <v>451.01699911565294</v>
      </c>
      <c r="F27" s="2381">
        <f t="shared" si="154"/>
        <v>244.38119540681129</v>
      </c>
      <c r="G27" s="3563"/>
      <c r="H27" s="2394">
        <v>3</v>
      </c>
      <c r="I27" s="2394">
        <v>1.65</v>
      </c>
      <c r="J27" s="2394">
        <v>0.92</v>
      </c>
      <c r="K27" s="2394">
        <v>1.88</v>
      </c>
      <c r="L27" s="2395">
        <v>1.26</v>
      </c>
      <c r="N27" s="2382">
        <f t="shared" si="152"/>
        <v>1.6500000000000001E-2</v>
      </c>
      <c r="O27" s="2388">
        <f t="shared" si="147"/>
        <v>9.1999999999999998E-3</v>
      </c>
      <c r="P27" s="2388">
        <f t="shared" si="147"/>
        <v>1.8799999999999997E-2</v>
      </c>
      <c r="Q27" s="2388">
        <f t="shared" si="147"/>
        <v>1.26E-2</v>
      </c>
      <c r="R27" s="2378"/>
      <c r="S27" s="2382"/>
      <c r="T27" s="2351"/>
      <c r="U27" s="2351"/>
      <c r="V27" s="2351"/>
      <c r="X27" s="2350">
        <f>ROUND(SUMPRODUCT(PRODUCT(1+N27:N$32)),4)</f>
        <v>1.0651999999999999</v>
      </c>
      <c r="Y27" s="2350">
        <f>ROUND(SUMPRODUCT(PRODUCT(1+O27:O$32)),4)</f>
        <v>1.0621</v>
      </c>
      <c r="Z27" s="2350">
        <f t="shared" si="0"/>
        <v>1.0621</v>
      </c>
      <c r="AA27" s="2350">
        <f>ROUND(SUMPRODUCT(PRODUCT(1+P27:P$32)),4)</f>
        <v>1.0668</v>
      </c>
      <c r="AB27" s="2350">
        <f>ROUND(SUMPRODUCT(PRODUCT(1+Q27:Q$32)),4)</f>
        <v>1.0636000000000001</v>
      </c>
      <c r="AD27" s="2351">
        <f>ROUND(AVERAGE(I27:I$33)/100,4)</f>
        <v>1.3299999999999999E-2</v>
      </c>
      <c r="AE27" s="2351">
        <f>ROUND(AVERAGE(J27:J$33)/100,4)</f>
        <v>1.2E-2</v>
      </c>
      <c r="AF27" s="2351">
        <f t="shared" si="148"/>
        <v>1.2E-2</v>
      </c>
      <c r="AG27" s="2351">
        <f>ROUND(AVERAGE(K27:K$33)/100,4)</f>
        <v>1.4E-2</v>
      </c>
      <c r="AH27" s="2351">
        <f>ROUND(AVERAGE(L27:L$33)/100,4)</f>
        <v>1.0800000000000001E-2</v>
      </c>
    </row>
    <row r="28" spans="1:34">
      <c r="A28" s="2364" t="s">
        <v>99</v>
      </c>
      <c r="B28" s="2381">
        <f t="shared" si="153"/>
        <v>322.34053690220776</v>
      </c>
      <c r="C28" s="2381">
        <f t="shared" si="153"/>
        <v>271.46160770422546</v>
      </c>
      <c r="D28" s="2381">
        <f t="shared" si="150"/>
        <v>271.46160770422546</v>
      </c>
      <c r="E28" s="2381">
        <f t="shared" si="154"/>
        <v>442.69434542172456</v>
      </c>
      <c r="F28" s="2381">
        <f t="shared" si="154"/>
        <v>241.34030753190925</v>
      </c>
      <c r="G28" s="3563"/>
      <c r="H28" s="2384">
        <v>2</v>
      </c>
      <c r="I28" s="2384">
        <v>0.77</v>
      </c>
      <c r="J28" s="2384">
        <v>0.69</v>
      </c>
      <c r="K28" s="2384">
        <v>0.8</v>
      </c>
      <c r="L28" s="2385">
        <v>0.88</v>
      </c>
      <c r="N28" s="2382">
        <f t="shared" si="152"/>
        <v>7.7000000000000002E-3</v>
      </c>
      <c r="O28" s="2388">
        <f t="shared" si="147"/>
        <v>6.8999999999999999E-3</v>
      </c>
      <c r="P28" s="2388">
        <f t="shared" si="147"/>
        <v>8.0000000000000002E-3</v>
      </c>
      <c r="Q28" s="2388">
        <f t="shared" si="147"/>
        <v>8.8000000000000005E-3</v>
      </c>
      <c r="R28" s="2378"/>
      <c r="S28" s="2382"/>
      <c r="T28" s="2351"/>
      <c r="U28" s="2351"/>
      <c r="V28" s="2351"/>
      <c r="X28" s="2350">
        <f>ROUND(SUMPRODUCT(PRODUCT(1+N28:N$32)),4)</f>
        <v>1.048</v>
      </c>
      <c r="Y28" s="2350">
        <f>ROUND(SUMPRODUCT(PRODUCT(1+O28:O$32)),4)</f>
        <v>1.0524</v>
      </c>
      <c r="Z28" s="2350">
        <f t="shared" si="0"/>
        <v>1.0524</v>
      </c>
      <c r="AA28" s="2350">
        <f>ROUND(SUMPRODUCT(PRODUCT(1+P28:P$32)),4)</f>
        <v>1.0470999999999999</v>
      </c>
      <c r="AB28" s="2350">
        <f>ROUND(SUMPRODUCT(PRODUCT(1+Q28:Q$32)),4)</f>
        <v>1.0504</v>
      </c>
      <c r="AD28" s="2351">
        <f>ROUND(AVERAGE(I28:I$33)/100,4)</f>
        <v>1.2800000000000001E-2</v>
      </c>
      <c r="AE28" s="2351">
        <f>ROUND(AVERAGE(J28:J$33)/100,4)</f>
        <v>1.2500000000000001E-2</v>
      </c>
      <c r="AF28" s="2351">
        <f t="shared" si="148"/>
        <v>1.2500000000000001E-2</v>
      </c>
      <c r="AG28" s="2351">
        <f>ROUND(AVERAGE(K28:K$33)/100,4)</f>
        <v>1.32E-2</v>
      </c>
      <c r="AH28" s="2351">
        <f>ROUND(AVERAGE(L28:L$33)/100,4)</f>
        <v>1.0500000000000001E-2</v>
      </c>
    </row>
    <row r="29" spans="1:34">
      <c r="A29" s="2364" t="s">
        <v>98</v>
      </c>
      <c r="B29" s="2381">
        <f t="shared" si="153"/>
        <v>319.87748030386797</v>
      </c>
      <c r="C29" s="2381">
        <f t="shared" si="153"/>
        <v>269.60135833173649</v>
      </c>
      <c r="D29" s="2381">
        <f t="shared" si="150"/>
        <v>269.60135833173649</v>
      </c>
      <c r="E29" s="2381">
        <f t="shared" si="154"/>
        <v>439.18089823583784</v>
      </c>
      <c r="F29" s="2381">
        <f t="shared" si="154"/>
        <v>239.23503918706311</v>
      </c>
      <c r="G29" s="3564"/>
      <c r="H29" s="2366">
        <v>1</v>
      </c>
      <c r="I29" s="2366">
        <v>0.51</v>
      </c>
      <c r="J29" s="2366">
        <v>0.54</v>
      </c>
      <c r="K29" s="2366">
        <v>0.48</v>
      </c>
      <c r="L29" s="2367">
        <v>0.93</v>
      </c>
      <c r="N29" s="2386">
        <f t="shared" si="152"/>
        <v>5.1000000000000004E-3</v>
      </c>
      <c r="O29" s="2387">
        <f t="shared" si="147"/>
        <v>5.4000000000000003E-3</v>
      </c>
      <c r="P29" s="2387">
        <f t="shared" si="147"/>
        <v>4.7999999999999996E-3</v>
      </c>
      <c r="Q29" s="2387">
        <f t="shared" si="147"/>
        <v>9.300000000000001E-3</v>
      </c>
      <c r="R29" s="2378"/>
      <c r="S29" s="2386">
        <f>B29/B30-1</f>
        <v>5.9040261127922822E-3</v>
      </c>
      <c r="T29" s="2387">
        <f>C29/C30-1</f>
        <v>5.9752176557332781E-3</v>
      </c>
      <c r="U29" s="2387">
        <f>E29/E30-1</f>
        <v>4.9906138119859556E-3</v>
      </c>
      <c r="V29" s="2387">
        <f>F29/F30-1</f>
        <v>9.4305450930933787E-3</v>
      </c>
      <c r="X29" s="2350">
        <f>ROUND(SUMPRODUCT(PRODUCT(1+N29:N$32)),4)</f>
        <v>1.0399</v>
      </c>
      <c r="Y29" s="2350">
        <f>ROUND(SUMPRODUCT(PRODUCT(1+O29:O$32)),4)</f>
        <v>1.0451999999999999</v>
      </c>
      <c r="Z29" s="2350">
        <f t="shared" si="0"/>
        <v>1.0451999999999999</v>
      </c>
      <c r="AA29" s="2350">
        <f>ROUND(SUMPRODUCT(PRODUCT(1+P29:P$32)),4)</f>
        <v>1.0387999999999999</v>
      </c>
      <c r="AB29" s="2350">
        <f>ROUND(SUMPRODUCT(PRODUCT(1+Q29:Q$32)),4)</f>
        <v>1.0411999999999999</v>
      </c>
      <c r="AD29" s="2351">
        <f>ROUND(AVERAGE(I29:I$33)/100,4)</f>
        <v>1.38E-2</v>
      </c>
      <c r="AE29" s="2351">
        <f>ROUND(AVERAGE(J29:J$33)/100,4)</f>
        <v>1.3599999999999999E-2</v>
      </c>
      <c r="AF29" s="2351">
        <f t="shared" si="148"/>
        <v>1.3599999999999999E-2</v>
      </c>
      <c r="AG29" s="2351">
        <f>ROUND(AVERAGE(K29:K$33)/100,4)</f>
        <v>1.4200000000000001E-2</v>
      </c>
      <c r="AH29" s="2351">
        <f>ROUND(AVERAGE(L29:L$33)/100,4)</f>
        <v>1.0800000000000001E-2</v>
      </c>
    </row>
    <row r="30" spans="1:34" ht="13.5" thickBot="1">
      <c r="A30" s="2364" t="s">
        <v>97</v>
      </c>
      <c r="B30" s="2396">
        <v>318</v>
      </c>
      <c r="C30" s="2396">
        <v>268</v>
      </c>
      <c r="D30" s="2396">
        <f t="shared" si="150"/>
        <v>268</v>
      </c>
      <c r="E30" s="2396">
        <v>437</v>
      </c>
      <c r="F30" s="2397">
        <v>237</v>
      </c>
      <c r="G30" s="3562">
        <v>2014</v>
      </c>
      <c r="H30" s="2391">
        <v>4</v>
      </c>
      <c r="I30" s="2391">
        <v>0.21</v>
      </c>
      <c r="J30" s="2391">
        <v>0.41</v>
      </c>
      <c r="K30" s="2391">
        <v>0.12</v>
      </c>
      <c r="L30" s="2392">
        <v>0.89</v>
      </c>
      <c r="N30" s="2382">
        <f t="shared" si="152"/>
        <v>2.0999999999999999E-3</v>
      </c>
      <c r="O30" s="2351">
        <f t="shared" si="147"/>
        <v>4.0999999999999995E-3</v>
      </c>
      <c r="P30" s="2351">
        <f t="shared" si="147"/>
        <v>1.1999999999999999E-3</v>
      </c>
      <c r="Q30" s="2351">
        <f t="shared" si="147"/>
        <v>8.8999999999999999E-3</v>
      </c>
      <c r="R30" s="2378"/>
      <c r="S30" s="2379"/>
      <c r="T30" s="2380"/>
      <c r="U30" s="2380"/>
      <c r="V30" s="2380"/>
      <c r="X30" s="2350">
        <f>ROUND(SUMPRODUCT(PRODUCT(1+N30:N$32)),4)</f>
        <v>1.0347</v>
      </c>
      <c r="Y30" s="2350">
        <f>ROUND(SUMPRODUCT(PRODUCT(1+O30:O$32)),4)</f>
        <v>1.0395000000000001</v>
      </c>
      <c r="Z30" s="2350">
        <f t="shared" si="0"/>
        <v>1.0395000000000001</v>
      </c>
      <c r="AA30" s="2350">
        <f>ROUND(SUMPRODUCT(PRODUCT(1+P30:P$32)),4)</f>
        <v>1.0338000000000001</v>
      </c>
      <c r="AB30" s="2350">
        <f>ROUND(SUMPRODUCT(PRODUCT(1+Q30:Q$32)),4)</f>
        <v>1.0316000000000001</v>
      </c>
      <c r="AD30" s="2351">
        <f>ROUND(AVERAGE(I30:I$33)/100,4)</f>
        <v>1.6E-2</v>
      </c>
      <c r="AE30" s="2351">
        <f>ROUND(AVERAGE(J30:J$33)/100,4)</f>
        <v>1.5599999999999999E-2</v>
      </c>
      <c r="AF30" s="2351">
        <f t="shared" si="148"/>
        <v>1.5599999999999999E-2</v>
      </c>
      <c r="AG30" s="2351">
        <f>ROUND(AVERAGE(K30:K$33)/100,4)</f>
        <v>1.66E-2</v>
      </c>
      <c r="AH30" s="2351">
        <f>ROUND(AVERAGE(L30:L$33)/100,4)</f>
        <v>1.12E-2</v>
      </c>
    </row>
    <row r="31" spans="1:34">
      <c r="A31" s="2364" t="s">
        <v>96</v>
      </c>
      <c r="B31" s="2381">
        <f t="shared" ref="B31:C33" si="155">B30/(1+N30)</f>
        <v>317.33359944117353</v>
      </c>
      <c r="C31" s="2381">
        <f t="shared" si="155"/>
        <v>266.90568668459315</v>
      </c>
      <c r="D31" s="2381">
        <f t="shared" si="150"/>
        <v>266.90568668459315</v>
      </c>
      <c r="E31" s="2381">
        <f t="shared" ref="E31:F33" si="156">E30/(1+P30)</f>
        <v>436.47622852576905</v>
      </c>
      <c r="F31" s="2381">
        <f t="shared" si="156"/>
        <v>234.90930716622066</v>
      </c>
      <c r="G31" s="3563"/>
      <c r="H31" s="2398">
        <v>3</v>
      </c>
      <c r="I31" s="2398">
        <v>0.83</v>
      </c>
      <c r="J31" s="2398">
        <v>1.47</v>
      </c>
      <c r="K31" s="2398">
        <v>0.65</v>
      </c>
      <c r="L31" s="2399">
        <v>0.72</v>
      </c>
      <c r="N31" s="2382">
        <f t="shared" si="152"/>
        <v>8.3000000000000001E-3</v>
      </c>
      <c r="O31" s="2351">
        <f t="shared" si="147"/>
        <v>1.47E-2</v>
      </c>
      <c r="P31" s="2351">
        <f t="shared" si="147"/>
        <v>6.5000000000000006E-3</v>
      </c>
      <c r="Q31" s="2351">
        <f t="shared" si="147"/>
        <v>7.1999999999999998E-3</v>
      </c>
      <c r="R31" s="2378"/>
      <c r="S31" s="2382"/>
      <c r="T31" s="2351"/>
      <c r="U31" s="2351"/>
      <c r="V31" s="2351"/>
      <c r="X31" s="2350">
        <f>ROUND(SUMPRODUCT(PRODUCT(1+N31:N$32)),4)</f>
        <v>1.0325</v>
      </c>
      <c r="Y31" s="2350">
        <f>ROUND(SUMPRODUCT(PRODUCT(1+O31:O$32)),4)</f>
        <v>1.0353000000000001</v>
      </c>
      <c r="Z31" s="2350">
        <f t="shared" ref="Z31:Z32" si="157">Y31</f>
        <v>1.0353000000000001</v>
      </c>
      <c r="AA31" s="2350">
        <f>ROUND(SUMPRODUCT(PRODUCT(1+P31:P$32)),4)</f>
        <v>1.0326</v>
      </c>
      <c r="AB31" s="2350">
        <f>ROUND(SUMPRODUCT(PRODUCT(1+Q31:Q$32)),4)</f>
        <v>1.0225</v>
      </c>
      <c r="AD31" s="2351">
        <f>ROUND(AVERAGE(I31:I$33)/100,4)</f>
        <v>2.07E-2</v>
      </c>
      <c r="AE31" s="2351">
        <f>ROUND(AVERAGE(J31:J$33)/100,4)</f>
        <v>1.95E-2</v>
      </c>
      <c r="AF31" s="2351">
        <f t="shared" si="148"/>
        <v>1.95E-2</v>
      </c>
      <c r="AG31" s="2351">
        <f>ROUND(AVERAGE(K31:K$33)/100,4)</f>
        <v>2.1700000000000001E-2</v>
      </c>
      <c r="AH31" s="2351">
        <f>ROUND(AVERAGE(L31:L$33)/100,4)</f>
        <v>1.2E-2</v>
      </c>
    </row>
    <row r="32" spans="1:34" ht="13.5" thickBot="1">
      <c r="A32" s="2364" t="s">
        <v>95</v>
      </c>
      <c r="B32" s="2381">
        <f t="shared" si="155"/>
        <v>314.72141172386546</v>
      </c>
      <c r="C32" s="2381">
        <f t="shared" si="155"/>
        <v>263.03901319069001</v>
      </c>
      <c r="D32" s="2381">
        <f t="shared" si="150"/>
        <v>263.03901319069001</v>
      </c>
      <c r="E32" s="2381">
        <f t="shared" si="156"/>
        <v>433.65745506782821</v>
      </c>
      <c r="F32" s="2381">
        <f t="shared" si="156"/>
        <v>233.23005080045735</v>
      </c>
      <c r="G32" s="3563"/>
      <c r="H32" s="2391">
        <v>2</v>
      </c>
      <c r="I32" s="2391">
        <v>2.4</v>
      </c>
      <c r="J32" s="2391">
        <v>2.0299999999999998</v>
      </c>
      <c r="K32" s="2391">
        <v>2.59</v>
      </c>
      <c r="L32" s="2392">
        <v>1.52</v>
      </c>
      <c r="N32" s="2382">
        <f t="shared" si="152"/>
        <v>2.4E-2</v>
      </c>
      <c r="O32" s="2351">
        <f t="shared" si="147"/>
        <v>2.0299999999999999E-2</v>
      </c>
      <c r="P32" s="2351">
        <f t="shared" si="147"/>
        <v>2.5899999999999999E-2</v>
      </c>
      <c r="Q32" s="2351">
        <f t="shared" si="147"/>
        <v>1.52E-2</v>
      </c>
      <c r="R32" s="2378"/>
      <c r="S32" s="2382"/>
      <c r="T32" s="2351"/>
      <c r="U32" s="2351"/>
      <c r="V32" s="2351"/>
      <c r="X32" s="2350">
        <f>1+N32</f>
        <v>1.024</v>
      </c>
      <c r="Y32" s="2350">
        <f>1+O32</f>
        <v>1.0203</v>
      </c>
      <c r="Z32" s="2350">
        <f t="shared" si="157"/>
        <v>1.0203</v>
      </c>
      <c r="AA32" s="2350">
        <f>1+P32</f>
        <v>1.0259</v>
      </c>
      <c r="AB32" s="2350">
        <f>1+Q32</f>
        <v>1.0152000000000001</v>
      </c>
      <c r="AD32" s="2351">
        <f>ROUND(AVERAGE(I32:I$33)/100,4)</f>
        <v>2.69E-2</v>
      </c>
      <c r="AE32" s="2351">
        <f>ROUND(AVERAGE(J32:J$33)/100,4)</f>
        <v>2.1899999999999999E-2</v>
      </c>
      <c r="AF32" s="2351">
        <f t="shared" ref="AF32" si="158">AE32</f>
        <v>2.1899999999999999E-2</v>
      </c>
      <c r="AG32" s="2351">
        <f>ROUND(AVERAGE(K32:K$33)/100,4)</f>
        <v>2.9399999999999999E-2</v>
      </c>
      <c r="AH32" s="2351">
        <f>ROUND(AVERAGE(L32:L$33)/100,4)</f>
        <v>1.44E-2</v>
      </c>
    </row>
    <row r="33" spans="1:34" s="2404" customFormat="1" ht="13.5" thickBot="1">
      <c r="A33" s="2400" t="s">
        <v>94</v>
      </c>
      <c r="B33" s="2401">
        <f t="shared" si="155"/>
        <v>307.34512863658733</v>
      </c>
      <c r="C33" s="2401">
        <f t="shared" si="155"/>
        <v>257.80556031626975</v>
      </c>
      <c r="D33" s="2401">
        <f t="shared" si="150"/>
        <v>257.80556031626975</v>
      </c>
      <c r="E33" s="2401">
        <f t="shared" si="156"/>
        <v>422.70928459677179</v>
      </c>
      <c r="F33" s="2401">
        <f t="shared" si="156"/>
        <v>229.73803270336617</v>
      </c>
      <c r="G33" s="3564"/>
      <c r="H33" s="2402">
        <v>1</v>
      </c>
      <c r="I33" s="2402">
        <v>2.97</v>
      </c>
      <c r="J33" s="2402">
        <v>2.34</v>
      </c>
      <c r="K33" s="2402">
        <v>3.28</v>
      </c>
      <c r="L33" s="2403">
        <v>1.36</v>
      </c>
      <c r="N33" s="2405">
        <f t="shared" si="152"/>
        <v>2.9700000000000001E-2</v>
      </c>
      <c r="O33" s="2406">
        <f t="shared" si="147"/>
        <v>2.3399999999999997E-2</v>
      </c>
      <c r="P33" s="2406">
        <f t="shared" si="147"/>
        <v>3.2799999999999996E-2</v>
      </c>
      <c r="Q33" s="2406">
        <f t="shared" si="147"/>
        <v>1.3600000000000001E-2</v>
      </c>
      <c r="R33" s="2407"/>
      <c r="S33" s="2408">
        <f>B33/B34-1</f>
        <v>2.7910129219355539E-2</v>
      </c>
      <c r="T33" s="2409">
        <f>C33/C34-1</f>
        <v>2.3037937762975247E-2</v>
      </c>
      <c r="U33" s="2409">
        <f>E33/E34-1</f>
        <v>3.3519033243940788E-2</v>
      </c>
      <c r="V33" s="2409">
        <f>F33/F34-1</f>
        <v>1.2061818076502862E-2</v>
      </c>
      <c r="W33" s="2410" t="s">
        <v>1205</v>
      </c>
      <c r="X33" s="2411">
        <v>1</v>
      </c>
      <c r="Y33" s="2411">
        <v>1</v>
      </c>
      <c r="Z33" s="2411">
        <v>1</v>
      </c>
      <c r="AA33" s="2411">
        <v>1</v>
      </c>
      <c r="AB33" s="2411">
        <v>1</v>
      </c>
      <c r="AD33" s="2406">
        <f>I33/100</f>
        <v>2.9700000000000001E-2</v>
      </c>
      <c r="AE33" s="2406">
        <f>J33/100</f>
        <v>2.3399999999999997E-2</v>
      </c>
      <c r="AF33" s="2406">
        <f>AE33</f>
        <v>2.3399999999999997E-2</v>
      </c>
      <c r="AG33" s="2406">
        <f>K33/100</f>
        <v>3.2799999999999996E-2</v>
      </c>
      <c r="AH33" s="2406">
        <f>L33/100</f>
        <v>1.3600000000000001E-2</v>
      </c>
    </row>
    <row r="34" spans="1:34" ht="13.5" thickBot="1">
      <c r="A34" s="2364" t="s">
        <v>1038</v>
      </c>
      <c r="B34" s="2374">
        <v>299</v>
      </c>
      <c r="C34" s="2374">
        <v>252</v>
      </c>
      <c r="D34" s="2374">
        <f t="shared" si="150"/>
        <v>252</v>
      </c>
      <c r="E34" s="2374">
        <v>409</v>
      </c>
      <c r="F34" s="2375">
        <v>227</v>
      </c>
      <c r="G34" s="3569">
        <v>2013</v>
      </c>
      <c r="H34" s="2412">
        <v>4</v>
      </c>
      <c r="I34" s="2412">
        <v>1.83</v>
      </c>
      <c r="J34" s="2412">
        <v>1.68</v>
      </c>
      <c r="K34" s="2412">
        <v>1.97</v>
      </c>
      <c r="L34" s="2413">
        <v>0.87</v>
      </c>
      <c r="N34" s="2376">
        <f t="shared" si="152"/>
        <v>1.83E-2</v>
      </c>
      <c r="O34" s="2377">
        <f t="shared" si="147"/>
        <v>1.6799999999999999E-2</v>
      </c>
      <c r="P34" s="2377">
        <f t="shared" si="147"/>
        <v>1.9699999999999999E-2</v>
      </c>
      <c r="Q34" s="2377">
        <f t="shared" si="147"/>
        <v>8.6999999999999994E-3</v>
      </c>
      <c r="R34" s="2378"/>
      <c r="S34" s="2379"/>
      <c r="T34" s="2380"/>
      <c r="U34" s="2380"/>
      <c r="V34" s="2380"/>
      <c r="X34" s="2380"/>
      <c r="Y34" s="2380"/>
      <c r="Z34" s="2380"/>
    </row>
    <row r="35" spans="1:34">
      <c r="A35" s="2364" t="s">
        <v>1039</v>
      </c>
      <c r="B35" s="2381">
        <f t="shared" ref="B35:C37" si="159">B34/(1+N34)</f>
        <v>293.62663262299913</v>
      </c>
      <c r="C35" s="2381">
        <f t="shared" si="159"/>
        <v>247.83634933123525</v>
      </c>
      <c r="D35" s="2381">
        <f t="shared" si="150"/>
        <v>247.83634933123525</v>
      </c>
      <c r="E35" s="2381">
        <f t="shared" ref="E35:F37" si="160">E34/(1+P34)</f>
        <v>401.09836226341076</v>
      </c>
      <c r="F35" s="2381">
        <f t="shared" si="160"/>
        <v>225.04213343908003</v>
      </c>
      <c r="G35" s="3570"/>
      <c r="H35" s="2394">
        <v>3</v>
      </c>
      <c r="I35" s="2394">
        <v>1.86</v>
      </c>
      <c r="J35" s="2394">
        <v>1.72</v>
      </c>
      <c r="K35" s="2394">
        <v>1.98</v>
      </c>
      <c r="L35" s="2395">
        <v>0.88</v>
      </c>
      <c r="N35" s="2382">
        <f t="shared" si="152"/>
        <v>1.8600000000000002E-2</v>
      </c>
      <c r="O35" s="2388">
        <f t="shared" si="147"/>
        <v>1.72E-2</v>
      </c>
      <c r="P35" s="2388">
        <f t="shared" si="147"/>
        <v>1.9799999999999998E-2</v>
      </c>
      <c r="Q35" s="2388">
        <f t="shared" si="147"/>
        <v>8.8000000000000005E-3</v>
      </c>
      <c r="R35" s="2378"/>
      <c r="S35" s="2382"/>
      <c r="T35" s="2351"/>
      <c r="U35" s="2351"/>
      <c r="V35" s="2351"/>
    </row>
    <row r="36" spans="1:34">
      <c r="A36" s="2364" t="s">
        <v>1040</v>
      </c>
      <c r="B36" s="2381">
        <f t="shared" si="159"/>
        <v>288.2649053828776</v>
      </c>
      <c r="C36" s="2381">
        <f t="shared" si="159"/>
        <v>243.64564425013293</v>
      </c>
      <c r="D36" s="2381">
        <f t="shared" si="150"/>
        <v>243.64564425013293</v>
      </c>
      <c r="E36" s="2381">
        <f t="shared" si="160"/>
        <v>393.31080825986544</v>
      </c>
      <c r="F36" s="2381">
        <f t="shared" si="160"/>
        <v>223.07903790551154</v>
      </c>
      <c r="G36" s="3570"/>
      <c r="H36" s="2384">
        <v>2</v>
      </c>
      <c r="I36" s="2384">
        <v>2.04</v>
      </c>
      <c r="J36" s="2384">
        <v>2.33</v>
      </c>
      <c r="K36" s="2384">
        <v>2.0699999999999998</v>
      </c>
      <c r="L36" s="2385">
        <v>0.69</v>
      </c>
      <c r="N36" s="2382">
        <f t="shared" si="152"/>
        <v>2.0400000000000001E-2</v>
      </c>
      <c r="O36" s="2388">
        <f t="shared" si="147"/>
        <v>2.3300000000000001E-2</v>
      </c>
      <c r="P36" s="2388">
        <f t="shared" si="147"/>
        <v>2.07E-2</v>
      </c>
      <c r="Q36" s="2388">
        <f t="shared" si="147"/>
        <v>6.8999999999999999E-3</v>
      </c>
      <c r="R36" s="2378"/>
      <c r="S36" s="2382"/>
      <c r="T36" s="2351"/>
      <c r="U36" s="2351"/>
      <c r="V36" s="2351"/>
      <c r="X36" s="2414"/>
      <c r="Y36" s="2415"/>
    </row>
    <row r="37" spans="1:34">
      <c r="A37" s="2364" t="s">
        <v>1041</v>
      </c>
      <c r="B37" s="2381">
        <f t="shared" si="159"/>
        <v>282.50186729015837</v>
      </c>
      <c r="C37" s="2381">
        <f t="shared" si="159"/>
        <v>238.09796174155468</v>
      </c>
      <c r="D37" s="2381">
        <f t="shared" si="150"/>
        <v>238.09796174155468</v>
      </c>
      <c r="E37" s="2381">
        <f t="shared" si="160"/>
        <v>385.33438646014054</v>
      </c>
      <c r="F37" s="2381">
        <f t="shared" si="160"/>
        <v>221.55034055567739</v>
      </c>
      <c r="G37" s="3571"/>
      <c r="H37" s="2366">
        <v>1</v>
      </c>
      <c r="I37" s="2366">
        <v>1.67</v>
      </c>
      <c r="J37" s="2366">
        <v>1.31</v>
      </c>
      <c r="K37" s="2366">
        <v>1.85</v>
      </c>
      <c r="L37" s="2367">
        <v>0.96</v>
      </c>
      <c r="N37" s="2386">
        <f t="shared" si="152"/>
        <v>1.67E-2</v>
      </c>
      <c r="O37" s="2387">
        <f t="shared" si="152"/>
        <v>1.3100000000000001E-2</v>
      </c>
      <c r="P37" s="2387">
        <f t="shared" si="152"/>
        <v>1.8500000000000003E-2</v>
      </c>
      <c r="Q37" s="2387">
        <f t="shared" si="152"/>
        <v>9.5999999999999992E-3</v>
      </c>
      <c r="R37" s="2378"/>
      <c r="S37" s="2386">
        <f>B37/B38-1</f>
        <v>1.6193767230785472E-2</v>
      </c>
      <c r="T37" s="2387">
        <f>C37/C38-1</f>
        <v>1.7512657015190891E-2</v>
      </c>
      <c r="U37" s="2387">
        <f>E37/E38-1</f>
        <v>1.6713420739157048E-2</v>
      </c>
      <c r="V37" s="2387">
        <f>F37/F38-1</f>
        <v>7.0470025258062563E-3</v>
      </c>
      <c r="X37" s="2416"/>
      <c r="Y37" s="2351"/>
      <c r="Z37" s="2351"/>
    </row>
    <row r="38" spans="1:34" ht="13.5" thickBot="1">
      <c r="A38" s="2364" t="s">
        <v>1042</v>
      </c>
      <c r="B38" s="2417">
        <v>278</v>
      </c>
      <c r="C38" s="2417">
        <v>234</v>
      </c>
      <c r="D38" s="2417">
        <f t="shared" si="150"/>
        <v>234</v>
      </c>
      <c r="E38" s="2417">
        <v>379</v>
      </c>
      <c r="F38" s="2418">
        <v>220</v>
      </c>
      <c r="G38" s="3562">
        <v>2012</v>
      </c>
      <c r="H38" s="2391">
        <v>4</v>
      </c>
      <c r="I38" s="2391">
        <v>0.91</v>
      </c>
      <c r="J38" s="2391">
        <v>0.68</v>
      </c>
      <c r="K38" s="2391">
        <v>0.98</v>
      </c>
      <c r="L38" s="2392">
        <v>0.9</v>
      </c>
      <c r="N38" s="2382">
        <f t="shared" si="152"/>
        <v>9.1000000000000004E-3</v>
      </c>
      <c r="O38" s="2351">
        <f t="shared" si="152"/>
        <v>6.8000000000000005E-3</v>
      </c>
      <c r="P38" s="2351">
        <f t="shared" si="152"/>
        <v>9.7999999999999997E-3</v>
      </c>
      <c r="Q38" s="2351">
        <f t="shared" si="152"/>
        <v>9.0000000000000011E-3</v>
      </c>
      <c r="R38" s="2378"/>
      <c r="S38" s="2379"/>
      <c r="T38" s="2380"/>
      <c r="U38" s="2380"/>
      <c r="V38" s="2380"/>
      <c r="X38" s="2380"/>
      <c r="Y38" s="2380"/>
      <c r="Z38" s="2380"/>
    </row>
    <row r="39" spans="1:34">
      <c r="A39" s="2364" t="s">
        <v>1043</v>
      </c>
      <c r="B39" s="2381">
        <f>B38/(1+N38)</f>
        <v>275.49301357645425</v>
      </c>
      <c r="C39" s="2381">
        <f>C38/(1+O38)</f>
        <v>232.41954707985698</v>
      </c>
      <c r="D39" s="2381">
        <f t="shared" si="150"/>
        <v>232.41954707985698</v>
      </c>
      <c r="E39" s="2381">
        <f t="shared" ref="E39:F41" si="161">E38/(1+P38)</f>
        <v>375.32184591008121</v>
      </c>
      <c r="F39" s="2381">
        <f t="shared" si="161"/>
        <v>218.03766105054513</v>
      </c>
      <c r="G39" s="3563"/>
      <c r="H39" s="2394">
        <v>3</v>
      </c>
      <c r="I39" s="2394">
        <v>0.09</v>
      </c>
      <c r="J39" s="2394">
        <v>0.28999999999999998</v>
      </c>
      <c r="K39" s="2394">
        <v>-0.01</v>
      </c>
      <c r="L39" s="2395">
        <v>0.57999999999999996</v>
      </c>
      <c r="N39" s="2382">
        <f t="shared" si="152"/>
        <v>8.9999999999999998E-4</v>
      </c>
      <c r="O39" s="2351">
        <f t="shared" si="152"/>
        <v>2.8999999999999998E-3</v>
      </c>
      <c r="P39" s="2351">
        <f t="shared" si="152"/>
        <v>-1E-4</v>
      </c>
      <c r="Q39" s="2351">
        <f t="shared" si="152"/>
        <v>5.7999999999999996E-3</v>
      </c>
      <c r="R39" s="2378"/>
      <c r="S39" s="2382"/>
      <c r="T39" s="2351"/>
      <c r="U39" s="2351"/>
      <c r="V39" s="2351"/>
    </row>
    <row r="40" spans="1:34">
      <c r="A40" s="2364" t="s">
        <v>1044</v>
      </c>
      <c r="B40" s="2381">
        <f>B39/(1+N39)</f>
        <v>275.24529281292263</v>
      </c>
      <c r="C40" s="2381">
        <f>C39/(1+O39)</f>
        <v>231.74747938962707</v>
      </c>
      <c r="D40" s="2381">
        <f t="shared" si="150"/>
        <v>231.74747938962707</v>
      </c>
      <c r="E40" s="2381">
        <f t="shared" si="161"/>
        <v>375.35938184826603</v>
      </c>
      <c r="F40" s="2381">
        <f t="shared" si="161"/>
        <v>216.78033510692495</v>
      </c>
      <c r="G40" s="3563"/>
      <c r="H40" s="2384">
        <v>2</v>
      </c>
      <c r="I40" s="2384">
        <v>0.02</v>
      </c>
      <c r="J40" s="2384">
        <v>0.12</v>
      </c>
      <c r="K40" s="2384">
        <v>-0.08</v>
      </c>
      <c r="L40" s="2385">
        <v>1.24</v>
      </c>
      <c r="N40" s="2382">
        <f t="shared" si="152"/>
        <v>2.0000000000000001E-4</v>
      </c>
      <c r="O40" s="2351">
        <f t="shared" si="152"/>
        <v>1.1999999999999999E-3</v>
      </c>
      <c r="P40" s="2351">
        <f t="shared" si="152"/>
        <v>-8.0000000000000004E-4</v>
      </c>
      <c r="Q40" s="2351">
        <f t="shared" si="152"/>
        <v>1.24E-2</v>
      </c>
      <c r="R40" s="2378"/>
      <c r="S40" s="2382"/>
      <c r="T40" s="2351"/>
      <c r="U40" s="2351"/>
      <c r="V40" s="2351"/>
    </row>
    <row r="41" spans="1:34" ht="13.5" thickBot="1">
      <c r="A41" s="2364" t="s">
        <v>1045</v>
      </c>
      <c r="B41" s="2381">
        <f>B40/(1+N40)</f>
        <v>275.19025476197027</v>
      </c>
      <c r="C41" s="2419">
        <v>232</v>
      </c>
      <c r="D41" s="2419">
        <f t="shared" si="150"/>
        <v>232</v>
      </c>
      <c r="E41" s="2381">
        <f t="shared" si="161"/>
        <v>375.65990977608692</v>
      </c>
      <c r="F41" s="2381">
        <f t="shared" si="161"/>
        <v>214.12518283971252</v>
      </c>
      <c r="G41" s="3564"/>
      <c r="H41" s="2366">
        <v>1</v>
      </c>
      <c r="I41" s="2366">
        <v>0.02</v>
      </c>
      <c r="J41" s="2366">
        <v>0.13</v>
      </c>
      <c r="K41" s="2366">
        <v>-0.04</v>
      </c>
      <c r="L41" s="2367">
        <v>0.46</v>
      </c>
      <c r="N41" s="2382">
        <f t="shared" si="152"/>
        <v>2.0000000000000001E-4</v>
      </c>
      <c r="O41" s="2351">
        <f t="shared" si="152"/>
        <v>1.2999999999999999E-3</v>
      </c>
      <c r="P41" s="2351">
        <f t="shared" si="152"/>
        <v>-4.0000000000000002E-4</v>
      </c>
      <c r="Q41" s="2351">
        <f t="shared" si="152"/>
        <v>4.5999999999999999E-3</v>
      </c>
      <c r="R41" s="2378"/>
      <c r="S41" s="2386">
        <f>B41/B42-1</f>
        <v>6.9183549807361189E-4</v>
      </c>
      <c r="T41" s="2387">
        <f>C41/C42-1</f>
        <v>0</v>
      </c>
      <c r="U41" s="2387">
        <f>E41/E42-1</f>
        <v>-9.0449527636460303E-4</v>
      </c>
      <c r="V41" s="2387">
        <f>F41/F42-1</f>
        <v>5.2825485432512753E-3</v>
      </c>
      <c r="X41" s="2351"/>
      <c r="Y41" s="2351"/>
      <c r="Z41" s="2351"/>
    </row>
    <row r="42" spans="1:34" ht="13.5" thickBot="1">
      <c r="A42" s="2364" t="s">
        <v>1046</v>
      </c>
      <c r="B42" s="2374">
        <v>275</v>
      </c>
      <c r="C42" s="2374">
        <v>232</v>
      </c>
      <c r="D42" s="2374">
        <f t="shared" si="150"/>
        <v>232</v>
      </c>
      <c r="E42" s="2374">
        <v>376</v>
      </c>
      <c r="F42" s="2375">
        <v>213</v>
      </c>
      <c r="G42" s="3562">
        <v>2011</v>
      </c>
      <c r="H42" s="2391">
        <v>4</v>
      </c>
      <c r="I42" s="2391">
        <v>-0.2</v>
      </c>
      <c r="J42" s="2391">
        <v>0.04</v>
      </c>
      <c r="K42" s="2391">
        <v>-0.34</v>
      </c>
      <c r="L42" s="2392">
        <v>0.46</v>
      </c>
      <c r="N42" s="2376">
        <f t="shared" si="152"/>
        <v>-2E-3</v>
      </c>
      <c r="O42" s="2377">
        <f t="shared" si="152"/>
        <v>4.0000000000000002E-4</v>
      </c>
      <c r="P42" s="2377">
        <f t="shared" si="152"/>
        <v>-3.4000000000000002E-3</v>
      </c>
      <c r="Q42" s="2377">
        <f t="shared" si="152"/>
        <v>4.5999999999999999E-3</v>
      </c>
      <c r="R42" s="2378"/>
      <c r="S42" s="2379"/>
      <c r="T42" s="2380"/>
      <c r="U42" s="2380"/>
      <c r="V42" s="2380"/>
      <c r="X42" s="2380"/>
      <c r="Y42" s="2380"/>
      <c r="Z42" s="2380"/>
    </row>
    <row r="43" spans="1:34">
      <c r="A43" s="2364" t="s">
        <v>1047</v>
      </c>
      <c r="B43" s="2381">
        <f t="shared" ref="B43:C45" si="162">B42/(1+N42)</f>
        <v>275.55110220440883</v>
      </c>
      <c r="C43" s="2381">
        <f t="shared" si="162"/>
        <v>231.90723710515795</v>
      </c>
      <c r="D43" s="2381">
        <f t="shared" si="150"/>
        <v>231.90723710515795</v>
      </c>
      <c r="E43" s="2381">
        <f t="shared" ref="E43:F45" si="163">E42/(1+P42)</f>
        <v>377.28276138872161</v>
      </c>
      <c r="F43" s="2381">
        <f t="shared" si="163"/>
        <v>212.02468644236512</v>
      </c>
      <c r="G43" s="3563">
        <v>2011</v>
      </c>
      <c r="H43" s="2394">
        <v>3</v>
      </c>
      <c r="I43" s="2394">
        <v>0.13</v>
      </c>
      <c r="J43" s="2394">
        <v>0.75</v>
      </c>
      <c r="K43" s="2394">
        <v>-0.08</v>
      </c>
      <c r="L43" s="2395">
        <v>0.53</v>
      </c>
      <c r="N43" s="2382">
        <f t="shared" si="152"/>
        <v>1.2999999999999999E-3</v>
      </c>
      <c r="O43" s="2388">
        <f t="shared" si="152"/>
        <v>7.4999999999999997E-3</v>
      </c>
      <c r="P43" s="2388">
        <f t="shared" si="152"/>
        <v>-8.0000000000000004E-4</v>
      </c>
      <c r="Q43" s="2388">
        <f t="shared" si="152"/>
        <v>5.3E-3</v>
      </c>
      <c r="R43" s="2378"/>
      <c r="S43" s="2382"/>
      <c r="T43" s="2351"/>
      <c r="U43" s="2351"/>
      <c r="V43" s="2351"/>
    </row>
    <row r="44" spans="1:34">
      <c r="A44" s="2364" t="s">
        <v>1048</v>
      </c>
      <c r="B44" s="2381">
        <f t="shared" si="162"/>
        <v>275.19335084830601</v>
      </c>
      <c r="C44" s="2381">
        <f t="shared" si="162"/>
        <v>230.18088050139744</v>
      </c>
      <c r="D44" s="2381">
        <f t="shared" si="150"/>
        <v>230.18088050139744</v>
      </c>
      <c r="E44" s="2381">
        <f t="shared" si="163"/>
        <v>377.58482925212331</v>
      </c>
      <c r="F44" s="2381">
        <f t="shared" si="163"/>
        <v>210.90687997847917</v>
      </c>
      <c r="G44" s="3563">
        <v>2011</v>
      </c>
      <c r="H44" s="2384">
        <v>2</v>
      </c>
      <c r="I44" s="2384">
        <v>-0.4</v>
      </c>
      <c r="J44" s="2384">
        <v>0.17</v>
      </c>
      <c r="K44" s="2384">
        <v>-0.57999999999999996</v>
      </c>
      <c r="L44" s="2385">
        <v>-0.2</v>
      </c>
      <c r="N44" s="2382">
        <f t="shared" si="152"/>
        <v>-4.0000000000000001E-3</v>
      </c>
      <c r="O44" s="2388">
        <f t="shared" si="152"/>
        <v>1.7000000000000001E-3</v>
      </c>
      <c r="P44" s="2388">
        <f t="shared" si="152"/>
        <v>-5.7999999999999996E-3</v>
      </c>
      <c r="Q44" s="2388">
        <f t="shared" si="152"/>
        <v>-2E-3</v>
      </c>
      <c r="R44" s="2378"/>
      <c r="S44" s="2382"/>
      <c r="T44" s="2351"/>
      <c r="U44" s="2351"/>
      <c r="V44" s="2351"/>
    </row>
    <row r="45" spans="1:34" ht="13.5" thickBot="1">
      <c r="A45" s="2364" t="s">
        <v>1049</v>
      </c>
      <c r="B45" s="2381">
        <f t="shared" si="162"/>
        <v>276.29854502841971</v>
      </c>
      <c r="C45" s="2381">
        <f t="shared" si="162"/>
        <v>229.79023709833027</v>
      </c>
      <c r="D45" s="2381">
        <f t="shared" si="150"/>
        <v>229.79023709833027</v>
      </c>
      <c r="E45" s="2381">
        <f t="shared" si="163"/>
        <v>379.78759731655936</v>
      </c>
      <c r="F45" s="2381">
        <f t="shared" si="163"/>
        <v>211.32953905659235</v>
      </c>
      <c r="G45" s="3564">
        <v>2011</v>
      </c>
      <c r="H45" s="2366">
        <v>1</v>
      </c>
      <c r="I45" s="2366">
        <v>2.65</v>
      </c>
      <c r="J45" s="2366">
        <v>3.76</v>
      </c>
      <c r="K45" s="2366">
        <v>1.89</v>
      </c>
      <c r="L45" s="2367">
        <v>7.95</v>
      </c>
      <c r="N45" s="2386">
        <f t="shared" si="152"/>
        <v>2.6499999999999999E-2</v>
      </c>
      <c r="O45" s="2387">
        <f t="shared" si="152"/>
        <v>3.7599999999999995E-2</v>
      </c>
      <c r="P45" s="2387">
        <f t="shared" si="152"/>
        <v>1.89E-2</v>
      </c>
      <c r="Q45" s="2387">
        <f t="shared" si="152"/>
        <v>7.9500000000000001E-2</v>
      </c>
      <c r="R45" s="2378"/>
      <c r="S45" s="2386">
        <f>B45/B46-1</f>
        <v>2.713213765211786E-2</v>
      </c>
      <c r="T45" s="2387">
        <f>C45/C46-1</f>
        <v>3.9774828499231862E-2</v>
      </c>
      <c r="U45" s="2387">
        <f>E45/E46-1</f>
        <v>1.8197311840641772E-2</v>
      </c>
      <c r="V45" s="2387">
        <f>F45/F46-1</f>
        <v>7.8211933962205826E-2</v>
      </c>
      <c r="X45" s="2351"/>
      <c r="Y45" s="2351"/>
      <c r="Z45" s="2351"/>
    </row>
    <row r="46" spans="1:34" ht="13.5" thickBot="1">
      <c r="A46" s="2364" t="s">
        <v>1050</v>
      </c>
      <c r="B46" s="2374">
        <v>269</v>
      </c>
      <c r="C46" s="2374">
        <v>221</v>
      </c>
      <c r="D46" s="2374">
        <f t="shared" si="150"/>
        <v>221</v>
      </c>
      <c r="E46" s="2374">
        <v>373</v>
      </c>
      <c r="F46" s="2375">
        <v>196</v>
      </c>
      <c r="G46" s="3562">
        <v>2010</v>
      </c>
      <c r="H46" s="2391">
        <v>4</v>
      </c>
      <c r="I46" s="2391">
        <v>5.72</v>
      </c>
      <c r="J46" s="2391">
        <v>6.57</v>
      </c>
      <c r="K46" s="2391">
        <v>5.72</v>
      </c>
      <c r="L46" s="2392">
        <v>2.72</v>
      </c>
      <c r="N46" s="2382">
        <f t="shared" si="152"/>
        <v>5.7200000000000001E-2</v>
      </c>
      <c r="O46" s="2351">
        <f t="shared" si="152"/>
        <v>6.5700000000000008E-2</v>
      </c>
      <c r="P46" s="2351">
        <f t="shared" si="152"/>
        <v>5.7200000000000001E-2</v>
      </c>
      <c r="Q46" s="2351">
        <f t="shared" si="152"/>
        <v>2.7200000000000002E-2</v>
      </c>
      <c r="R46" s="2378"/>
      <c r="S46" s="2379"/>
      <c r="T46" s="2380"/>
      <c r="U46" s="2380"/>
      <c r="V46" s="2380"/>
      <c r="X46" s="2380"/>
      <c r="Y46" s="2380"/>
      <c r="Z46" s="2380"/>
    </row>
    <row r="47" spans="1:34">
      <c r="A47" s="2364" t="s">
        <v>1051</v>
      </c>
      <c r="B47" s="2381">
        <f t="shared" ref="B47:C49" si="164">B46/(1+N46)</f>
        <v>254.44570563753314</v>
      </c>
      <c r="C47" s="2381">
        <f t="shared" si="164"/>
        <v>207.37543398705074</v>
      </c>
      <c r="D47" s="2381">
        <f t="shared" si="150"/>
        <v>207.37543398705074</v>
      </c>
      <c r="E47" s="2381">
        <f t="shared" ref="E47:F49" si="165">E46/(1+P46)</f>
        <v>352.81876655315932</v>
      </c>
      <c r="F47" s="2381">
        <f t="shared" si="165"/>
        <v>190.809968847352</v>
      </c>
      <c r="G47" s="3563">
        <v>2010</v>
      </c>
      <c r="H47" s="2394">
        <v>3</v>
      </c>
      <c r="I47" s="2394">
        <v>4.7300000000000004</v>
      </c>
      <c r="J47" s="2394">
        <v>3.9</v>
      </c>
      <c r="K47" s="2394">
        <v>5.03</v>
      </c>
      <c r="L47" s="2395">
        <v>4.21</v>
      </c>
      <c r="N47" s="2382">
        <f t="shared" si="152"/>
        <v>4.7300000000000002E-2</v>
      </c>
      <c r="O47" s="2351">
        <f t="shared" si="152"/>
        <v>3.9E-2</v>
      </c>
      <c r="P47" s="2351">
        <f t="shared" si="152"/>
        <v>5.0300000000000004E-2</v>
      </c>
      <c r="Q47" s="2351">
        <f t="shared" si="152"/>
        <v>4.2099999999999999E-2</v>
      </c>
      <c r="R47" s="2378"/>
      <c r="S47" s="2382"/>
      <c r="T47" s="2351"/>
      <c r="U47" s="2351"/>
      <c r="V47" s="2351"/>
    </row>
    <row r="48" spans="1:34">
      <c r="A48" s="2364" t="s">
        <v>1052</v>
      </c>
      <c r="B48" s="2381">
        <f t="shared" si="164"/>
        <v>242.95398227588385</v>
      </c>
      <c r="C48" s="2381">
        <f t="shared" si="164"/>
        <v>199.59137053614126</v>
      </c>
      <c r="D48" s="2381">
        <f t="shared" si="150"/>
        <v>199.59137053614126</v>
      </c>
      <c r="E48" s="2381">
        <f t="shared" si="165"/>
        <v>335.92189522342125</v>
      </c>
      <c r="F48" s="2381">
        <f t="shared" si="165"/>
        <v>183.10139991109489</v>
      </c>
      <c r="G48" s="3563">
        <v>2010</v>
      </c>
      <c r="H48" s="2384">
        <v>2</v>
      </c>
      <c r="I48" s="2384">
        <v>4.6900000000000004</v>
      </c>
      <c r="J48" s="2384">
        <v>3.55</v>
      </c>
      <c r="K48" s="2384">
        <v>5.07</v>
      </c>
      <c r="L48" s="2385">
        <v>4.2300000000000004</v>
      </c>
      <c r="N48" s="2382">
        <f t="shared" si="152"/>
        <v>4.6900000000000004E-2</v>
      </c>
      <c r="O48" s="2351">
        <f t="shared" si="152"/>
        <v>3.5499999999999997E-2</v>
      </c>
      <c r="P48" s="2351">
        <f t="shared" si="152"/>
        <v>5.0700000000000002E-2</v>
      </c>
      <c r="Q48" s="2351">
        <f t="shared" si="152"/>
        <v>4.2300000000000004E-2</v>
      </c>
      <c r="R48" s="2378"/>
      <c r="S48" s="2382"/>
      <c r="T48" s="2351"/>
      <c r="U48" s="2351"/>
      <c r="V48" s="2351"/>
    </row>
    <row r="49" spans="1:26" ht="13.5" thickBot="1">
      <c r="A49" s="2364" t="s">
        <v>1053</v>
      </c>
      <c r="B49" s="2381">
        <f t="shared" si="164"/>
        <v>232.06990378821649</v>
      </c>
      <c r="C49" s="2381">
        <f t="shared" si="164"/>
        <v>192.74878854286936</v>
      </c>
      <c r="D49" s="2381">
        <f t="shared" si="150"/>
        <v>192.74878854286936</v>
      </c>
      <c r="E49" s="2381">
        <f t="shared" si="165"/>
        <v>319.71247284992984</v>
      </c>
      <c r="F49" s="2381">
        <f t="shared" si="165"/>
        <v>175.67053622862409</v>
      </c>
      <c r="G49" s="3564">
        <v>2010</v>
      </c>
      <c r="H49" s="2366">
        <v>1</v>
      </c>
      <c r="I49" s="2366">
        <v>5.4</v>
      </c>
      <c r="J49" s="2366">
        <v>3.2</v>
      </c>
      <c r="K49" s="2366">
        <v>6.16</v>
      </c>
      <c r="L49" s="2367">
        <v>4.51</v>
      </c>
      <c r="N49" s="2382">
        <f t="shared" si="152"/>
        <v>5.4000000000000006E-2</v>
      </c>
      <c r="O49" s="2351">
        <f t="shared" si="152"/>
        <v>3.2000000000000001E-2</v>
      </c>
      <c r="P49" s="2351">
        <f t="shared" si="152"/>
        <v>6.1600000000000002E-2</v>
      </c>
      <c r="Q49" s="2351">
        <f t="shared" si="152"/>
        <v>4.5100000000000001E-2</v>
      </c>
      <c r="R49" s="2378"/>
      <c r="S49" s="2386">
        <f>B49/B50-1</f>
        <v>5.4863199037347599E-2</v>
      </c>
      <c r="T49" s="2387">
        <f>C49/C50-1</f>
        <v>3.0742184721226584E-2</v>
      </c>
      <c r="U49" s="2387">
        <f>E49/E50-1</f>
        <v>6.2167683886810154E-2</v>
      </c>
      <c r="V49" s="2387">
        <f>F49/F50-1</f>
        <v>4.5657953741810031E-2</v>
      </c>
      <c r="X49" s="2351"/>
      <c r="Y49" s="2351"/>
      <c r="Z49" s="2351"/>
    </row>
    <row r="50" spans="1:26" ht="13.5" thickBot="1">
      <c r="A50" s="2364" t="s">
        <v>1054</v>
      </c>
      <c r="B50" s="2374">
        <v>220</v>
      </c>
      <c r="C50" s="2374">
        <v>187</v>
      </c>
      <c r="D50" s="2374">
        <f t="shared" si="150"/>
        <v>187</v>
      </c>
      <c r="E50" s="2374">
        <v>301</v>
      </c>
      <c r="F50" s="2375">
        <v>168</v>
      </c>
      <c r="G50" s="3562">
        <v>2009</v>
      </c>
      <c r="H50" s="2391">
        <v>4</v>
      </c>
      <c r="I50" s="2391">
        <v>2.2999999999999998</v>
      </c>
      <c r="J50" s="2391">
        <v>1.04</v>
      </c>
      <c r="K50" s="2391">
        <v>2.84</v>
      </c>
      <c r="L50" s="2392">
        <v>0.67</v>
      </c>
      <c r="N50" s="2376">
        <f t="shared" si="152"/>
        <v>2.3E-2</v>
      </c>
      <c r="O50" s="2377">
        <f t="shared" si="152"/>
        <v>1.04E-2</v>
      </c>
      <c r="P50" s="2377">
        <f t="shared" si="152"/>
        <v>2.8399999999999998E-2</v>
      </c>
      <c r="Q50" s="2377">
        <f t="shared" si="152"/>
        <v>6.7000000000000002E-3</v>
      </c>
      <c r="R50" s="2378"/>
      <c r="S50" s="2379"/>
      <c r="T50" s="2380"/>
      <c r="U50" s="2380"/>
      <c r="V50" s="2380"/>
      <c r="X50" s="2380"/>
      <c r="Y50" s="2380"/>
      <c r="Z50" s="2380"/>
    </row>
    <row r="51" spans="1:26">
      <c r="A51" s="2364" t="s">
        <v>1055</v>
      </c>
      <c r="B51" s="2381">
        <f t="shared" ref="B51:C53" si="166">B50/(1+N50)</f>
        <v>215.05376344086022</v>
      </c>
      <c r="C51" s="2381">
        <f t="shared" si="166"/>
        <v>185.0752177355503</v>
      </c>
      <c r="D51" s="2381">
        <f t="shared" si="150"/>
        <v>185.0752177355503</v>
      </c>
      <c r="E51" s="2381">
        <f t="shared" ref="E51:F53" si="167">E50/(1+P50)</f>
        <v>292.68767016725008</v>
      </c>
      <c r="F51" s="2381">
        <f t="shared" si="167"/>
        <v>166.88189132810174</v>
      </c>
      <c r="G51" s="3563">
        <v>2009</v>
      </c>
      <c r="H51" s="2394">
        <v>3</v>
      </c>
      <c r="I51" s="2394">
        <v>2.1</v>
      </c>
      <c r="J51" s="2394">
        <v>1.86</v>
      </c>
      <c r="K51" s="2394">
        <v>2.29</v>
      </c>
      <c r="L51" s="2395">
        <v>0.85</v>
      </c>
      <c r="N51" s="2382">
        <f t="shared" si="152"/>
        <v>2.1000000000000001E-2</v>
      </c>
      <c r="O51" s="2388">
        <f t="shared" si="152"/>
        <v>1.8600000000000002E-2</v>
      </c>
      <c r="P51" s="2388">
        <f t="shared" si="152"/>
        <v>2.29E-2</v>
      </c>
      <c r="Q51" s="2388">
        <f t="shared" si="152"/>
        <v>8.5000000000000006E-3</v>
      </c>
      <c r="R51" s="2378"/>
      <c r="S51" s="2382"/>
      <c r="T51" s="2351"/>
      <c r="U51" s="2351"/>
      <c r="V51" s="2351"/>
    </row>
    <row r="52" spans="1:26">
      <c r="A52" s="2364" t="s">
        <v>1056</v>
      </c>
      <c r="B52" s="2381">
        <f t="shared" si="166"/>
        <v>210.630522469011</v>
      </c>
      <c r="C52" s="2381">
        <f t="shared" si="166"/>
        <v>181.69567812247232</v>
      </c>
      <c r="D52" s="2381">
        <f t="shared" si="150"/>
        <v>181.69567812247232</v>
      </c>
      <c r="E52" s="2381">
        <f t="shared" si="167"/>
        <v>286.13517466736738</v>
      </c>
      <c r="F52" s="2381">
        <f t="shared" si="167"/>
        <v>165.47535084591149</v>
      </c>
      <c r="G52" s="3563">
        <v>2009</v>
      </c>
      <c r="H52" s="2384">
        <v>2</v>
      </c>
      <c r="I52" s="2384">
        <v>0.86</v>
      </c>
      <c r="J52" s="2384">
        <v>-1.1299999999999999</v>
      </c>
      <c r="K52" s="2384">
        <v>1.79</v>
      </c>
      <c r="L52" s="2385">
        <v>-2.0699999999999998</v>
      </c>
      <c r="N52" s="2382">
        <f t="shared" si="152"/>
        <v>8.6E-3</v>
      </c>
      <c r="O52" s="2388">
        <f t="shared" si="152"/>
        <v>-1.1299999999999999E-2</v>
      </c>
      <c r="P52" s="2388">
        <f t="shared" si="152"/>
        <v>1.7899999999999999E-2</v>
      </c>
      <c r="Q52" s="2388">
        <f t="shared" si="152"/>
        <v>-2.07E-2</v>
      </c>
      <c r="R52" s="2378"/>
      <c r="S52" s="2382"/>
      <c r="T52" s="2351"/>
      <c r="U52" s="2351"/>
      <c r="V52" s="2351"/>
    </row>
    <row r="53" spans="1:26">
      <c r="A53" s="2364" t="s">
        <v>1057</v>
      </c>
      <c r="B53" s="2381">
        <f t="shared" si="166"/>
        <v>208.83454537875372</v>
      </c>
      <c r="C53" s="2381">
        <f t="shared" si="166"/>
        <v>183.77230517090351</v>
      </c>
      <c r="D53" s="2381">
        <f t="shared" si="150"/>
        <v>183.77230517090351</v>
      </c>
      <c r="E53" s="2381">
        <f t="shared" si="167"/>
        <v>281.10342338870947</v>
      </c>
      <c r="F53" s="2381">
        <f t="shared" si="167"/>
        <v>168.97309388942256</v>
      </c>
      <c r="G53" s="3564">
        <v>2009</v>
      </c>
      <c r="H53" s="2366">
        <v>1</v>
      </c>
      <c r="I53" s="2366">
        <v>-2.64</v>
      </c>
      <c r="J53" s="2366">
        <v>-2.5299999999999998</v>
      </c>
      <c r="K53" s="2366">
        <v>-3.02</v>
      </c>
      <c r="L53" s="2367">
        <v>1.52</v>
      </c>
      <c r="N53" s="2386">
        <f t="shared" si="152"/>
        <v>-2.64E-2</v>
      </c>
      <c r="O53" s="2387">
        <f t="shared" si="152"/>
        <v>-2.53E-2</v>
      </c>
      <c r="P53" s="2387">
        <f t="shared" si="152"/>
        <v>-3.0200000000000001E-2</v>
      </c>
      <c r="Q53" s="2387">
        <f t="shared" si="152"/>
        <v>1.52E-2</v>
      </c>
      <c r="R53" s="2378"/>
      <c r="S53" s="2386">
        <f>B53/B54-1</f>
        <v>-2.4137638417038754E-2</v>
      </c>
      <c r="T53" s="2387">
        <f>C53/C54-1</f>
        <v>-2.248773845264096E-2</v>
      </c>
      <c r="U53" s="2387">
        <f>E53/E54-1</f>
        <v>-2.7323794502735366E-2</v>
      </c>
      <c r="V53" s="2387">
        <f>F53/F54-1</f>
        <v>1.7910204153148035E-2</v>
      </c>
      <c r="X53" s="2351"/>
      <c r="Y53" s="2351"/>
      <c r="Z53" s="2351"/>
    </row>
    <row r="54" spans="1:26" ht="13.5" thickBot="1">
      <c r="A54" s="2364" t="s">
        <v>1058</v>
      </c>
      <c r="B54" s="2417">
        <v>214</v>
      </c>
      <c r="C54" s="2417">
        <v>188</v>
      </c>
      <c r="D54" s="2417">
        <f t="shared" si="150"/>
        <v>188</v>
      </c>
      <c r="E54" s="2417">
        <v>289</v>
      </c>
      <c r="F54" s="2418">
        <v>166</v>
      </c>
      <c r="G54" s="3562">
        <v>2008</v>
      </c>
      <c r="H54" s="2391">
        <v>4</v>
      </c>
      <c r="I54" s="2391">
        <v>1.73</v>
      </c>
      <c r="J54" s="2391">
        <v>0.03</v>
      </c>
      <c r="K54" s="2391">
        <v>2.59</v>
      </c>
      <c r="L54" s="2392">
        <v>-1.66</v>
      </c>
      <c r="N54" s="2382">
        <f t="shared" si="152"/>
        <v>1.7299999999999999E-2</v>
      </c>
      <c r="O54" s="2351">
        <f t="shared" si="152"/>
        <v>2.9999999999999997E-4</v>
      </c>
      <c r="P54" s="2351">
        <f t="shared" si="152"/>
        <v>2.5899999999999999E-2</v>
      </c>
      <c r="Q54" s="2351">
        <f t="shared" si="152"/>
        <v>-1.66E-2</v>
      </c>
      <c r="R54" s="2378"/>
      <c r="S54" s="2379"/>
      <c r="T54" s="2380"/>
      <c r="U54" s="2380"/>
      <c r="V54" s="2380"/>
      <c r="X54" s="2380"/>
      <c r="Y54" s="2380"/>
      <c r="Z54" s="2380"/>
    </row>
    <row r="55" spans="1:26">
      <c r="A55" s="2364" t="s">
        <v>1059</v>
      </c>
      <c r="B55" s="2381">
        <f t="shared" ref="B55:C57" si="168">B54/(1+N54)</f>
        <v>210.36075887152265</v>
      </c>
      <c r="C55" s="2381">
        <f t="shared" si="168"/>
        <v>187.94361691492554</v>
      </c>
      <c r="D55" s="2381">
        <f t="shared" si="150"/>
        <v>187.94361691492554</v>
      </c>
      <c r="E55" s="2381">
        <f t="shared" ref="E55:F57" si="169">E54/(1+P54)</f>
        <v>281.70386977288234</v>
      </c>
      <c r="F55" s="2381">
        <f t="shared" si="169"/>
        <v>168.80211511083994</v>
      </c>
      <c r="G55" s="3563">
        <v>2008</v>
      </c>
      <c r="H55" s="2394">
        <v>3</v>
      </c>
      <c r="I55" s="2394">
        <v>1.96</v>
      </c>
      <c r="J55" s="2394">
        <v>2.36</v>
      </c>
      <c r="K55" s="2394">
        <v>1.82</v>
      </c>
      <c r="L55" s="2395">
        <v>2.2200000000000002</v>
      </c>
      <c r="N55" s="2382">
        <f t="shared" si="152"/>
        <v>1.9599999999999999E-2</v>
      </c>
      <c r="O55" s="2351">
        <f t="shared" si="152"/>
        <v>2.3599999999999999E-2</v>
      </c>
      <c r="P55" s="2351">
        <f t="shared" si="152"/>
        <v>1.8200000000000001E-2</v>
      </c>
      <c r="Q55" s="2351">
        <f t="shared" si="152"/>
        <v>2.2200000000000001E-2</v>
      </c>
      <c r="R55" s="2378"/>
      <c r="S55" s="2382"/>
      <c r="T55" s="2351"/>
      <c r="U55" s="2351"/>
      <c r="V55" s="2351"/>
    </row>
    <row r="56" spans="1:26">
      <c r="A56" s="2364" t="s">
        <v>1060</v>
      </c>
      <c r="B56" s="2381">
        <f t="shared" si="168"/>
        <v>206.31694671589116</v>
      </c>
      <c r="C56" s="2381">
        <f t="shared" si="168"/>
        <v>183.61041121036101</v>
      </c>
      <c r="D56" s="2381">
        <f t="shared" si="150"/>
        <v>183.61041121036101</v>
      </c>
      <c r="E56" s="2381">
        <f t="shared" si="169"/>
        <v>276.66850301795557</v>
      </c>
      <c r="F56" s="2381">
        <f t="shared" si="169"/>
        <v>165.1360938278614</v>
      </c>
      <c r="G56" s="3563">
        <v>2008</v>
      </c>
      <c r="H56" s="2384">
        <v>2</v>
      </c>
      <c r="I56" s="2384">
        <v>4.93</v>
      </c>
      <c r="J56" s="2384">
        <v>7.38</v>
      </c>
      <c r="K56" s="2384">
        <v>3.98</v>
      </c>
      <c r="L56" s="2385">
        <v>6.86</v>
      </c>
      <c r="N56" s="2382">
        <f t="shared" si="152"/>
        <v>4.9299999999999997E-2</v>
      </c>
      <c r="O56" s="2351">
        <f t="shared" si="152"/>
        <v>7.3800000000000004E-2</v>
      </c>
      <c r="P56" s="2351">
        <f t="shared" si="152"/>
        <v>3.9800000000000002E-2</v>
      </c>
      <c r="Q56" s="2351">
        <f t="shared" si="152"/>
        <v>6.8600000000000008E-2</v>
      </c>
      <c r="R56" s="2378"/>
      <c r="S56" s="2382"/>
      <c r="T56" s="2351"/>
      <c r="U56" s="2351"/>
      <c r="V56" s="2351"/>
    </row>
    <row r="57" spans="1:26" s="2423" customFormat="1" ht="13.5" thickBot="1">
      <c r="A57" s="2364" t="s">
        <v>1061</v>
      </c>
      <c r="B57" s="2420">
        <f t="shared" si="168"/>
        <v>196.62341248059772</v>
      </c>
      <c r="C57" s="2420">
        <f t="shared" si="168"/>
        <v>170.99125648199012</v>
      </c>
      <c r="D57" s="2420">
        <f t="shared" si="150"/>
        <v>170.99125648199012</v>
      </c>
      <c r="E57" s="2420">
        <f t="shared" si="169"/>
        <v>266.07857570490052</v>
      </c>
      <c r="F57" s="2420">
        <f t="shared" si="169"/>
        <v>154.53499328828505</v>
      </c>
      <c r="G57" s="3564">
        <v>2008</v>
      </c>
      <c r="H57" s="2421">
        <v>1</v>
      </c>
      <c r="I57" s="2421">
        <v>4.1399999999999997</v>
      </c>
      <c r="J57" s="2421">
        <v>3.45</v>
      </c>
      <c r="K57" s="2421">
        <v>4.95</v>
      </c>
      <c r="L57" s="2422">
        <v>4.82</v>
      </c>
      <c r="N57" s="2424">
        <f t="shared" si="152"/>
        <v>4.1399999999999999E-2</v>
      </c>
      <c r="O57" s="2425">
        <f t="shared" si="152"/>
        <v>3.4500000000000003E-2</v>
      </c>
      <c r="P57" s="2425">
        <f t="shared" si="152"/>
        <v>4.9500000000000002E-2</v>
      </c>
      <c r="Q57" s="2425">
        <f t="shared" si="152"/>
        <v>4.82E-2</v>
      </c>
      <c r="R57" s="2426"/>
      <c r="S57" s="2424">
        <f>B57/B58-1</f>
        <v>4.5869215322328349E-2</v>
      </c>
      <c r="T57" s="2425">
        <f>C57/C58-1</f>
        <v>3.6310645345394743E-2</v>
      </c>
      <c r="U57" s="2425">
        <f>E57/E58-1</f>
        <v>4.7553447657088688E-2</v>
      </c>
      <c r="V57" s="2425">
        <f>F57/F58-1</f>
        <v>4.4155360055980086E-2</v>
      </c>
      <c r="X57" s="2425"/>
      <c r="Y57" s="2425"/>
      <c r="Z57" s="2425"/>
    </row>
    <row r="58" spans="1:26" ht="13.5" thickBot="1">
      <c r="A58" s="2364" t="s">
        <v>1062</v>
      </c>
      <c r="B58" s="2374">
        <v>188</v>
      </c>
      <c r="C58" s="2374">
        <v>165</v>
      </c>
      <c r="D58" s="2374">
        <f t="shared" si="150"/>
        <v>165</v>
      </c>
      <c r="E58" s="2374">
        <v>254</v>
      </c>
      <c r="F58" s="2375">
        <v>148</v>
      </c>
      <c r="G58" s="3562">
        <v>2007</v>
      </c>
      <c r="H58" s="2427">
        <v>4</v>
      </c>
      <c r="I58" s="2427">
        <v>5.51</v>
      </c>
      <c r="J58" s="2427">
        <v>4.8899999999999997</v>
      </c>
      <c r="K58" s="2427">
        <v>6.43</v>
      </c>
      <c r="L58" s="2428">
        <v>5.36</v>
      </c>
      <c r="N58" s="2429">
        <f t="shared" ref="N58:O61" si="170">B58/B59-1</f>
        <v>4.1339718365245526E-2</v>
      </c>
      <c r="O58" s="2430">
        <f t="shared" si="170"/>
        <v>4.0324492593776018E-2</v>
      </c>
      <c r="P58" s="2430">
        <f t="shared" ref="P58:Q61" si="171">E58/E59-1</f>
        <v>6.1625555347990968E-2</v>
      </c>
      <c r="Q58" s="2430">
        <f t="shared" si="171"/>
        <v>4.6757569250590603E-2</v>
      </c>
      <c r="R58" s="2378"/>
      <c r="S58" s="2379"/>
      <c r="T58" s="2380"/>
      <c r="U58" s="2380"/>
      <c r="V58" s="2380"/>
      <c r="X58" s="2380"/>
      <c r="Y58" s="2380"/>
      <c r="Z58" s="2380"/>
    </row>
    <row r="59" spans="1:26">
      <c r="A59" s="2364" t="s">
        <v>1063</v>
      </c>
      <c r="B59" s="2381">
        <f t="shared" ref="B59:C61" si="172">B60+(B$58-B$62)*I59/SUM(I$58:I$61)</f>
        <v>180.5366651097618</v>
      </c>
      <c r="C59" s="2381">
        <f t="shared" si="172"/>
        <v>158.60435967302453</v>
      </c>
      <c r="D59" s="2381">
        <f t="shared" si="150"/>
        <v>158.60435967302453</v>
      </c>
      <c r="E59" s="2381">
        <f t="shared" ref="E59:F61" si="173">E60+(E$58-E$62)*K59/SUM(K$58:K$61)</f>
        <v>239.25573260785075</v>
      </c>
      <c r="F59" s="2381">
        <f t="shared" si="173"/>
        <v>141.38899430740037</v>
      </c>
      <c r="G59" s="3563">
        <v>2007</v>
      </c>
      <c r="H59" s="2394">
        <v>3</v>
      </c>
      <c r="I59" s="2394">
        <v>8.65</v>
      </c>
      <c r="J59" s="2394">
        <v>8.06</v>
      </c>
      <c r="K59" s="2394">
        <v>9.94</v>
      </c>
      <c r="L59" s="2395">
        <v>5.8</v>
      </c>
      <c r="N59" s="2429">
        <f t="shared" si="170"/>
        <v>6.940217571740015E-2</v>
      </c>
      <c r="O59" s="2430">
        <f t="shared" si="170"/>
        <v>7.1197482471153428E-2</v>
      </c>
      <c r="P59" s="2430">
        <f t="shared" si="171"/>
        <v>0.10529679922579582</v>
      </c>
      <c r="Q59" s="2430">
        <f t="shared" si="171"/>
        <v>5.3292245059512133E-2</v>
      </c>
      <c r="R59" s="2378"/>
      <c r="S59" s="2382"/>
      <c r="T59" s="2351"/>
      <c r="U59" s="2351"/>
      <c r="V59" s="2351"/>
      <c r="X59" s="2431"/>
      <c r="Y59" s="2431"/>
      <c r="Z59" s="2431"/>
    </row>
    <row r="60" spans="1:26">
      <c r="A60" s="2364" t="s">
        <v>1064</v>
      </c>
      <c r="B60" s="2381">
        <f t="shared" si="172"/>
        <v>168.82017748715555</v>
      </c>
      <c r="C60" s="2381">
        <f t="shared" si="172"/>
        <v>148.06267029972753</v>
      </c>
      <c r="D60" s="2381">
        <f t="shared" si="150"/>
        <v>148.06267029972753</v>
      </c>
      <c r="E60" s="2381">
        <f t="shared" si="173"/>
        <v>216.46288379323747</v>
      </c>
      <c r="F60" s="2381">
        <f t="shared" si="173"/>
        <v>134.23529411764704</v>
      </c>
      <c r="G60" s="3563">
        <v>2007</v>
      </c>
      <c r="H60" s="2384">
        <v>2</v>
      </c>
      <c r="I60" s="2384">
        <v>3.67</v>
      </c>
      <c r="J60" s="2384">
        <v>2.3199999999999998</v>
      </c>
      <c r="K60" s="2384">
        <v>5.0199999999999996</v>
      </c>
      <c r="L60" s="2385">
        <v>6.71</v>
      </c>
      <c r="N60" s="2429">
        <f t="shared" si="170"/>
        <v>3.0339138143848032E-2</v>
      </c>
      <c r="O60" s="2430">
        <f t="shared" si="170"/>
        <v>2.0922341588790472E-2</v>
      </c>
      <c r="P60" s="2430">
        <f t="shared" si="171"/>
        <v>5.6164796592717003E-2</v>
      </c>
      <c r="Q60" s="2430">
        <f t="shared" si="171"/>
        <v>6.5704536723887319E-2</v>
      </c>
      <c r="R60" s="2378"/>
      <c r="S60" s="2382"/>
      <c r="T60" s="2351"/>
      <c r="U60" s="2351"/>
      <c r="V60" s="2351"/>
      <c r="X60" s="2431"/>
      <c r="Y60" s="2431"/>
      <c r="Z60" s="2431"/>
    </row>
    <row r="61" spans="1:26">
      <c r="A61" s="2364" t="s">
        <v>1065</v>
      </c>
      <c r="B61" s="2381">
        <f t="shared" si="172"/>
        <v>163.84913591779542</v>
      </c>
      <c r="C61" s="2381">
        <f t="shared" si="172"/>
        <v>145.0283378746594</v>
      </c>
      <c r="D61" s="2381">
        <f t="shared" si="150"/>
        <v>145.0283378746594</v>
      </c>
      <c r="E61" s="2381">
        <f t="shared" si="173"/>
        <v>204.95180722891567</v>
      </c>
      <c r="F61" s="2381">
        <f t="shared" si="173"/>
        <v>125.95920303605313</v>
      </c>
      <c r="G61" s="3564">
        <v>2007</v>
      </c>
      <c r="H61" s="2366">
        <v>1</v>
      </c>
      <c r="I61" s="2366">
        <v>3.58</v>
      </c>
      <c r="J61" s="2366">
        <v>3.08</v>
      </c>
      <c r="K61" s="2366">
        <v>4.34</v>
      </c>
      <c r="L61" s="2367">
        <v>3.21</v>
      </c>
      <c r="N61" s="2432">
        <f t="shared" si="170"/>
        <v>3.0497710174814063E-2</v>
      </c>
      <c r="O61" s="2433">
        <f t="shared" si="170"/>
        <v>2.8569772160704998E-2</v>
      </c>
      <c r="P61" s="2433">
        <f t="shared" si="171"/>
        <v>5.1034908866234296E-2</v>
      </c>
      <c r="Q61" s="2433">
        <f t="shared" si="171"/>
        <v>3.245248390207478E-2</v>
      </c>
      <c r="R61" s="2378"/>
      <c r="S61" s="2386">
        <f>B61/B62-1</f>
        <v>3.0497710174814063E-2</v>
      </c>
      <c r="T61" s="2387">
        <f>C61/C62-1</f>
        <v>2.8569772160704998E-2</v>
      </c>
      <c r="U61" s="2387">
        <f>E61/E62-1</f>
        <v>5.1034908866234296E-2</v>
      </c>
      <c r="V61" s="2387">
        <f>F61/F62-1</f>
        <v>3.245248390207478E-2</v>
      </c>
      <c r="X61" s="2431"/>
      <c r="Y61" s="2431"/>
      <c r="Z61" s="2431"/>
    </row>
    <row r="62" spans="1:26" ht="13.5" thickBot="1">
      <c r="A62" s="2364" t="s">
        <v>1066</v>
      </c>
      <c r="B62" s="2396">
        <v>159</v>
      </c>
      <c r="C62" s="2396">
        <v>141</v>
      </c>
      <c r="D62" s="2396">
        <f t="shared" si="150"/>
        <v>141</v>
      </c>
      <c r="E62" s="2396">
        <v>195</v>
      </c>
      <c r="F62" s="2397">
        <v>122</v>
      </c>
      <c r="G62" s="3562">
        <v>2006</v>
      </c>
      <c r="H62" s="2391">
        <v>4</v>
      </c>
      <c r="I62" s="2391">
        <v>3.79</v>
      </c>
      <c r="J62" s="2391">
        <v>2.21</v>
      </c>
      <c r="K62" s="2391">
        <v>5.65</v>
      </c>
      <c r="L62" s="2392">
        <v>5.41</v>
      </c>
      <c r="N62" s="2429">
        <f t="shared" ref="N62:O65" si="174">I62/SUM(I$62:I$65)*(B$62/B$66-1)</f>
        <v>7.245466462748526E-2</v>
      </c>
      <c r="O62" s="2430">
        <f t="shared" si="174"/>
        <v>2.3237230038062766E-2</v>
      </c>
      <c r="P62" s="2430">
        <f t="shared" ref="P62:Q65" si="175">K62/SUM(K$62:K$65)*(E$62/E$66-1)</f>
        <v>0.16146893866323722</v>
      </c>
      <c r="Q62" s="2430">
        <f t="shared" si="175"/>
        <v>5.0755230321793784E-2</v>
      </c>
      <c r="R62" s="2378"/>
      <c r="S62" s="2379"/>
      <c r="T62" s="2380"/>
      <c r="U62" s="2380"/>
      <c r="V62" s="2380"/>
      <c r="X62" s="2431"/>
      <c r="Y62" s="2431"/>
      <c r="Z62" s="2431"/>
    </row>
    <row r="63" spans="1:26">
      <c r="A63" s="2364" t="s">
        <v>1067</v>
      </c>
      <c r="B63" s="2381">
        <f t="shared" ref="B63:C65" si="176">B64+(B$62-B$66)*I63/SUM(I$62:I$65)</f>
        <v>149.00125628140702</v>
      </c>
      <c r="C63" s="2381">
        <f t="shared" si="176"/>
        <v>137.95592286501378</v>
      </c>
      <c r="D63" s="2381">
        <f t="shared" si="150"/>
        <v>137.95592286501378</v>
      </c>
      <c r="E63" s="2381">
        <f t="shared" ref="E63:F65" si="177">E64+(E$62-E$66)*K63/SUM(K$62:K$65)</f>
        <v>169.97231450719823</v>
      </c>
      <c r="F63" s="2381">
        <f t="shared" si="177"/>
        <v>116.21390374331551</v>
      </c>
      <c r="G63" s="3563">
        <v>2006</v>
      </c>
      <c r="H63" s="2394">
        <v>3</v>
      </c>
      <c r="I63" s="2394">
        <v>0.92</v>
      </c>
      <c r="J63" s="2394">
        <v>1.08</v>
      </c>
      <c r="K63" s="2394">
        <v>0.73</v>
      </c>
      <c r="L63" s="2395">
        <v>1.08</v>
      </c>
      <c r="N63" s="2429">
        <f t="shared" si="174"/>
        <v>1.7587939698492462E-2</v>
      </c>
      <c r="O63" s="2430">
        <f t="shared" si="174"/>
        <v>1.1355750425840628E-2</v>
      </c>
      <c r="P63" s="2430">
        <f t="shared" si="175"/>
        <v>2.0862358446754544E-2</v>
      </c>
      <c r="Q63" s="2430">
        <f t="shared" si="175"/>
        <v>1.0132282578103011E-2</v>
      </c>
      <c r="R63" s="2378"/>
      <c r="S63" s="2382"/>
      <c r="T63" s="2351"/>
      <c r="U63" s="2351"/>
      <c r="V63" s="2351"/>
      <c r="X63" s="2431"/>
      <c r="Y63" s="2431"/>
      <c r="Z63" s="2431"/>
    </row>
    <row r="64" spans="1:26">
      <c r="A64" s="2364" t="s">
        <v>1068</v>
      </c>
      <c r="B64" s="2381">
        <f t="shared" si="176"/>
        <v>146.57412060301507</v>
      </c>
      <c r="C64" s="2381">
        <f t="shared" si="176"/>
        <v>136.46831955922866</v>
      </c>
      <c r="D64" s="2381">
        <f t="shared" si="150"/>
        <v>136.46831955922866</v>
      </c>
      <c r="E64" s="2381">
        <f t="shared" si="177"/>
        <v>166.73864894795128</v>
      </c>
      <c r="F64" s="2381">
        <f t="shared" si="177"/>
        <v>115.05882352941177</v>
      </c>
      <c r="G64" s="3563">
        <v>2006</v>
      </c>
      <c r="H64" s="2384">
        <v>2</v>
      </c>
      <c r="I64" s="2384">
        <v>0.96</v>
      </c>
      <c r="J64" s="2384">
        <v>0.25</v>
      </c>
      <c r="K64" s="2384">
        <v>1.9</v>
      </c>
      <c r="L64" s="2385">
        <v>0.95</v>
      </c>
      <c r="N64" s="2429">
        <f t="shared" si="174"/>
        <v>1.8352632728861701E-2</v>
      </c>
      <c r="O64" s="2430">
        <f t="shared" si="174"/>
        <v>2.6286459319075526E-3</v>
      </c>
      <c r="P64" s="2430">
        <f t="shared" si="175"/>
        <v>5.4299289107991269E-2</v>
      </c>
      <c r="Q64" s="2430">
        <f t="shared" si="175"/>
        <v>8.9126559714794995E-3</v>
      </c>
      <c r="R64" s="2378"/>
      <c r="S64" s="2382"/>
      <c r="T64" s="2351"/>
      <c r="U64" s="2351"/>
      <c r="V64" s="2351"/>
      <c r="X64" s="2431"/>
      <c r="Y64" s="2431"/>
      <c r="Z64" s="2431"/>
    </row>
    <row r="65" spans="1:26">
      <c r="A65" s="2364" t="s">
        <v>1069</v>
      </c>
      <c r="B65" s="2381">
        <f t="shared" si="176"/>
        <v>144.04145728643215</v>
      </c>
      <c r="C65" s="2381">
        <f t="shared" si="176"/>
        <v>136.12396694214877</v>
      </c>
      <c r="D65" s="2381">
        <f t="shared" si="150"/>
        <v>136.12396694214877</v>
      </c>
      <c r="E65" s="2381">
        <f t="shared" si="177"/>
        <v>158.32225913621264</v>
      </c>
      <c r="F65" s="2381">
        <f t="shared" si="177"/>
        <v>114.04278074866311</v>
      </c>
      <c r="G65" s="3564">
        <v>2006</v>
      </c>
      <c r="H65" s="2366">
        <v>1</v>
      </c>
      <c r="I65" s="2366">
        <v>2.29</v>
      </c>
      <c r="J65" s="2366">
        <v>3.72</v>
      </c>
      <c r="K65" s="2366">
        <v>0.75</v>
      </c>
      <c r="L65" s="2367">
        <v>0.04</v>
      </c>
      <c r="N65" s="2432">
        <f t="shared" si="174"/>
        <v>4.3778675988638847E-2</v>
      </c>
      <c r="O65" s="2433">
        <f t="shared" si="174"/>
        <v>3.9114251466784385E-2</v>
      </c>
      <c r="P65" s="2433">
        <f t="shared" si="175"/>
        <v>2.1433929911049188E-2</v>
      </c>
      <c r="Q65" s="2433">
        <f t="shared" si="175"/>
        <v>3.7526972511492629E-4</v>
      </c>
      <c r="R65" s="2378"/>
      <c r="S65" s="2386">
        <f>B65/B66-1</f>
        <v>4.3778675988638716E-2</v>
      </c>
      <c r="T65" s="2387">
        <f>C65/C66-1</f>
        <v>3.91142514667846E-2</v>
      </c>
      <c r="U65" s="2387">
        <f>E65/E66-1</f>
        <v>2.143392991104931E-2</v>
      </c>
      <c r="V65" s="2387">
        <f>F65/F66-1</f>
        <v>3.7526972511492396E-4</v>
      </c>
      <c r="X65" s="2431"/>
      <c r="Y65" s="2431"/>
      <c r="Z65" s="2431"/>
    </row>
    <row r="66" spans="1:26" ht="13.5" thickBot="1">
      <c r="A66" s="2364" t="s">
        <v>1070</v>
      </c>
      <c r="B66" s="2396">
        <v>138</v>
      </c>
      <c r="C66" s="2396">
        <v>131</v>
      </c>
      <c r="D66" s="2396">
        <f t="shared" si="150"/>
        <v>131</v>
      </c>
      <c r="E66" s="2396">
        <v>155</v>
      </c>
      <c r="F66" s="2397">
        <v>114</v>
      </c>
      <c r="G66" s="3562">
        <v>2005</v>
      </c>
      <c r="H66" s="2391">
        <v>4</v>
      </c>
      <c r="I66" s="2391">
        <v>3.29</v>
      </c>
      <c r="J66" s="2391">
        <v>1.44</v>
      </c>
      <c r="K66" s="2391">
        <v>0.66</v>
      </c>
      <c r="L66" s="2392">
        <v>7.78</v>
      </c>
      <c r="N66" s="2429">
        <f t="shared" ref="N66:O69" si="178">I66/SUM(I$66:I$69)*(B$66/B$70-1)</f>
        <v>9.9404603216919935E-2</v>
      </c>
      <c r="O66" s="2430">
        <f t="shared" si="178"/>
        <v>4.7636550760861554E-2</v>
      </c>
      <c r="P66" s="2430">
        <f t="shared" ref="P66:Q69" si="179">K66/SUM(K$66:K$69)*(E$66/E$70-1)</f>
        <v>8.3756345177664976E-2</v>
      </c>
      <c r="Q66" s="2430">
        <f t="shared" si="179"/>
        <v>5.2148766661559584E-2</v>
      </c>
      <c r="R66" s="2378"/>
      <c r="S66" s="2379"/>
      <c r="T66" s="2380"/>
      <c r="U66" s="2380"/>
      <c r="V66" s="2380"/>
      <c r="X66" s="2431"/>
      <c r="Y66" s="2431"/>
      <c r="Z66" s="2431"/>
    </row>
    <row r="67" spans="1:26">
      <c r="A67" s="2364" t="s">
        <v>1071</v>
      </c>
      <c r="B67" s="2381">
        <f t="shared" ref="B67:C69" si="180">B68+(B$66-B$70)*I67/SUM(I$66:I$69)</f>
        <v>125.9720430107527</v>
      </c>
      <c r="C67" s="2381">
        <f t="shared" si="180"/>
        <v>125.1883408071749</v>
      </c>
      <c r="D67" s="2381">
        <f t="shared" si="150"/>
        <v>125.1883408071749</v>
      </c>
      <c r="E67" s="2381">
        <f t="shared" ref="E67:F69" si="181">E68+(E$66-E$70)*K67/SUM(K$66:K$69)</f>
        <v>144.61421319796952</v>
      </c>
      <c r="F67" s="2381">
        <f t="shared" si="181"/>
        <v>108.42008196721311</v>
      </c>
      <c r="G67" s="3563">
        <v>2005</v>
      </c>
      <c r="H67" s="2394">
        <v>3</v>
      </c>
      <c r="I67" s="2394">
        <v>0.46</v>
      </c>
      <c r="J67" s="2394">
        <v>0.32</v>
      </c>
      <c r="K67" s="2394">
        <v>0.42</v>
      </c>
      <c r="L67" s="2395">
        <v>0.64</v>
      </c>
      <c r="N67" s="2429">
        <f t="shared" si="178"/>
        <v>1.3898515951301874E-2</v>
      </c>
      <c r="O67" s="2430">
        <f t="shared" si="178"/>
        <v>1.0585900169080346E-2</v>
      </c>
      <c r="P67" s="2430">
        <f t="shared" si="179"/>
        <v>5.3299492385786795E-2</v>
      </c>
      <c r="Q67" s="2430">
        <f t="shared" si="179"/>
        <v>4.2898728359123568E-3</v>
      </c>
      <c r="R67" s="2378"/>
      <c r="S67" s="2382"/>
      <c r="T67" s="2351"/>
      <c r="U67" s="2351"/>
      <c r="V67" s="2351"/>
      <c r="X67" s="2431"/>
      <c r="Y67" s="2431"/>
      <c r="Z67" s="2431"/>
    </row>
    <row r="68" spans="1:26">
      <c r="A68" s="2364" t="s">
        <v>1072</v>
      </c>
      <c r="B68" s="2381">
        <f t="shared" si="180"/>
        <v>124.29032258064517</v>
      </c>
      <c r="C68" s="2381">
        <f t="shared" si="180"/>
        <v>123.8968609865471</v>
      </c>
      <c r="D68" s="2381">
        <f t="shared" si="150"/>
        <v>123.8968609865471</v>
      </c>
      <c r="E68" s="2381">
        <f t="shared" si="181"/>
        <v>138.00507614213197</v>
      </c>
      <c r="F68" s="2381">
        <f t="shared" si="181"/>
        <v>107.96106557377048</v>
      </c>
      <c r="G68" s="3563">
        <v>2005</v>
      </c>
      <c r="H68" s="2384">
        <v>2</v>
      </c>
      <c r="I68" s="2384">
        <v>0.47</v>
      </c>
      <c r="J68" s="2384">
        <v>0.1</v>
      </c>
      <c r="K68" s="2384">
        <v>0.52</v>
      </c>
      <c r="L68" s="2385">
        <v>0.79</v>
      </c>
      <c r="N68" s="2429">
        <f t="shared" si="178"/>
        <v>1.420065760241713E-2</v>
      </c>
      <c r="O68" s="2430">
        <f t="shared" si="178"/>
        <v>3.3080938028376083E-3</v>
      </c>
      <c r="P68" s="2430">
        <f t="shared" si="179"/>
        <v>6.598984771573603E-2</v>
      </c>
      <c r="Q68" s="2430">
        <f t="shared" si="179"/>
        <v>5.2953117818293153E-3</v>
      </c>
      <c r="R68" s="2378"/>
      <c r="S68" s="2382"/>
      <c r="T68" s="2351"/>
      <c r="U68" s="2351"/>
      <c r="V68" s="2351"/>
      <c r="X68" s="2431"/>
      <c r="Y68" s="2431"/>
      <c r="Z68" s="2431"/>
    </row>
    <row r="69" spans="1:26">
      <c r="A69" s="2364" t="s">
        <v>1073</v>
      </c>
      <c r="B69" s="2381">
        <f t="shared" si="180"/>
        <v>122.57204301075269</v>
      </c>
      <c r="C69" s="2381">
        <f t="shared" si="180"/>
        <v>123.4932735426009</v>
      </c>
      <c r="D69" s="2381">
        <f t="shared" si="150"/>
        <v>123.4932735426009</v>
      </c>
      <c r="E69" s="2381">
        <f t="shared" si="181"/>
        <v>129.82233502538071</v>
      </c>
      <c r="F69" s="2381">
        <f t="shared" si="181"/>
        <v>107.39446721311475</v>
      </c>
      <c r="G69" s="3564">
        <v>2005</v>
      </c>
      <c r="H69" s="2366">
        <v>1</v>
      </c>
      <c r="I69" s="2366">
        <v>0.43</v>
      </c>
      <c r="J69" s="2366">
        <v>0.37</v>
      </c>
      <c r="K69" s="2366">
        <v>0.37</v>
      </c>
      <c r="L69" s="2367">
        <v>0.55000000000000004</v>
      </c>
      <c r="N69" s="2432">
        <f t="shared" si="178"/>
        <v>1.2992090997956099E-2</v>
      </c>
      <c r="O69" s="2433">
        <f t="shared" si="178"/>
        <v>1.2239947070499151E-2</v>
      </c>
      <c r="P69" s="2433">
        <f t="shared" si="179"/>
        <v>4.6954314720812178E-2</v>
      </c>
      <c r="Q69" s="2433">
        <f t="shared" si="179"/>
        <v>3.6866094683621815E-3</v>
      </c>
      <c r="R69" s="2378"/>
      <c r="S69" s="2386">
        <f>B69/B70-1</f>
        <v>1.2992090997956174E-2</v>
      </c>
      <c r="T69" s="2387">
        <f>C69/C70-1</f>
        <v>1.2239947070499246E-2</v>
      </c>
      <c r="U69" s="2387">
        <f>E69/E70-1</f>
        <v>4.695431472081224E-2</v>
      </c>
      <c r="V69" s="2387">
        <f>F69/F70-1</f>
        <v>3.6866094683620787E-3</v>
      </c>
      <c r="X69" s="2431"/>
      <c r="Y69" s="2431"/>
      <c r="Z69" s="2431"/>
    </row>
    <row r="70" spans="1:26" ht="13.5" thickBot="1">
      <c r="A70" s="2364" t="s">
        <v>1074</v>
      </c>
      <c r="B70" s="2417">
        <v>121</v>
      </c>
      <c r="C70" s="2417">
        <v>122</v>
      </c>
      <c r="D70" s="2417">
        <f t="shared" si="150"/>
        <v>122</v>
      </c>
      <c r="E70" s="2417">
        <v>124</v>
      </c>
      <c r="F70" s="2418">
        <v>107</v>
      </c>
      <c r="G70" s="3562">
        <v>2004</v>
      </c>
      <c r="H70" s="2391">
        <v>4</v>
      </c>
      <c r="I70" s="2391">
        <v>0.33</v>
      </c>
      <c r="J70" s="2391">
        <v>0.5</v>
      </c>
      <c r="K70" s="2391">
        <v>0.5</v>
      </c>
      <c r="L70" s="2392">
        <v>0</v>
      </c>
      <c r="N70" s="2429">
        <f t="shared" ref="N70:O73" si="182">I70/SUM(I$70:I$73)*(B$70/B$74-1)</f>
        <v>1.3391770148526898E-2</v>
      </c>
      <c r="O70" s="2430">
        <f t="shared" si="182"/>
        <v>1.063264221158958E-2</v>
      </c>
      <c r="P70" s="2430">
        <f t="shared" ref="P70:Q73" si="183">K70/SUM(K$70:K$73)*(E$70/E$74-1)</f>
        <v>2.2244466688911134E-2</v>
      </c>
      <c r="Q70" s="2430">
        <f t="shared" si="183"/>
        <v>0</v>
      </c>
      <c r="R70" s="2378"/>
      <c r="S70" s="2379"/>
      <c r="T70" s="2380"/>
      <c r="U70" s="2380"/>
      <c r="V70" s="2380"/>
      <c r="X70" s="2431"/>
      <c r="Y70" s="2431"/>
      <c r="Z70" s="2431"/>
    </row>
    <row r="71" spans="1:26">
      <c r="A71" s="2364" t="s">
        <v>1075</v>
      </c>
      <c r="B71" s="2381">
        <f t="shared" ref="B71:C73" si="184">B72+(B$70-B$74)*I71/SUM(I$70:I$73)</f>
        <v>119.51351351351352</v>
      </c>
      <c r="C71" s="2381">
        <f t="shared" si="184"/>
        <v>120.7878787878788</v>
      </c>
      <c r="D71" s="2381">
        <f t="shared" si="150"/>
        <v>120.7878787878788</v>
      </c>
      <c r="E71" s="2381">
        <f t="shared" ref="E71:F73" si="185">E72+(E$70-E$74)*K71/SUM(K$70:K$73)</f>
        <v>121.5975975975976</v>
      </c>
      <c r="F71" s="2381">
        <f t="shared" si="185"/>
        <v>107</v>
      </c>
      <c r="G71" s="3563">
        <v>2004</v>
      </c>
      <c r="H71" s="2394">
        <v>3</v>
      </c>
      <c r="I71" s="2394">
        <v>0.56000000000000005</v>
      </c>
      <c r="J71" s="2394">
        <v>0.8</v>
      </c>
      <c r="K71" s="2394">
        <v>0.83</v>
      </c>
      <c r="L71" s="2395">
        <v>0.06</v>
      </c>
      <c r="N71" s="2429">
        <f t="shared" si="182"/>
        <v>2.2725428130833527E-2</v>
      </c>
      <c r="O71" s="2430">
        <f t="shared" si="182"/>
        <v>1.7012227538543329E-2</v>
      </c>
      <c r="P71" s="2430">
        <f t="shared" si="183"/>
        <v>3.6925814703592477E-2</v>
      </c>
      <c r="Q71" s="2430">
        <f t="shared" si="183"/>
        <v>2.8846153846153744E-2</v>
      </c>
      <c r="R71" s="2378"/>
      <c r="S71" s="2382"/>
      <c r="T71" s="2351"/>
      <c r="U71" s="2351"/>
      <c r="V71" s="2351"/>
      <c r="X71" s="2431"/>
      <c r="Y71" s="2431"/>
      <c r="Z71" s="2431"/>
    </row>
    <row r="72" spans="1:26">
      <c r="A72" s="2364" t="s">
        <v>1076</v>
      </c>
      <c r="B72" s="2381">
        <f t="shared" si="184"/>
        <v>116.99099099099099</v>
      </c>
      <c r="C72" s="2381">
        <f t="shared" si="184"/>
        <v>118.84848484848486</v>
      </c>
      <c r="D72" s="2381">
        <f t="shared" si="150"/>
        <v>118.84848484848486</v>
      </c>
      <c r="E72" s="2381">
        <f t="shared" si="185"/>
        <v>117.60960960960961</v>
      </c>
      <c r="F72" s="2381">
        <f t="shared" si="185"/>
        <v>104</v>
      </c>
      <c r="G72" s="3563">
        <v>2004</v>
      </c>
      <c r="H72" s="2384">
        <v>2</v>
      </c>
      <c r="I72" s="2384">
        <v>1</v>
      </c>
      <c r="J72" s="2384">
        <v>1.5</v>
      </c>
      <c r="K72" s="2384">
        <v>1.5</v>
      </c>
      <c r="L72" s="2385">
        <v>0</v>
      </c>
      <c r="N72" s="2429">
        <f t="shared" si="182"/>
        <v>4.0581121662202721E-2</v>
      </c>
      <c r="O72" s="2430">
        <f t="shared" si="182"/>
        <v>3.1897926634768738E-2</v>
      </c>
      <c r="P72" s="2430">
        <f t="shared" si="183"/>
        <v>6.6733400066733395E-2</v>
      </c>
      <c r="Q72" s="2430">
        <f t="shared" si="183"/>
        <v>0</v>
      </c>
      <c r="R72" s="2378"/>
      <c r="S72" s="2382"/>
      <c r="T72" s="2351"/>
      <c r="U72" s="2351"/>
      <c r="V72" s="2351"/>
      <c r="X72" s="2431"/>
      <c r="Y72" s="2431"/>
      <c r="Z72" s="2431"/>
    </row>
    <row r="73" spans="1:26" s="2423" customFormat="1" ht="13.5" thickBot="1">
      <c r="A73" s="2364" t="s">
        <v>1077</v>
      </c>
      <c r="B73" s="2420">
        <f t="shared" si="184"/>
        <v>112.48648648648648</v>
      </c>
      <c r="C73" s="2420">
        <f t="shared" si="184"/>
        <v>115.21212121212122</v>
      </c>
      <c r="D73" s="2420">
        <f t="shared" si="150"/>
        <v>115.21212121212122</v>
      </c>
      <c r="E73" s="2420">
        <f t="shared" si="185"/>
        <v>110.4024024024024</v>
      </c>
      <c r="F73" s="2420">
        <f t="shared" si="185"/>
        <v>104</v>
      </c>
      <c r="G73" s="3564">
        <v>2004</v>
      </c>
      <c r="H73" s="2421">
        <v>1</v>
      </c>
      <c r="I73" s="2421">
        <v>0.33</v>
      </c>
      <c r="J73" s="2421">
        <v>0.5</v>
      </c>
      <c r="K73" s="2421">
        <v>0.5</v>
      </c>
      <c r="L73" s="2422">
        <v>0</v>
      </c>
      <c r="N73" s="2434">
        <f t="shared" si="182"/>
        <v>1.3391770148526898E-2</v>
      </c>
      <c r="O73" s="2435">
        <f t="shared" si="182"/>
        <v>1.063264221158958E-2</v>
      </c>
      <c r="P73" s="2435">
        <f t="shared" si="183"/>
        <v>2.2244466688911134E-2</v>
      </c>
      <c r="Q73" s="2435">
        <f t="shared" si="183"/>
        <v>0</v>
      </c>
      <c r="R73" s="2426"/>
      <c r="S73" s="2424">
        <f>B73/B74-1</f>
        <v>1.3391770148526883E-2</v>
      </c>
      <c r="T73" s="2425">
        <f>C73/C74-1</f>
        <v>1.063264221158966E-2</v>
      </c>
      <c r="U73" s="2425">
        <f>E73/E74-1</f>
        <v>2.2244466688911224E-2</v>
      </c>
      <c r="V73" s="2425">
        <f>F73/F74-1</f>
        <v>0</v>
      </c>
      <c r="X73" s="2436"/>
      <c r="Y73" s="2436"/>
      <c r="Z73" s="2436"/>
    </row>
    <row r="74" spans="1:26" ht="13.5" thickBot="1">
      <c r="A74" s="2364" t="s">
        <v>1078</v>
      </c>
      <c r="B74" s="2437">
        <v>111</v>
      </c>
      <c r="C74" s="2437">
        <v>114</v>
      </c>
      <c r="D74" s="2437">
        <f t="shared" si="150"/>
        <v>114</v>
      </c>
      <c r="E74" s="2437">
        <v>108</v>
      </c>
      <c r="F74" s="2438">
        <v>104</v>
      </c>
      <c r="G74" s="3562">
        <v>2003</v>
      </c>
      <c r="H74" s="2427">
        <v>4</v>
      </c>
      <c r="I74" s="2439"/>
      <c r="J74" s="2439"/>
      <c r="K74" s="2439"/>
      <c r="L74" s="2439"/>
      <c r="N74" s="2440"/>
      <c r="O74" s="2439"/>
      <c r="P74" s="2439"/>
      <c r="Q74" s="2439"/>
      <c r="S74" s="2440"/>
      <c r="T74" s="2439"/>
      <c r="U74" s="2439"/>
      <c r="V74" s="2439"/>
      <c r="X74" s="2431"/>
      <c r="Y74" s="2431"/>
      <c r="Z74" s="2431"/>
    </row>
    <row r="75" spans="1:26">
      <c r="A75" s="2364" t="s">
        <v>1079</v>
      </c>
      <c r="B75" s="2441">
        <f t="shared" ref="B75:C77" si="186">B76+(B$74-B$78)/4</f>
        <v>109.75</v>
      </c>
      <c r="C75" s="2441">
        <f t="shared" si="186"/>
        <v>112.25</v>
      </c>
      <c r="D75" s="2441">
        <f t="shared" si="150"/>
        <v>112.25</v>
      </c>
      <c r="E75" s="2441">
        <f t="shared" ref="E75:F77" si="187">E76+(E$74-E$78)/4</f>
        <v>107.25</v>
      </c>
      <c r="F75" s="2441">
        <f t="shared" si="187"/>
        <v>103.5</v>
      </c>
      <c r="G75" s="3563">
        <v>2003</v>
      </c>
      <c r="H75" s="2394">
        <v>3</v>
      </c>
      <c r="I75" s="2439"/>
      <c r="J75" s="2439"/>
      <c r="K75" s="2439"/>
      <c r="L75" s="2439"/>
      <c r="X75" s="2431"/>
      <c r="Y75" s="2431"/>
      <c r="Z75" s="2431"/>
    </row>
    <row r="76" spans="1:26">
      <c r="A76" s="2364" t="s">
        <v>1080</v>
      </c>
      <c r="B76" s="2441">
        <f t="shared" si="186"/>
        <v>108.5</v>
      </c>
      <c r="C76" s="2441">
        <f t="shared" si="186"/>
        <v>110.5</v>
      </c>
      <c r="D76" s="2441">
        <f t="shared" si="150"/>
        <v>110.5</v>
      </c>
      <c r="E76" s="2441">
        <f t="shared" si="187"/>
        <v>106.5</v>
      </c>
      <c r="F76" s="2441">
        <f t="shared" si="187"/>
        <v>103</v>
      </c>
      <c r="G76" s="3563">
        <v>2003</v>
      </c>
      <c r="H76" s="2384">
        <v>2</v>
      </c>
      <c r="I76" s="2439"/>
      <c r="J76" s="2439"/>
      <c r="K76" s="2439"/>
      <c r="L76" s="2439"/>
      <c r="X76" s="2431"/>
      <c r="Y76" s="2431"/>
      <c r="Z76" s="2431"/>
    </row>
    <row r="77" spans="1:26" ht="13.5" thickBot="1">
      <c r="A77" s="2364" t="s">
        <v>1081</v>
      </c>
      <c r="B77" s="2441">
        <f t="shared" si="186"/>
        <v>107.25</v>
      </c>
      <c r="C77" s="2441">
        <f t="shared" si="186"/>
        <v>108.75</v>
      </c>
      <c r="D77" s="2441">
        <f t="shared" si="150"/>
        <v>108.75</v>
      </c>
      <c r="E77" s="2441">
        <f t="shared" si="187"/>
        <v>105.75</v>
      </c>
      <c r="F77" s="2441">
        <f t="shared" si="187"/>
        <v>102.5</v>
      </c>
      <c r="G77" s="3564">
        <v>2003</v>
      </c>
      <c r="H77" s="2442">
        <v>1</v>
      </c>
      <c r="I77" s="2439"/>
      <c r="J77" s="2439"/>
      <c r="K77" s="2439"/>
      <c r="L77" s="2439"/>
      <c r="S77" s="2382"/>
      <c r="T77" s="2351"/>
      <c r="U77" s="2351"/>
      <c r="X77" s="2431"/>
      <c r="Y77" s="2431"/>
      <c r="Z77" s="2431"/>
    </row>
    <row r="78" spans="1:26" ht="13.5" thickBot="1">
      <c r="A78" s="2364" t="s">
        <v>1082</v>
      </c>
      <c r="B78" s="2443">
        <v>106</v>
      </c>
      <c r="C78" s="2443">
        <v>107</v>
      </c>
      <c r="D78" s="2443">
        <f t="shared" si="150"/>
        <v>107</v>
      </c>
      <c r="E78" s="2443">
        <v>105</v>
      </c>
      <c r="F78" s="2444">
        <v>102</v>
      </c>
      <c r="G78" s="3562">
        <v>2002</v>
      </c>
      <c r="H78" s="2391">
        <v>4</v>
      </c>
      <c r="I78" s="2439"/>
      <c r="J78" s="2439"/>
      <c r="K78" s="2439"/>
      <c r="L78" s="2439"/>
      <c r="N78" s="2440"/>
      <c r="O78" s="2439"/>
      <c r="P78" s="2439"/>
      <c r="Q78" s="2439"/>
      <c r="S78" s="2440"/>
      <c r="T78" s="2439"/>
      <c r="U78" s="2439"/>
      <c r="V78" s="2439"/>
      <c r="X78" s="2431"/>
      <c r="Y78" s="2431"/>
      <c r="Z78" s="2431"/>
    </row>
    <row r="79" spans="1:26">
      <c r="A79" s="2364" t="s">
        <v>1083</v>
      </c>
      <c r="B79" s="2441">
        <f t="shared" ref="B79:C81" si="188">B80+(B$78-B$82)/4</f>
        <v>105</v>
      </c>
      <c r="C79" s="2441">
        <f t="shared" si="188"/>
        <v>106</v>
      </c>
      <c r="D79" s="2441">
        <f t="shared" si="150"/>
        <v>106</v>
      </c>
      <c r="E79" s="2441">
        <f t="shared" ref="E79:F81" si="189">E80+(E$78-E$82)/4</f>
        <v>104.5</v>
      </c>
      <c r="F79" s="2441">
        <f t="shared" si="189"/>
        <v>101.5</v>
      </c>
      <c r="G79" s="3563">
        <v>2002</v>
      </c>
      <c r="H79" s="2394">
        <v>3</v>
      </c>
      <c r="I79" s="2439"/>
      <c r="J79" s="2439"/>
      <c r="K79" s="2439"/>
      <c r="L79" s="2439"/>
      <c r="X79" s="2431"/>
      <c r="Y79" s="2431"/>
      <c r="Z79" s="2431"/>
    </row>
    <row r="80" spans="1:26">
      <c r="A80" s="2364" t="s">
        <v>1084</v>
      </c>
      <c r="B80" s="2441">
        <f t="shared" si="188"/>
        <v>104</v>
      </c>
      <c r="C80" s="2441">
        <f t="shared" si="188"/>
        <v>105</v>
      </c>
      <c r="D80" s="2441">
        <f t="shared" si="150"/>
        <v>105</v>
      </c>
      <c r="E80" s="2441">
        <f t="shared" si="189"/>
        <v>104</v>
      </c>
      <c r="F80" s="2441">
        <f t="shared" si="189"/>
        <v>101</v>
      </c>
      <c r="G80" s="3563">
        <v>2002</v>
      </c>
      <c r="H80" s="2384">
        <v>2</v>
      </c>
      <c r="I80" s="2439"/>
      <c r="J80" s="2439"/>
      <c r="K80" s="2439"/>
      <c r="L80" s="2439"/>
      <c r="X80" s="2431"/>
      <c r="Y80" s="2431"/>
      <c r="Z80" s="2431"/>
    </row>
    <row r="81" spans="1:26" s="2404" customFormat="1" ht="13.5" thickBot="1">
      <c r="A81" s="2400" t="s">
        <v>1085</v>
      </c>
      <c r="B81" s="2407">
        <f t="shared" si="188"/>
        <v>103</v>
      </c>
      <c r="C81" s="2407">
        <f t="shared" si="188"/>
        <v>104</v>
      </c>
      <c r="D81" s="2407">
        <f t="shared" si="150"/>
        <v>104</v>
      </c>
      <c r="E81" s="2407">
        <f t="shared" si="189"/>
        <v>103.5</v>
      </c>
      <c r="F81" s="2407">
        <f t="shared" si="189"/>
        <v>100.5</v>
      </c>
      <c r="G81" s="3564">
        <v>2002</v>
      </c>
      <c r="H81" s="2445">
        <v>1</v>
      </c>
      <c r="I81" s="2446"/>
      <c r="J81" s="2446"/>
      <c r="K81" s="2446"/>
      <c r="L81" s="2446"/>
      <c r="N81" s="2447"/>
      <c r="S81" s="2447"/>
      <c r="X81" s="2448"/>
      <c r="Y81" s="2448"/>
      <c r="Z81" s="2448"/>
    </row>
    <row r="82" spans="1:26" ht="13.5" thickBot="1">
      <c r="B82" s="2449">
        <v>102</v>
      </c>
      <c r="C82" s="2450">
        <v>103</v>
      </c>
      <c r="D82" s="2450">
        <f t="shared" si="150"/>
        <v>103</v>
      </c>
      <c r="E82" s="2450">
        <v>103</v>
      </c>
      <c r="F82" s="2451">
        <v>100</v>
      </c>
      <c r="I82" s="2439"/>
      <c r="J82" s="2439"/>
      <c r="K82" s="2439"/>
      <c r="L82" s="2439"/>
      <c r="N82" s="2440"/>
      <c r="O82" s="2439"/>
      <c r="P82" s="2439"/>
      <c r="Q82" s="2439"/>
      <c r="S82" s="2440"/>
      <c r="T82" s="2439"/>
      <c r="U82" s="2439"/>
      <c r="V82" s="2439"/>
      <c r="X82" s="2380"/>
      <c r="Y82" s="2380"/>
      <c r="Z82" s="2380"/>
    </row>
    <row r="84" spans="1:26" s="2453" customFormat="1">
      <c r="A84" s="2452" t="s">
        <v>1086</v>
      </c>
      <c r="G84" s="2454"/>
      <c r="N84" s="2454"/>
      <c r="S84" s="2454"/>
    </row>
    <row r="85" spans="1:26" s="2453" customFormat="1">
      <c r="A85" s="2453" t="s">
        <v>1087</v>
      </c>
      <c r="G85" s="2454"/>
      <c r="N85" s="2454"/>
      <c r="S85" s="2454"/>
    </row>
    <row r="86" spans="1:26" s="2453" customFormat="1">
      <c r="A86" s="2453" t="s">
        <v>1088</v>
      </c>
      <c r="G86" s="2454"/>
      <c r="I86" s="2455"/>
      <c r="J86" s="2455"/>
      <c r="K86" s="2455"/>
      <c r="L86" s="2455"/>
      <c r="N86" s="2456"/>
      <c r="O86" s="2455"/>
      <c r="P86" s="2455"/>
      <c r="Q86" s="2455"/>
      <c r="S86" s="2456"/>
      <c r="T86" s="2455"/>
      <c r="U86" s="2455"/>
      <c r="V86" s="2455"/>
    </row>
    <row r="87" spans="1:26" s="2453" customFormat="1">
      <c r="A87" s="2453" t="s">
        <v>1089</v>
      </c>
      <c r="G87" s="2454"/>
      <c r="N87" s="2454"/>
      <c r="S87" s="2454"/>
    </row>
    <row r="94" spans="1:26" ht="13.5" thickBot="1"/>
    <row r="95" spans="1:26">
      <c r="G95" s="2350"/>
      <c r="S95" s="2457" t="s">
        <v>1090</v>
      </c>
      <c r="T95" s="2458" t="s">
        <v>1091</v>
      </c>
      <c r="U95" s="2458" t="s">
        <v>1092</v>
      </c>
      <c r="V95" s="2458" t="s">
        <v>1093</v>
      </c>
    </row>
    <row r="96" spans="1:26">
      <c r="G96" s="2350"/>
      <c r="N96" s="2379"/>
      <c r="O96" s="2380"/>
      <c r="P96" s="2380"/>
      <c r="Q96" s="2380"/>
      <c r="S96" s="2459">
        <v>2006</v>
      </c>
      <c r="T96" s="2460">
        <v>15.1</v>
      </c>
      <c r="U96" s="2460">
        <v>7.43</v>
      </c>
      <c r="V96" s="2460">
        <v>26.26</v>
      </c>
    </row>
    <row r="97" spans="7:22">
      <c r="G97" s="2350"/>
      <c r="N97" s="2379"/>
      <c r="O97" s="2380"/>
      <c r="P97" s="2380"/>
      <c r="Q97" s="2380"/>
      <c r="S97" s="2461">
        <v>2005</v>
      </c>
      <c r="T97" s="2462">
        <v>13.9</v>
      </c>
      <c r="U97" s="2462">
        <v>7.49</v>
      </c>
      <c r="V97" s="2462">
        <v>24.92</v>
      </c>
    </row>
    <row r="98" spans="7:22">
      <c r="G98" s="2350"/>
      <c r="N98" s="2379"/>
      <c r="O98" s="2380"/>
      <c r="P98" s="2380"/>
      <c r="Q98" s="2380"/>
      <c r="S98" s="2459">
        <v>2004</v>
      </c>
      <c r="T98" s="2460">
        <v>9.48</v>
      </c>
      <c r="U98" s="2460">
        <v>7.2</v>
      </c>
      <c r="V98" s="2460">
        <v>14.68</v>
      </c>
    </row>
    <row r="99" spans="7:22">
      <c r="G99" s="2350"/>
      <c r="N99" s="2379"/>
      <c r="O99" s="2380"/>
      <c r="P99" s="2380"/>
      <c r="Q99" s="2380"/>
      <c r="S99" s="2461">
        <v>2003</v>
      </c>
      <c r="T99" s="2462">
        <v>4.5</v>
      </c>
      <c r="U99" s="2462">
        <v>6.12</v>
      </c>
      <c r="V99" s="2462">
        <v>2.34</v>
      </c>
    </row>
    <row r="100" spans="7:22" ht="13.5" thickBot="1">
      <c r="G100" s="2350"/>
      <c r="N100" s="2379"/>
      <c r="O100" s="2380"/>
      <c r="P100" s="2380"/>
      <c r="Q100" s="2380"/>
      <c r="S100" s="2463">
        <v>2002</v>
      </c>
      <c r="T100" s="2464">
        <v>3.59</v>
      </c>
      <c r="U100" s="2464">
        <v>4.54</v>
      </c>
      <c r="V100" s="2464">
        <v>2.5499999999999998</v>
      </c>
    </row>
    <row r="101" spans="7:22">
      <c r="G101" s="2350"/>
      <c r="N101" s="2379"/>
      <c r="O101" s="2380"/>
      <c r="P101" s="2380"/>
      <c r="Q101" s="2380"/>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c r="S111" s="235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44296</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46" customFormat="1" ht="14.25">
      <c r="A17" s="3143"/>
      <c r="B17" s="1279" t="s">
        <v>2881</v>
      </c>
      <c r="C17" s="1288">
        <v>43697</v>
      </c>
      <c r="D17" s="3144">
        <v>4.25</v>
      </c>
      <c r="E17" s="3144">
        <f>D17</f>
        <v>4.25</v>
      </c>
      <c r="F17" s="3144">
        <f>D17</f>
        <v>4.25</v>
      </c>
      <c r="G17" s="3144">
        <f>D17</f>
        <v>4.25</v>
      </c>
      <c r="H17" s="3144">
        <v>4.8499999999999996</v>
      </c>
      <c r="I17" s="3144"/>
      <c r="J17" s="3144"/>
      <c r="K17" s="3143"/>
      <c r="L17" s="1285"/>
      <c r="M17" s="1286">
        <v>42135</v>
      </c>
      <c r="N17" s="1285">
        <v>0.35</v>
      </c>
      <c r="O17" s="1285">
        <v>1.85</v>
      </c>
      <c r="P17" s="1285">
        <v>2.0499999999999998</v>
      </c>
      <c r="Q17" s="1285">
        <v>2.25</v>
      </c>
      <c r="R17" s="1285">
        <v>2.85</v>
      </c>
      <c r="S17" s="1285">
        <v>3.5</v>
      </c>
      <c r="T17" s="1285"/>
      <c r="U17" s="1285"/>
      <c r="V17" s="1285"/>
      <c r="W17" s="1285"/>
      <c r="X17" s="1285"/>
      <c r="Y17" s="1285"/>
      <c r="Z17" s="1285"/>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6:K90"/>
  <sheetViews>
    <sheetView topLeftCell="A40" workbookViewId="0">
      <selection activeCell="O80" sqref="O80"/>
    </sheetView>
  </sheetViews>
  <sheetFormatPr defaultRowHeight="13.5"/>
  <cols>
    <col min="3" max="3" width="10.5" bestFit="1" customWidth="1"/>
  </cols>
  <sheetData>
    <row r="76" spans="2:11">
      <c r="B76" s="1340" t="s">
        <v>2904</v>
      </c>
      <c r="C76" s="3155">
        <v>44081</v>
      </c>
      <c r="D76">
        <v>7819</v>
      </c>
      <c r="E76">
        <v>55</v>
      </c>
      <c r="F76">
        <v>24</v>
      </c>
      <c r="G76" s="1340" t="s">
        <v>2905</v>
      </c>
      <c r="H76" s="1340" t="s">
        <v>2907</v>
      </c>
    </row>
    <row r="77" spans="2:11">
      <c r="B77" s="1340" t="s">
        <v>2956</v>
      </c>
      <c r="C77" s="3155">
        <v>44265</v>
      </c>
      <c r="D77">
        <v>8032</v>
      </c>
      <c r="E77">
        <v>35.11</v>
      </c>
      <c r="F77">
        <v>7</v>
      </c>
      <c r="G77" s="1340" t="s">
        <v>2908</v>
      </c>
      <c r="H77" s="1340" t="s">
        <v>2910</v>
      </c>
      <c r="I77" s="1340">
        <v>1990</v>
      </c>
      <c r="J77">
        <f>2021-I77</f>
        <v>31</v>
      </c>
      <c r="K77">
        <f>70-J77-2</f>
        <v>37</v>
      </c>
    </row>
    <row r="78" spans="2:11">
      <c r="B78" s="1340" t="s">
        <v>2957</v>
      </c>
      <c r="C78" s="3155">
        <v>44111</v>
      </c>
      <c r="D78">
        <v>7813</v>
      </c>
      <c r="E78">
        <v>74.62</v>
      </c>
      <c r="F78">
        <v>8</v>
      </c>
      <c r="G78" s="1340" t="s">
        <v>2911</v>
      </c>
      <c r="H78" s="1340" t="s">
        <v>2913</v>
      </c>
      <c r="I78" s="1340">
        <v>1990</v>
      </c>
      <c r="J78">
        <f>2021-I78</f>
        <v>31</v>
      </c>
      <c r="K78">
        <f>ROUND(1-(1-0%)*(2021-I78)/60,3)</f>
        <v>0.48299999999999998</v>
      </c>
    </row>
    <row r="80" spans="2:11">
      <c r="B80" s="1340" t="s">
        <v>2959</v>
      </c>
    </row>
    <row r="81" spans="2:7">
      <c r="B81">
        <v>1700</v>
      </c>
      <c r="C81" s="3168">
        <v>66</v>
      </c>
      <c r="D81">
        <f>ROUND(B81/C81/30,1)</f>
        <v>0.9</v>
      </c>
    </row>
    <row r="82" spans="2:7">
      <c r="B82">
        <v>2600</v>
      </c>
      <c r="C82" s="3168">
        <v>84</v>
      </c>
      <c r="D82">
        <f t="shared" ref="D82:D90" si="0">ROUND(B82/C82/30,1)</f>
        <v>1</v>
      </c>
    </row>
    <row r="83" spans="2:7">
      <c r="B83">
        <v>2500</v>
      </c>
      <c r="C83" s="3168">
        <v>110</v>
      </c>
      <c r="D83">
        <f t="shared" si="0"/>
        <v>0.8</v>
      </c>
    </row>
    <row r="84" spans="2:7">
      <c r="B84">
        <v>4000</v>
      </c>
      <c r="C84" s="3168">
        <v>160</v>
      </c>
      <c r="D84">
        <f t="shared" si="0"/>
        <v>0.8</v>
      </c>
    </row>
    <row r="85" spans="2:7">
      <c r="B85">
        <v>3000</v>
      </c>
      <c r="C85" s="3168">
        <v>110</v>
      </c>
      <c r="D85">
        <f t="shared" si="0"/>
        <v>0.9</v>
      </c>
    </row>
    <row r="86" spans="2:7">
      <c r="B86">
        <v>3000</v>
      </c>
      <c r="C86" s="3168">
        <v>85</v>
      </c>
      <c r="D86">
        <f t="shared" si="0"/>
        <v>1.2</v>
      </c>
      <c r="G86">
        <f>2500/82.35/30</f>
        <v>1.0119409026512853</v>
      </c>
    </row>
    <row r="87" spans="2:7">
      <c r="B87">
        <v>2000</v>
      </c>
      <c r="C87" s="3168">
        <v>67</v>
      </c>
      <c r="D87">
        <f t="shared" si="0"/>
        <v>1</v>
      </c>
    </row>
    <row r="88" spans="2:7">
      <c r="B88">
        <v>2600</v>
      </c>
      <c r="C88" s="3168">
        <v>74</v>
      </c>
      <c r="D88">
        <f t="shared" si="0"/>
        <v>1.2</v>
      </c>
    </row>
    <row r="89" spans="2:7">
      <c r="B89">
        <v>3900</v>
      </c>
      <c r="C89" s="3168">
        <v>117</v>
      </c>
      <c r="D89">
        <f t="shared" si="0"/>
        <v>1.1000000000000001</v>
      </c>
    </row>
    <row r="90" spans="2:7">
      <c r="B90">
        <v>4000</v>
      </c>
      <c r="C90" s="3168">
        <v>157</v>
      </c>
      <c r="D90">
        <f t="shared" si="0"/>
        <v>0.8</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8" sqref="Q3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7"/>
      <c r="C2" s="3177"/>
      <c r="D2" s="3177"/>
      <c r="E2" s="3177"/>
    </row>
    <row r="3" spans="1:5" ht="13.5" customHeight="1">
      <c r="A3" s="1361"/>
      <c r="B3" s="1361"/>
      <c r="C3" s="1361"/>
      <c r="D3" s="1361"/>
      <c r="E3" s="1361"/>
    </row>
    <row r="4" spans="1:5" ht="19.5" thickBot="1">
      <c r="A4" s="3178" t="str">
        <f>IF(项目基本情况!D5="房地产市场价值","估价结果一览表（市场价值不需本页表格)","估价结果一览表")</f>
        <v>估价结果一览表（市场价值不需本页表格)</v>
      </c>
      <c r="B4" s="3178"/>
      <c r="C4" s="3178"/>
      <c r="D4" s="3178"/>
      <c r="E4" s="3178"/>
    </row>
    <row r="5" spans="1:5" ht="14.25" customHeight="1" thickTop="1">
      <c r="A5" s="1358"/>
      <c r="B5" s="1362" t="s">
        <v>742</v>
      </c>
      <c r="C5" s="3179" t="s">
        <v>775</v>
      </c>
      <c r="D5" s="3180"/>
      <c r="E5" s="1358"/>
    </row>
    <row r="6" spans="1:5" ht="14.25">
      <c r="A6" s="1358"/>
      <c r="B6" s="1363" t="str">
        <f>项目基本情况!I1</f>
        <v>吉林省长春市房地产</v>
      </c>
      <c r="C6" s="3181">
        <f>项目基本情况!C12</f>
        <v>82.35</v>
      </c>
      <c r="D6" s="3181"/>
      <c r="E6" s="1358"/>
    </row>
    <row r="7" spans="1:5" ht="14.25">
      <c r="A7" s="1358"/>
      <c r="B7" s="3175" t="s">
        <v>776</v>
      </c>
      <c r="C7" s="1364" t="str">
        <f>IF('数据-取费表'!B3="万元","总价（万元）","总价（元）")</f>
        <v>总价（元）</v>
      </c>
      <c r="D7" s="1365">
        <f ca="1">IF('数据-取费表'!E3="否",结果表!I102,'结果表 (1修多)'!I104)</f>
        <v>2692376</v>
      </c>
      <c r="E7" s="1358"/>
    </row>
    <row r="8" spans="1:5" ht="28.5">
      <c r="A8" s="1358"/>
      <c r="B8" s="3175"/>
      <c r="C8" s="1366" t="s">
        <v>1162</v>
      </c>
      <c r="D8" s="1367" t="str">
        <f ca="1">IF('数据-取费表'!B3="万元",NUMBERSTRING(INT(D7*10000),2)&amp;"元整",NUMBERSTRING(INT(D7),2)&amp;"元整")</f>
        <v>贰佰陆拾玖万贰仟叁佰柒拾陆元整</v>
      </c>
      <c r="E8" s="1358"/>
    </row>
    <row r="9" spans="1:5" ht="14.25">
      <c r="A9" s="1358"/>
      <c r="B9" s="3175"/>
      <c r="C9" s="1368" t="s">
        <v>1260</v>
      </c>
      <c r="D9" s="1365">
        <f ca="1">IF('数据-取费表'!E3="否",结果表!I103,'结果表 (1修多)'!I105)</f>
        <v>79166574</v>
      </c>
      <c r="E9" s="1358"/>
    </row>
    <row r="10" spans="1:5" ht="14.25">
      <c r="A10" s="1358"/>
      <c r="B10" s="3182"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4.25">
      <c r="A11" s="1358"/>
      <c r="B11" s="3182"/>
      <c r="C11" s="1366" t="s">
        <v>1162</v>
      </c>
      <c r="D11" s="1367" t="str">
        <f>IF('数据-取费表'!B3="万元",NUMBERSTRING(INT(D10*10000),2)&amp;"元整",NUMBERSTRING(INT(D10),2)&amp;"元整")</f>
        <v>零元整</v>
      </c>
      <c r="E11" s="1358"/>
    </row>
    <row r="12" spans="1:5" ht="14.25">
      <c r="A12" s="1358"/>
      <c r="B12" s="1370" t="s">
        <v>743</v>
      </c>
      <c r="C12" s="1371" t="str">
        <f>C10</f>
        <v>总额（元）</v>
      </c>
      <c r="D12" s="1372">
        <f>IF('数据-取费表'!E3="否",结果表!I106,'结果表 (1修多)'!I108)</f>
        <v>0</v>
      </c>
      <c r="E12" s="1358"/>
    </row>
    <row r="13" spans="1:5" ht="14.25">
      <c r="A13" s="1358"/>
      <c r="B13" s="1370" t="s">
        <v>744</v>
      </c>
      <c r="C13" s="1371" t="str">
        <f>C10</f>
        <v>总额（元）</v>
      </c>
      <c r="D13" s="1372">
        <f>IF('数据-取费表'!E3="否",结果表!I107,'结果表 (1修多)'!I109)</f>
        <v>0</v>
      </c>
      <c r="E13" s="1358"/>
    </row>
    <row r="14" spans="1:5" ht="14.25">
      <c r="A14" s="1358"/>
      <c r="B14" s="1370" t="s">
        <v>745</v>
      </c>
      <c r="C14" s="1371" t="str">
        <f>C10</f>
        <v>总额（元）</v>
      </c>
      <c r="D14" s="1372">
        <f>IF('数据-取费表'!E3="否",结果表!I108,'结果表 (1修多)'!I110)</f>
        <v>0</v>
      </c>
      <c r="E14" s="1358"/>
    </row>
    <row r="15" spans="1:5" ht="14.25">
      <c r="A15" s="1358"/>
      <c r="B15" s="3182" t="str">
        <f>IF('数据-取费表'!E3="否",结果表!F110,'结果表 (1修多)'!F112)</f>
        <v>3.房地产抵押价值</v>
      </c>
      <c r="C15" s="1359" t="str">
        <f>C7</f>
        <v>总价（元）</v>
      </c>
      <c r="D15" s="1365">
        <f ca="1">IF('数据-取费表'!E3="否",结果表!I110,'结果表 (1修多)'!I112)</f>
        <v>2692376</v>
      </c>
      <c r="E15" s="1358"/>
    </row>
    <row r="16" spans="1:5" ht="28.5">
      <c r="A16" s="1358"/>
      <c r="B16" s="3182"/>
      <c r="C16" s="1366" t="s">
        <v>1162</v>
      </c>
      <c r="D16" s="1365" t="str">
        <f ca="1">IF('数据-取费表'!B3="万元",NUMBERSTRING(INT(D15*10000),2)&amp;"元整",NUMBERSTRING(INT(D15),2)&amp;"元整")</f>
        <v>贰佰陆拾玖万贰仟叁佰柒拾陆元整</v>
      </c>
      <c r="E16" s="1358"/>
    </row>
    <row r="17" spans="1:5" ht="14.25">
      <c r="A17" s="1358"/>
      <c r="B17" s="3182"/>
      <c r="C17" s="1368" t="s">
        <v>1260</v>
      </c>
      <c r="D17" s="1365">
        <f ca="1">IF('数据-取费表'!E3="否",结果表!I111,'结果表 (1修多)'!I113)</f>
        <v>79166574</v>
      </c>
      <c r="E17" s="1358"/>
    </row>
    <row r="18" spans="1:5" ht="14.25">
      <c r="A18" s="1358"/>
      <c r="B18" s="3182" t="str">
        <f>IF('数据-取费表'!E3="否",结果表!F112,'结果表 (1修多)'!F114)</f>
        <v>——</v>
      </c>
      <c r="C18" s="1359" t="str">
        <f>C7</f>
        <v>总价（元）</v>
      </c>
      <c r="D18" s="1365" t="str">
        <f>IF('数据-取费表'!E3="否",结果表!I112,'结果表 (1修多)'!I114)</f>
        <v>——</v>
      </c>
      <c r="E18" s="1358"/>
    </row>
    <row r="19" spans="1:5" ht="14.25">
      <c r="A19" s="1358"/>
      <c r="B19" s="3182"/>
      <c r="C19" s="1366" t="s">
        <v>1162</v>
      </c>
      <c r="D19" s="1365" t="e">
        <f>IF('数据-取费表'!B3="万元",NUMBERSTRING(INT(D18*10000),2)&amp;"元整",NUMBERSTRING(INT(D18),2)&amp;"元整")</f>
        <v>#VALUE!</v>
      </c>
      <c r="E19" s="1358"/>
    </row>
    <row r="20" spans="1:5" ht="14.25">
      <c r="A20" s="1358"/>
      <c r="B20" s="3182"/>
      <c r="C20" s="1368" t="s">
        <v>1260</v>
      </c>
      <c r="D20" s="1365" t="str">
        <f>IF('数据-取费表'!E3="否",结果表!I113,'结果表 (1修多)'!I115)</f>
        <v>——</v>
      </c>
      <c r="E20" s="1358"/>
    </row>
    <row r="21" spans="1:5" ht="14.25">
      <c r="A21" s="1358"/>
      <c r="B21" s="3175" t="str">
        <f>IF('数据-取费表'!E3="否",结果表!F114,'结果表 (1修多)'!F116)</f>
        <v>——</v>
      </c>
      <c r="C21" s="1364" t="str">
        <f>C7</f>
        <v>总价（元）</v>
      </c>
      <c r="D21" s="1365" t="str">
        <f>IF('数据-取费表'!E3="否",结果表!I114,'结果表 (1修多)'!I116)</f>
        <v>——</v>
      </c>
      <c r="E21" s="1358"/>
    </row>
    <row r="22" spans="1:5" ht="14.25">
      <c r="A22" s="1358"/>
      <c r="B22" s="3175"/>
      <c r="C22" s="1366" t="s">
        <v>1162</v>
      </c>
      <c r="D22" s="1367" t="e">
        <f>IF('数据-取费表'!B3="万元",NUMBERSTRING(INT(D21*10000),2)&amp;"元整",NUMBERSTRING(INT(D21),2)&amp;"元整")</f>
        <v>#VALUE!</v>
      </c>
      <c r="E22" s="1358"/>
    </row>
    <row r="23" spans="1:5" ht="15" thickBot="1">
      <c r="A23" s="1358"/>
      <c r="B23" s="3176"/>
      <c r="C23" s="1373" t="s">
        <v>1260</v>
      </c>
      <c r="D23" s="1374" t="str">
        <f ca="1">IF('数据-取费表'!E3="否",结果表!I115,'结果表 (1修多)'!I117)</f>
        <v>——</v>
      </c>
      <c r="E23" s="1358"/>
    </row>
    <row r="24" spans="1:5" ht="14.25" thickTop="1">
      <c r="A24" s="1358"/>
      <c r="B24" s="1358"/>
      <c r="C24" s="1358"/>
      <c r="D24" s="1358"/>
      <c r="E24" s="1358"/>
    </row>
    <row r="25" spans="1:5" ht="18.75" customHeight="1" thickBot="1">
      <c r="A25" s="1358"/>
      <c r="B25" s="3190" t="s">
        <v>1261</v>
      </c>
      <c r="C25" s="3190"/>
      <c r="D25" s="3190"/>
      <c r="E25" s="1358"/>
    </row>
    <row r="26" spans="1:5" ht="18.75" customHeight="1" thickTop="1">
      <c r="A26" s="1358"/>
      <c r="B26" s="3193" t="s">
        <v>1161</v>
      </c>
      <c r="C26" s="3194"/>
      <c r="D26" s="3191" t="s">
        <v>1160</v>
      </c>
      <c r="E26" s="1358"/>
    </row>
    <row r="27" spans="1:5" ht="18.75" customHeight="1">
      <c r="A27" s="1358"/>
      <c r="B27" s="3195"/>
      <c r="C27" s="3196"/>
      <c r="D27" s="3192"/>
      <c r="E27" s="1358"/>
    </row>
    <row r="28" spans="1:5" ht="14.25">
      <c r="A28" s="1358"/>
      <c r="B28" s="3183" t="s">
        <v>776</v>
      </c>
      <c r="C28" s="1375" t="s">
        <v>1163</v>
      </c>
      <c r="D28" s="1376">
        <f ca="1">IF('数据-取费表'!E3="否",结果表!I102,'结果表 (1修多)'!I104)</f>
        <v>2692376</v>
      </c>
      <c r="E28" s="1358"/>
    </row>
    <row r="29" spans="1:5" ht="28.5">
      <c r="A29" s="1358"/>
      <c r="B29" s="3184"/>
      <c r="C29" s="1377" t="s">
        <v>1162</v>
      </c>
      <c r="D29" s="1378" t="str">
        <f ca="1">IF('数据-取费表'!B3="万元",NUMBERSTRING(INT(D28*10000),2)&amp;"元整",NUMBERSTRING(INT(D28),2)&amp;"元整")</f>
        <v>贰佰陆拾玖万贰仟叁佰柒拾陆元整</v>
      </c>
      <c r="E29" s="1358"/>
    </row>
    <row r="30" spans="1:5" ht="14.25">
      <c r="A30" s="1358"/>
      <c r="B30" s="3185"/>
      <c r="C30" s="1368" t="s">
        <v>1165</v>
      </c>
      <c r="D30" s="1379">
        <f ca="1">IF('数据-取费表'!E3="否",结果表!I103,'结果表 (1修多)'!I105)</f>
        <v>79166574</v>
      </c>
      <c r="E30" s="1358"/>
    </row>
    <row r="31" spans="1:5" ht="14.25">
      <c r="A31" s="1358"/>
      <c r="B31" s="3188" t="str">
        <f>B10</f>
        <v>2.估价师所知悉的法定优先受偿款</v>
      </c>
      <c r="C31" s="1380" t="s">
        <v>1164</v>
      </c>
      <c r="D31" s="1381">
        <f>IF('数据-取费表'!E3="否",结果表!I105,'结果表 (1修多)'!I107)</f>
        <v>0</v>
      </c>
      <c r="E31" s="1358"/>
    </row>
    <row r="32" spans="1:5" ht="14.25">
      <c r="A32" s="1358"/>
      <c r="B32" s="3197"/>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86" t="str">
        <f>B15</f>
        <v>3.房地产抵押价值</v>
      </c>
      <c r="C36" s="1380" t="str">
        <f>C28</f>
        <v>总价</v>
      </c>
      <c r="D36" s="1381">
        <f ca="1">IF('数据-取费表'!E3="否",结果表!I110,'结果表 (1修多)'!I112)</f>
        <v>2692376</v>
      </c>
      <c r="E36" s="1358"/>
    </row>
    <row r="37" spans="1:5" ht="28.5">
      <c r="A37" s="1358"/>
      <c r="B37" s="3186"/>
      <c r="C37" s="1377" t="s">
        <v>1162</v>
      </c>
      <c r="D37" s="1382" t="str">
        <f ca="1">IF('数据-取费表'!B3="万元",NUMBERSTRING(INT(D36*10000),2)&amp;"元整",NUMBERSTRING(INT(D36),2)&amp;"元整")</f>
        <v>贰佰陆拾玖万贰仟叁佰柒拾陆元整</v>
      </c>
      <c r="E37" s="1358"/>
    </row>
    <row r="38" spans="1:5" ht="14.25">
      <c r="A38" s="1358"/>
      <c r="B38" s="3186"/>
      <c r="C38" s="1368" t="s">
        <v>1166</v>
      </c>
      <c r="D38" s="1379">
        <f ca="1">IF('数据-取费表'!E3="否",结果表!D113,'结果表 (1修多)'!D117)</f>
        <v>79166574</v>
      </c>
      <c r="E38" s="1358"/>
    </row>
    <row r="39" spans="1:5" ht="14.25">
      <c r="A39" s="1358"/>
      <c r="B39" s="3187" t="str">
        <f>B18</f>
        <v>——</v>
      </c>
      <c r="C39" s="1380" t="str">
        <f>C28</f>
        <v>总价</v>
      </c>
      <c r="D39" s="1381" t="str">
        <f>IF('数据-取费表'!E3="否",结果表!I112,'结果表 (1修多)'!I114)</f>
        <v>——</v>
      </c>
      <c r="E39" s="1358"/>
    </row>
    <row r="40" spans="1:5" ht="14.25">
      <c r="A40" s="1358"/>
      <c r="B40" s="3187"/>
      <c r="C40" s="1377" t="s">
        <v>1162</v>
      </c>
      <c r="D40" s="1382" t="e">
        <f>IF('数据-取费表'!B3="万元",NUMBERSTRING(INT(D39*10000),2)&amp;"元整",NUMBERSTRING(INT(D39),2)&amp;"元整")</f>
        <v>#VALUE!</v>
      </c>
      <c r="E40" s="1358"/>
    </row>
    <row r="41" spans="1:5" ht="14.25">
      <c r="A41" s="1358"/>
      <c r="B41" s="3187"/>
      <c r="C41" s="1368" t="s">
        <v>1166</v>
      </c>
      <c r="D41" s="1379" t="str">
        <f>IF('数据-取费表'!E3="否",结果表!D115,'结果表 (1修多)'!D119)</f>
        <v>——</v>
      </c>
      <c r="E41" s="1358"/>
    </row>
    <row r="42" spans="1:5" ht="14.25">
      <c r="A42" s="1358"/>
      <c r="B42" s="3186" t="str">
        <f>B21</f>
        <v>——</v>
      </c>
      <c r="C42" s="1380" t="str">
        <f>C28</f>
        <v>总价</v>
      </c>
      <c r="D42" s="1381" t="str">
        <f>IF('数据-取费表'!E3="否",结果表!I114,'结果表 (1修多)'!I116)</f>
        <v>——</v>
      </c>
      <c r="E42" s="1358"/>
    </row>
    <row r="43" spans="1:5" ht="14.25">
      <c r="A43" s="1358"/>
      <c r="B43" s="3188"/>
      <c r="C43" s="1377" t="s">
        <v>1162</v>
      </c>
      <c r="D43" s="1383" t="e">
        <f>IF('数据-取费表'!B3="万元",NUMBERSTRING(INT(D42*10000),2)&amp;"元整",NUMBERSTRING(INT(D42),2)&amp;"元整")</f>
        <v>#VALUE!</v>
      </c>
      <c r="E43" s="1358"/>
    </row>
    <row r="44" spans="1:5" ht="15" thickBot="1">
      <c r="A44" s="1358"/>
      <c r="B44" s="3189"/>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单位：元、元/平方米（单位：人民币）</v>
      </c>
      <c r="C45" s="1358"/>
      <c r="D45" s="1358"/>
      <c r="E45" s="1358"/>
    </row>
    <row r="46" spans="1:5" ht="18.75">
      <c r="B46" s="1385"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204" t="str">
        <f>IF(项目基本情况!D5="房地产市场价值","估价结果一览表","结果表-2")</f>
        <v>估价结果一览表</v>
      </c>
      <c r="B1" s="3204"/>
      <c r="C1" s="3204"/>
      <c r="D1" s="3204"/>
      <c r="E1" s="3204"/>
      <c r="F1" s="3204"/>
      <c r="G1" s="3204"/>
      <c r="H1" s="3204"/>
      <c r="I1" s="3204"/>
    </row>
    <row r="2" spans="1:9" ht="30" customHeight="1" thickTop="1">
      <c r="A2" s="3205" t="s">
        <v>1262</v>
      </c>
      <c r="B2" s="3205" t="s">
        <v>1263</v>
      </c>
      <c r="C2" s="3205" t="s">
        <v>1264</v>
      </c>
      <c r="D2" s="3205" t="str">
        <f>IF('数据-取费表'!E3="否",结果表!D119,'结果表 (1修多)'!D123)</f>
        <v>出让国有建设用地使用权价值</v>
      </c>
      <c r="E2" s="3205"/>
      <c r="F2" s="3205" t="s">
        <v>1265</v>
      </c>
      <c r="G2" s="3205"/>
      <c r="H2" s="3205" t="s">
        <v>1266</v>
      </c>
      <c r="I2" s="3205"/>
    </row>
    <row r="3" spans="1:9" ht="15">
      <c r="A3" s="3200"/>
      <c r="B3" s="3200"/>
      <c r="C3" s="3200"/>
      <c r="D3" s="817" t="s">
        <v>1267</v>
      </c>
      <c r="E3" s="817" t="s">
        <v>1268</v>
      </c>
      <c r="F3" s="817" t="s">
        <v>1267</v>
      </c>
      <c r="G3" s="817" t="s">
        <v>1269</v>
      </c>
      <c r="H3" s="817" t="s">
        <v>1267</v>
      </c>
      <c r="I3" s="817" t="s">
        <v>1269</v>
      </c>
    </row>
    <row r="4" spans="1:9" ht="46.5" customHeight="1">
      <c r="A4" s="817" t="str">
        <f>项目基本情况!I1</f>
        <v>吉林省长春市房地产</v>
      </c>
      <c r="B4" s="817">
        <f>结果表!B121</f>
        <v>82.35</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2692376</v>
      </c>
      <c r="I4" s="817">
        <f ca="1">IF('数据-取费表'!E3="否",结果表!I121,'结果表 (1修多)'!I125)</f>
        <v>79166574</v>
      </c>
    </row>
    <row r="5" spans="1:9" ht="15">
      <c r="A5" s="3200" t="s">
        <v>1270</v>
      </c>
      <c r="B5" s="3200"/>
      <c r="C5" s="3200"/>
      <c r="D5" s="3198" t="str">
        <f>IF('数据-取费表'!E3="否",结果表!D122,'结果表 (1修多)'!D126)</f>
        <v>零元整</v>
      </c>
      <c r="E5" s="3198"/>
      <c r="F5" s="3198" t="str">
        <f>IF('数据-取费表'!E3="否",结果表!F122,'结果表 (1修多)'!F126)</f>
        <v>零元整</v>
      </c>
      <c r="G5" s="3198"/>
      <c r="H5" s="3198" t="str">
        <f ca="1">IF('数据-取费表'!E3="否",结果表!H122,'结果表 (1修多)'!H126)</f>
        <v>贰佰陆拾玖万贰仟叁佰柒拾陆元整</v>
      </c>
      <c r="I5" s="3198"/>
    </row>
    <row r="6" spans="1:9" ht="15.75">
      <c r="A6" s="3199" t="str">
        <f>IF('数据-取费表'!E3="否",结果表!A123,'结果表 (1修多)'!A127)</f>
        <v>——</v>
      </c>
      <c r="B6" s="3199"/>
      <c r="C6" s="3199"/>
      <c r="D6" s="3199">
        <f>IF('数据-取费表'!E3="否",结果表!D123,'结果表 (1修多)'!D127)</f>
        <v>0</v>
      </c>
      <c r="E6" s="3199"/>
      <c r="F6" s="3199"/>
      <c r="G6" s="3199"/>
      <c r="H6" s="3199"/>
      <c r="I6" s="3199"/>
    </row>
    <row r="7" spans="1:9" ht="15">
      <c r="A7" s="3200" t="s">
        <v>1270</v>
      </c>
      <c r="B7" s="3200"/>
      <c r="C7" s="3200"/>
      <c r="D7" s="3201">
        <f>IF('数据-取费表'!E3="否",结果表!D124,'结果表 (1修多)'!D128)</f>
        <v>0</v>
      </c>
      <c r="E7" s="3202"/>
      <c r="F7" s="3202"/>
      <c r="G7" s="3202"/>
      <c r="H7" s="3202"/>
      <c r="I7" s="3203"/>
    </row>
    <row r="8" spans="1:9" ht="15.75">
      <c r="A8" s="3199" t="str">
        <f>IF('数据-取费表'!E3="否",结果表!A125,'结果表 (1修多)'!A129)</f>
        <v>——</v>
      </c>
      <c r="B8" s="3199"/>
      <c r="C8" s="3199"/>
      <c r="D8" s="3199">
        <f ca="1">IF('数据-取费表'!E3="否",结果表!D125,'结果表 (1修多)'!D129)</f>
        <v>2692376</v>
      </c>
      <c r="E8" s="3199"/>
      <c r="F8" s="3199"/>
      <c r="G8" s="3199"/>
      <c r="H8" s="3199"/>
      <c r="I8" s="3199"/>
    </row>
    <row r="9" spans="1:9" ht="15">
      <c r="A9" s="3200" t="s">
        <v>1270</v>
      </c>
      <c r="B9" s="3200"/>
      <c r="C9" s="3200"/>
      <c r="D9" s="3198">
        <f ca="1">IF('数据-取费表'!E3="否",结果表!D126,'结果表 (1修多)'!D130)</f>
        <v>79166574</v>
      </c>
      <c r="E9" s="3198"/>
      <c r="F9" s="3198"/>
      <c r="G9" s="3198"/>
      <c r="H9" s="3198"/>
      <c r="I9" s="3198"/>
    </row>
    <row r="10" spans="1:9" ht="15.75">
      <c r="A10" s="3199" t="str">
        <f>IF('数据-取费表'!E3="否",结果表!A127,'结果表 (1修多)'!A131)</f>
        <v>——</v>
      </c>
      <c r="B10" s="3199"/>
      <c r="C10" s="3199"/>
      <c r="D10" s="3199">
        <f ca="1">IF('数据-取费表'!E3="否",结果表!D127,'结果表 (1修多)'!D130)</f>
        <v>79166574</v>
      </c>
      <c r="E10" s="3199"/>
      <c r="F10" s="3199"/>
      <c r="G10" s="3199"/>
      <c r="H10" s="3199"/>
      <c r="I10" s="3199"/>
    </row>
    <row r="11" spans="1:9" ht="15">
      <c r="A11" s="3200" t="s">
        <v>1270</v>
      </c>
      <c r="B11" s="3200"/>
      <c r="C11" s="3200"/>
      <c r="D11" s="3198" t="str">
        <f>IF('数据-取费表'!E3="否",结果表!D128,'结果表 (1修多)'!D132)</f>
        <v>——</v>
      </c>
      <c r="E11" s="3198"/>
      <c r="F11" s="3198"/>
      <c r="G11" s="3198"/>
      <c r="H11" s="3198"/>
      <c r="I11" s="3198"/>
    </row>
    <row r="12" spans="1:9" ht="15.75">
      <c r="A12" s="3199" t="str">
        <f>IF('数据-取费表'!E3="否",结果表!A129,'结果表 (1修多)'!A133)</f>
        <v>——</v>
      </c>
      <c r="B12" s="3199"/>
      <c r="C12" s="3199"/>
      <c r="D12" s="3199" t="str">
        <f>IF('数据-取费表'!E3="否",结果表!D129,'结果表 (1修多)'!D133)</f>
        <v>——</v>
      </c>
      <c r="E12" s="3199"/>
      <c r="F12" s="3199"/>
      <c r="G12" s="3199"/>
      <c r="H12" s="3199"/>
      <c r="I12" s="3199"/>
    </row>
    <row r="13" spans="1:9" ht="15.75" thickBot="1">
      <c r="A13" s="3206" t="s">
        <v>1270</v>
      </c>
      <c r="B13" s="3206"/>
      <c r="C13" s="3206"/>
      <c r="D13" s="3207">
        <f>IF('数据-取费表'!E3="否",结果表!D130,'结果表 (1修多)'!D134)</f>
        <v>0</v>
      </c>
      <c r="E13" s="3207"/>
      <c r="F13" s="3207"/>
      <c r="G13" s="3207"/>
      <c r="H13" s="3207"/>
      <c r="I13" s="3207"/>
    </row>
    <row r="14" spans="1:9" ht="15" thickTop="1">
      <c r="A14" s="3208" t="str">
        <f>IF('数据-取费表'!E3="否",结果表!A131,'结果表 (1修多)'!A135)</f>
        <v>单位：平方米、元、元/平方米（币种：人民币）</v>
      </c>
      <c r="B14" s="3208"/>
      <c r="C14" s="3208"/>
      <c r="D14" s="3208"/>
      <c r="E14" s="3208"/>
      <c r="F14" s="3208"/>
      <c r="G14" s="3208"/>
      <c r="H14" s="3208"/>
      <c r="I14" s="3208"/>
    </row>
    <row r="15" spans="1:9">
      <c r="A15" s="604"/>
      <c r="B15" s="604"/>
      <c r="C15" s="604"/>
      <c r="D15" s="604"/>
      <c r="E15" s="604"/>
      <c r="F15" s="604"/>
      <c r="G15" s="604"/>
      <c r="H15" s="604"/>
      <c r="I15" s="604"/>
    </row>
    <row r="16" spans="1:9" ht="18.75">
      <c r="A16" s="1386"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213" t="s">
        <v>1283</v>
      </c>
      <c r="B1" s="3213"/>
      <c r="C1" s="3213"/>
      <c r="D1" s="3213"/>
    </row>
    <row r="2" spans="1:4" ht="18">
      <c r="A2" s="3212" t="s">
        <v>1272</v>
      </c>
      <c r="B2" s="3212"/>
      <c r="C2" s="3212"/>
      <c r="D2" s="3212"/>
    </row>
    <row r="3" spans="1:4" ht="18.75">
      <c r="A3" s="1387" t="s">
        <v>1273</v>
      </c>
      <c r="B3" s="1387" t="s">
        <v>1274</v>
      </c>
      <c r="C3" s="1387" t="s">
        <v>1275</v>
      </c>
      <c r="D3" s="1387" t="s">
        <v>1276</v>
      </c>
    </row>
    <row r="4" spans="1:4" ht="56.25" customHeight="1">
      <c r="A4" s="1388" t="str">
        <f>项目基本情况!B3</f>
        <v>崔锴</v>
      </c>
      <c r="B4" s="1389">
        <f ca="1">项目基本情况!C3</f>
        <v>1120100036</v>
      </c>
      <c r="C4" s="1390"/>
      <c r="D4" s="1391" t="s">
        <v>1284</v>
      </c>
    </row>
    <row r="5" spans="1:4" ht="56.25" customHeight="1">
      <c r="A5" s="1388" t="str">
        <f>项目基本情况!D3</f>
        <v>郑燚</v>
      </c>
      <c r="B5" s="1389">
        <f ca="1">项目基本情况!E3</f>
        <v>1120070131</v>
      </c>
      <c r="C5" s="1392"/>
      <c r="D5" s="1391" t="s">
        <v>1284</v>
      </c>
    </row>
    <row r="6" spans="1:4" ht="12" customHeight="1">
      <c r="A6" s="1388"/>
      <c r="B6" s="1389"/>
      <c r="C6" s="1393"/>
      <c r="D6" s="1391"/>
    </row>
    <row r="7" spans="1:4" ht="18">
      <c r="A7" s="3212" t="s">
        <v>1277</v>
      </c>
      <c r="B7" s="3212"/>
      <c r="C7" s="3212"/>
      <c r="D7" s="3212"/>
    </row>
    <row r="8" spans="1:4" ht="18.75">
      <c r="A8" s="1387" t="s">
        <v>1273</v>
      </c>
      <c r="B8" s="1389" t="s">
        <v>1278</v>
      </c>
      <c r="C8" s="1387" t="s">
        <v>1275</v>
      </c>
      <c r="D8" s="1387" t="s">
        <v>1276</v>
      </c>
    </row>
    <row r="9" spans="1:4" ht="56.25" customHeight="1">
      <c r="A9" s="1394" t="s">
        <v>777</v>
      </c>
      <c r="B9" s="1394" t="s">
        <v>778</v>
      </c>
      <c r="C9" s="1390"/>
      <c r="D9" s="1391" t="s">
        <v>1284</v>
      </c>
    </row>
    <row r="11" spans="1:4" ht="18.75">
      <c r="A11" s="1395" t="s">
        <v>1279</v>
      </c>
    </row>
    <row r="12" spans="1:4" ht="30" customHeight="1">
      <c r="A12" s="3209" t="s">
        <v>2733</v>
      </c>
      <c r="B12" s="3211"/>
      <c r="C12" s="3211"/>
      <c r="D12" s="3211"/>
    </row>
    <row r="13" spans="1:4" ht="15.75">
      <c r="A13" s="32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1"/>
      <c r="C13" s="3211"/>
      <c r="D13" s="3211"/>
    </row>
    <row r="14" spans="1:4" ht="30" customHeight="1">
      <c r="A14" s="3209" t="str">
        <f>IF(项目基本情况!D4="抵押","3.抵押双方在办理抵押登记手续时，应使用本公司出具的正式《不动产估价报告书》，特提醒报告使用者注意。","——")</f>
        <v>——</v>
      </c>
      <c r="B14" s="3211"/>
      <c r="C14" s="3211"/>
      <c r="D14" s="3211"/>
    </row>
    <row r="15" spans="1:4" ht="15.75" customHeight="1">
      <c r="A15" s="3209" t="str">
        <f>IF(项目基本情况!D4="抵押","4.本次评估估价师所知悉的法定优先受偿款情况说明如下：","——")</f>
        <v>——</v>
      </c>
      <c r="B15" s="3211"/>
      <c r="C15" s="3211"/>
      <c r="D15" s="3211"/>
    </row>
    <row r="16" spans="1:4" ht="75" customHeight="1">
      <c r="A16" s="3209" t="str">
        <f>IF(项目基本情况!D4="抵押",CONCATENATE(项目基本情况!J13,项目基本情况!J14,项目基本情况!J15),"——")</f>
        <v>——</v>
      </c>
      <c r="B16" s="3209"/>
      <c r="C16" s="3209"/>
      <c r="D16" s="3209"/>
    </row>
    <row r="17" spans="1:4" ht="63.75" customHeight="1">
      <c r="A17" s="3210" t="s">
        <v>1285</v>
      </c>
      <c r="B17" s="3210"/>
      <c r="C17" s="3210"/>
      <c r="D17" s="3210"/>
    </row>
    <row r="18" spans="1:4" ht="15.75" customHeight="1">
      <c r="A18" s="3209" t="str">
        <f>IF(项目基本情况!D4="抵押",结果表!L106,"——")</f>
        <v>——</v>
      </c>
      <c r="B18" s="3209"/>
      <c r="C18" s="3209"/>
      <c r="D18" s="3209"/>
    </row>
    <row r="19" spans="1:4" ht="46.5" customHeight="1">
      <c r="A19" s="32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15">
      <c r="A20" s="3210" t="s">
        <v>2734</v>
      </c>
      <c r="B20" s="3210"/>
      <c r="C20" s="3210"/>
      <c r="D20" s="3210"/>
    </row>
    <row r="21" spans="1:4">
      <c r="A21" s="1396"/>
      <c r="B21" s="979"/>
      <c r="C21" s="979"/>
      <c r="D21" s="979"/>
    </row>
    <row r="22" spans="1:4">
      <c r="A22" s="1396"/>
      <c r="B22" s="979"/>
      <c r="C22" s="979"/>
      <c r="D22" s="979"/>
    </row>
    <row r="23" spans="1:4" ht="18.75">
      <c r="A23" s="1357" t="s">
        <v>1280</v>
      </c>
    </row>
    <row r="24" spans="1:4" ht="18">
      <c r="A24" s="1357"/>
    </row>
    <row r="25" spans="1:4" ht="18.75">
      <c r="A25" s="1357" t="s">
        <v>1281</v>
      </c>
    </row>
    <row r="28" spans="1:4" ht="21" customHeight="1">
      <c r="D28" s="1397" t="s">
        <v>1282</v>
      </c>
    </row>
    <row r="29" spans="1:4" ht="21" customHeight="1">
      <c r="C29" s="1398"/>
      <c r="D29" s="139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5" customWidth="1"/>
    <col min="2" max="16384" width="14.5" style="604"/>
  </cols>
  <sheetData>
    <row r="1" spans="1:7" s="1386" customFormat="1" ht="18.75">
      <c r="A1" s="602" t="s">
        <v>1352</v>
      </c>
    </row>
    <row r="3" spans="1:7" ht="14.25">
      <c r="A3" s="1403" t="s">
        <v>1353</v>
      </c>
      <c r="B3" s="604" t="s">
        <v>1354</v>
      </c>
      <c r="G3" s="1404"/>
    </row>
    <row r="4" spans="1:7">
      <c r="G4" s="1404"/>
    </row>
    <row r="5" spans="1:7" ht="14.25">
      <c r="A5" s="1406" t="s">
        <v>1355</v>
      </c>
      <c r="B5" s="604" t="s">
        <v>1356</v>
      </c>
      <c r="G5" s="1404"/>
    </row>
    <row r="6" spans="1:7">
      <c r="G6" s="1404"/>
    </row>
    <row r="7" spans="1:7" ht="14.25">
      <c r="A7" s="1407" t="s">
        <v>1357</v>
      </c>
      <c r="B7" s="604" t="s">
        <v>1358</v>
      </c>
      <c r="G7" s="1404"/>
    </row>
    <row r="8" spans="1:7">
      <c r="G8" s="1404"/>
    </row>
    <row r="9" spans="1:7">
      <c r="A9" s="1408" t="s">
        <v>1359</v>
      </c>
      <c r="B9" s="604" t="s">
        <v>1360</v>
      </c>
    </row>
    <row r="11" spans="1:7">
      <c r="A11" s="1409" t="s">
        <v>1361</v>
      </c>
      <c r="B11" s="1410" t="s">
        <v>1362</v>
      </c>
    </row>
    <row r="13" spans="1:7">
      <c r="A13" s="1189" t="s">
        <v>1363</v>
      </c>
    </row>
    <row r="15" spans="1:7" ht="14.25">
      <c r="A15" s="3219" t="s">
        <v>1364</v>
      </c>
      <c r="B15" s="3214" t="s">
        <v>1365</v>
      </c>
      <c r="C15" s="3215"/>
    </row>
    <row r="16" spans="1:7" ht="14.25">
      <c r="A16" s="3220"/>
      <c r="B16" s="3214" t="s">
        <v>1366</v>
      </c>
      <c r="C16" s="3215"/>
    </row>
    <row r="17" spans="1:3" ht="14.25">
      <c r="A17" s="3220"/>
      <c r="B17" s="3214" t="s">
        <v>1367</v>
      </c>
      <c r="C17" s="3215"/>
    </row>
    <row r="18" spans="1:3" ht="14.25">
      <c r="A18" s="3221"/>
      <c r="B18" s="3216" t="s">
        <v>1368</v>
      </c>
      <c r="C18" s="3215"/>
    </row>
    <row r="19" spans="1:3" ht="14.25">
      <c r="A19" s="1411" t="s">
        <v>1369</v>
      </c>
      <c r="B19" s="1412"/>
      <c r="C19" s="1413"/>
    </row>
    <row r="20" spans="1:3" ht="14.25">
      <c r="A20" s="3217" t="s">
        <v>1370</v>
      </c>
      <c r="B20" s="3216" t="s">
        <v>1371</v>
      </c>
      <c r="C20" s="3215"/>
    </row>
    <row r="21" spans="1:3" ht="14.25">
      <c r="A21" s="3217"/>
      <c r="B21" s="3216" t="s">
        <v>1372</v>
      </c>
      <c r="C21" s="3215"/>
    </row>
    <row r="22" spans="1:3" ht="14.25">
      <c r="A22" s="3217"/>
      <c r="B22" s="3216" t="s">
        <v>1373</v>
      </c>
      <c r="C22" s="3215"/>
    </row>
    <row r="23" spans="1:3" ht="14.25">
      <c r="A23" s="3217"/>
      <c r="B23" s="3218" t="s">
        <v>1374</v>
      </c>
      <c r="C23" s="1414" t="s">
        <v>1375</v>
      </c>
    </row>
    <row r="24" spans="1:3" ht="14.25">
      <c r="A24" s="3217"/>
      <c r="B24" s="3218"/>
      <c r="C24" s="1414" t="s">
        <v>1376</v>
      </c>
    </row>
    <row r="25" spans="1:3" ht="14.25">
      <c r="A25" s="3217"/>
      <c r="B25" s="3218"/>
      <c r="C25" s="1414" t="s">
        <v>1377</v>
      </c>
    </row>
    <row r="26" spans="1:3" ht="14.25">
      <c r="A26" s="3217"/>
      <c r="B26" s="3218"/>
      <c r="C26" s="1414" t="s">
        <v>1378</v>
      </c>
    </row>
    <row r="27" spans="1:3" ht="14.25">
      <c r="A27" s="3217"/>
      <c r="B27" s="3218"/>
      <c r="C27" s="1414" t="s">
        <v>1379</v>
      </c>
    </row>
    <row r="28" spans="1:3" ht="14.25">
      <c r="A28" s="3217"/>
      <c r="B28" s="3218"/>
      <c r="C28" s="1414" t="s">
        <v>1380</v>
      </c>
    </row>
    <row r="29" spans="1:3" ht="14.25">
      <c r="A29" s="3217"/>
      <c r="B29" s="3218"/>
      <c r="C29" s="1414" t="s">
        <v>1381</v>
      </c>
    </row>
    <row r="30" spans="1:3" ht="14.25">
      <c r="A30" s="3217"/>
      <c r="B30" s="3218"/>
      <c r="C30" s="1414" t="s">
        <v>1382</v>
      </c>
    </row>
    <row r="31" spans="1:3" ht="14.25">
      <c r="A31" s="3217"/>
      <c r="B31" s="3218"/>
      <c r="C31" s="1414" t="s">
        <v>1383</v>
      </c>
    </row>
    <row r="32" spans="1:3">
      <c r="A32" s="1415"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6"/>
      <c r="B1" s="3056"/>
      <c r="C1" s="3056"/>
      <c r="D1" s="3056"/>
      <c r="E1" s="3056"/>
      <c r="F1" s="3056"/>
      <c r="G1" s="3056"/>
      <c r="H1" s="3056"/>
    </row>
    <row r="2" spans="1:8" ht="24" customHeight="1">
      <c r="A2" s="3057" t="s">
        <v>746</v>
      </c>
      <c r="B2" s="3058">
        <f ca="1">TODAY()</f>
        <v>44299</v>
      </c>
      <c r="C2" s="3059" t="s">
        <v>747</v>
      </c>
      <c r="D2" s="3059"/>
      <c r="E2" s="3059"/>
      <c r="F2" s="3056"/>
      <c r="G2" s="3056"/>
      <c r="H2" s="3056"/>
    </row>
    <row r="3" spans="1:8" ht="24" customHeight="1">
      <c r="A3" s="3060" t="s">
        <v>748</v>
      </c>
      <c r="B3" s="3061" t="s">
        <v>749</v>
      </c>
      <c r="C3" s="3061" t="s">
        <v>750</v>
      </c>
      <c r="D3" s="3062" t="s">
        <v>772</v>
      </c>
      <c r="E3" s="3075" t="s">
        <v>751</v>
      </c>
      <c r="F3" s="1300" t="s">
        <v>752</v>
      </c>
      <c r="G3" s="3061" t="s">
        <v>750</v>
      </c>
      <c r="H3" s="3062" t="s">
        <v>773</v>
      </c>
    </row>
    <row r="4" spans="1:8" ht="24" customHeight="1">
      <c r="A4" s="1300" t="s">
        <v>753</v>
      </c>
      <c r="B4" s="1300">
        <f ca="1">IF(C4&lt;B2,"已过期",1119970066)</f>
        <v>1119970066</v>
      </c>
      <c r="C4" s="3063">
        <v>44876</v>
      </c>
      <c r="D4" s="3074" t="str">
        <f ca="1">A4&amp;"（注册号："&amp;B4&amp;"）"</f>
        <v>梁津（注册号：1119970066）</v>
      </c>
      <c r="E4" s="3076" t="s">
        <v>753</v>
      </c>
      <c r="F4" s="1300">
        <f ca="1">IF(G4&lt;B2,"已过期",96010014)</f>
        <v>96010014</v>
      </c>
      <c r="G4" s="3064">
        <v>47118</v>
      </c>
      <c r="H4" s="3065" t="str">
        <f ca="1">E4&amp;"（注册号："&amp;F4&amp;"）"</f>
        <v>梁津（注册号：96010014）</v>
      </c>
    </row>
    <row r="5" spans="1:8" ht="24" customHeight="1">
      <c r="A5" s="1300" t="s">
        <v>754</v>
      </c>
      <c r="B5" s="1300">
        <f ca="1">IF(C5&lt;B2,"已过期",1119970111)</f>
        <v>1119970111</v>
      </c>
      <c r="C5" s="3063">
        <v>44876</v>
      </c>
      <c r="D5" s="3074" t="str">
        <f t="shared" ref="D5:D14" ca="1" si="0">A5&amp;"（注册号："&amp;B5&amp;"）"</f>
        <v>叶凌（注册号：1119970111）</v>
      </c>
      <c r="E5" s="3076" t="s">
        <v>754</v>
      </c>
      <c r="F5" s="1300">
        <f ca="1">IF(G5&lt;B2,"已过期",94010078)</f>
        <v>94010078</v>
      </c>
      <c r="G5" s="3064">
        <v>46387</v>
      </c>
      <c r="H5" s="3065" t="str">
        <f t="shared" ref="H5:H16" ca="1" si="1">E5&amp;"（注册号："&amp;F5&amp;"）"</f>
        <v>叶凌（注册号：94010078）</v>
      </c>
    </row>
    <row r="6" spans="1:8" ht="24" customHeight="1">
      <c r="A6" s="1300" t="s">
        <v>755</v>
      </c>
      <c r="B6" s="1300">
        <f ca="1">IF(C6&lt;B2,"已过期",1120050019)</f>
        <v>1120050019</v>
      </c>
      <c r="C6" s="3063">
        <v>44395</v>
      </c>
      <c r="D6" s="3074" t="str">
        <f t="shared" ca="1" si="0"/>
        <v>王鹏（注册号：1120050019）</v>
      </c>
      <c r="E6" s="3076" t="s">
        <v>755</v>
      </c>
      <c r="F6" s="1300">
        <f ca="1">IF(G6&lt;B2,"已过期",2002110030)</f>
        <v>2002110030</v>
      </c>
      <c r="G6" s="3064">
        <v>46387</v>
      </c>
      <c r="H6" s="3065" t="str">
        <f t="shared" ca="1" si="1"/>
        <v>王鹏（注册号：2002110030）</v>
      </c>
    </row>
    <row r="7" spans="1:8" ht="24" customHeight="1">
      <c r="A7" s="1300" t="s">
        <v>756</v>
      </c>
      <c r="B7" s="1300">
        <f ca="1">IF(C7&lt;B2,"已过期",1120000080)</f>
        <v>1120000080</v>
      </c>
      <c r="C7" s="3063">
        <v>44876</v>
      </c>
      <c r="D7" s="3074" t="str">
        <f t="shared" ca="1" si="0"/>
        <v>欧红伟（注册号：1120000080）</v>
      </c>
      <c r="E7" s="3076" t="s">
        <v>756</v>
      </c>
      <c r="F7" s="1300">
        <f ca="1">IF(G7&lt;B2,"已过期",2000110082)</f>
        <v>2000110082</v>
      </c>
      <c r="G7" s="3064">
        <v>46387</v>
      </c>
      <c r="H7" s="3065" t="str">
        <f t="shared" ca="1" si="1"/>
        <v>欧红伟（注册号：2000110082）</v>
      </c>
    </row>
    <row r="8" spans="1:8" ht="24" customHeight="1">
      <c r="A8" s="1300" t="s">
        <v>757</v>
      </c>
      <c r="B8" s="1300">
        <f ca="1">IF(C8&lt;B2,"已过期",1419970001)</f>
        <v>1419970001</v>
      </c>
      <c r="C8" s="3063">
        <v>44899</v>
      </c>
      <c r="D8" s="3074" t="str">
        <f t="shared" ca="1" si="0"/>
        <v>吴薇（注册号：1419970001）</v>
      </c>
      <c r="E8" s="3076" t="s">
        <v>757</v>
      </c>
      <c r="F8" s="1300">
        <f ca="1">IF(G8&lt;B2,"已过期",2002110125)</f>
        <v>2002110125</v>
      </c>
      <c r="G8" s="3064">
        <v>47118</v>
      </c>
      <c r="H8" s="3065" t="str">
        <f t="shared" ca="1" si="1"/>
        <v>吴薇（注册号：2002110125）</v>
      </c>
    </row>
    <row r="9" spans="1:8" ht="24" customHeight="1">
      <c r="A9" s="1300" t="s">
        <v>758</v>
      </c>
      <c r="B9" s="1300">
        <f ca="1">IF(C9&lt;B2,"已过期",1120060040)</f>
        <v>1120060040</v>
      </c>
      <c r="C9" s="3066">
        <v>44554</v>
      </c>
      <c r="D9" s="3074" t="str">
        <f t="shared" ca="1" si="0"/>
        <v>陈颖（注册号：1120060040）</v>
      </c>
      <c r="E9" s="3076" t="s">
        <v>758</v>
      </c>
      <c r="F9" s="1300">
        <f ca="1">IF(G9&lt;B2,"已过期",2004110096)</f>
        <v>2004110096</v>
      </c>
      <c r="G9" s="3064">
        <v>47118</v>
      </c>
      <c r="H9" s="3065" t="str">
        <f t="shared" ca="1" si="1"/>
        <v>陈颖（注册号：2004110096）</v>
      </c>
    </row>
    <row r="10" spans="1:8" ht="24" customHeight="1">
      <c r="A10" s="1300" t="s">
        <v>759</v>
      </c>
      <c r="B10" s="1300">
        <f ca="1">IF(C10&lt;B2,"已过期",1120100036)</f>
        <v>1120100036</v>
      </c>
      <c r="C10" s="3066">
        <v>44675</v>
      </c>
      <c r="D10" s="3074" t="str">
        <f t="shared" ca="1" si="0"/>
        <v>崔锴（注册号：1120100036）</v>
      </c>
      <c r="E10" s="3076" t="s">
        <v>759</v>
      </c>
      <c r="F10" s="1300">
        <f ca="1">IF(G10&lt;B2,"已过期",2010110070)</f>
        <v>2010110070</v>
      </c>
      <c r="G10" s="3064">
        <v>47907</v>
      </c>
      <c r="H10" s="3065" t="str">
        <f t="shared" ca="1" si="1"/>
        <v>崔锴（注册号：2010110070）</v>
      </c>
    </row>
    <row r="11" spans="1:8" ht="24" customHeight="1">
      <c r="A11" s="1300" t="s">
        <v>760</v>
      </c>
      <c r="B11" s="1300">
        <f ca="1">IF(C11&lt;B2,"已过期",1120070131)</f>
        <v>1120070131</v>
      </c>
      <c r="C11" s="3063">
        <v>44849</v>
      </c>
      <c r="D11" s="3074" t="str">
        <f t="shared" ca="1" si="0"/>
        <v>郑燚（注册号：1120070131）</v>
      </c>
      <c r="E11" s="3076" t="s">
        <v>760</v>
      </c>
      <c r="F11" s="1300">
        <f ca="1">IF(G11&lt;B2,"已过期",2014110011)</f>
        <v>2014110011</v>
      </c>
      <c r="G11" s="3064">
        <v>49302</v>
      </c>
      <c r="H11" s="3065" t="str">
        <f t="shared" ca="1" si="1"/>
        <v>郑燚（注册号：2014110011）</v>
      </c>
    </row>
    <row r="12" spans="1:8" ht="24" customHeight="1">
      <c r="A12" s="1300" t="s">
        <v>2711</v>
      </c>
      <c r="B12" s="1300">
        <f ca="1">IF(C12&lt;B2,"已过期",1120040230)</f>
        <v>1120040230</v>
      </c>
      <c r="C12" s="3066">
        <v>44864</v>
      </c>
      <c r="D12" s="3074" t="str">
        <f t="shared" ca="1" si="0"/>
        <v>苏海（注册号：1120040230）</v>
      </c>
      <c r="E12" s="3076" t="s">
        <v>2711</v>
      </c>
      <c r="F12" s="1300">
        <f ca="1">IF(G12&lt;B2,"已过期",98030020)</f>
        <v>98030020</v>
      </c>
      <c r="G12" s="3064">
        <v>47118</v>
      </c>
      <c r="H12" s="3065" t="str">
        <f t="shared" ca="1" si="1"/>
        <v>苏海（注册号：98030020）</v>
      </c>
    </row>
    <row r="13" spans="1:8" ht="24" customHeight="1">
      <c r="A13" s="1300" t="s">
        <v>761</v>
      </c>
      <c r="B13" s="1300">
        <f ca="1">IF(C13&lt;B2,"已过期",1120020033)</f>
        <v>1120020033</v>
      </c>
      <c r="C13" s="3063">
        <v>44339</v>
      </c>
      <c r="D13" s="3074" t="str">
        <f t="shared" ca="1" si="0"/>
        <v>刘敬东（注册号：1120020033）</v>
      </c>
      <c r="E13" s="3076" t="s">
        <v>761</v>
      </c>
      <c r="F13" s="1300">
        <f ca="1">IF(G13&lt;B2,"已过期",2000110137)</f>
        <v>2000110137</v>
      </c>
      <c r="G13" s="3064">
        <v>46387</v>
      </c>
      <c r="H13" s="3065" t="str">
        <f t="shared" ca="1" si="1"/>
        <v>刘敬东（注册号：2000110137）</v>
      </c>
    </row>
    <row r="14" spans="1:8" ht="24" customHeight="1">
      <c r="A14" s="1300" t="s">
        <v>2726</v>
      </c>
      <c r="B14" s="1300">
        <f ca="1">IF(C14&lt;B2,"已过期",1119980106)</f>
        <v>1119980106</v>
      </c>
      <c r="C14" s="3066">
        <v>44969</v>
      </c>
      <c r="D14" s="3074" t="str">
        <f t="shared" ca="1" si="0"/>
        <v>刘俊财（注册号：1119980106）</v>
      </c>
      <c r="E14" s="3076" t="s">
        <v>2826</v>
      </c>
      <c r="F14" s="1300">
        <f ca="1">IF(G14&lt;B2,"已过期",96010063)</f>
        <v>96010063</v>
      </c>
      <c r="G14" s="3064">
        <v>47483</v>
      </c>
      <c r="H14" s="3065" t="str">
        <f t="shared" ca="1" si="1"/>
        <v>刘俊财（注册号：96010063）</v>
      </c>
    </row>
    <row r="15" spans="1:8" ht="24" customHeight="1">
      <c r="A15" s="1300"/>
      <c r="B15" s="1300"/>
      <c r="C15" s="3066"/>
      <c r="D15" s="3074" t="str">
        <f t="shared" ref="D15" si="2">A15&amp;"（注册号："&amp;B15&amp;"）"</f>
        <v>（注册号：）</v>
      </c>
      <c r="E15" s="3076" t="s">
        <v>2830</v>
      </c>
      <c r="F15" s="1300">
        <f ca="1">IF(G15&lt;B2,"已过期",2011110090)</f>
        <v>2011110090</v>
      </c>
      <c r="G15" s="3064">
        <v>48302</v>
      </c>
      <c r="H15" s="3065" t="str">
        <f t="shared" ref="H15" ca="1" si="3">E15&amp;"（注册号："&amp;F15&amp;"）"</f>
        <v>赵雯（注册号：2011110090）</v>
      </c>
    </row>
    <row r="16" spans="1:8" s="3054" customFormat="1" ht="24" customHeight="1">
      <c r="A16" s="1300"/>
      <c r="B16" s="1300"/>
      <c r="C16" s="1300"/>
      <c r="D16" s="3074" t="str">
        <f>A16&amp;"（注册号："&amp;B16&amp;"）"</f>
        <v>（注册号：）</v>
      </c>
      <c r="E16" s="3076"/>
      <c r="F16" s="1300"/>
      <c r="G16" s="1300"/>
      <c r="H16" s="3067" t="str">
        <f t="shared" si="1"/>
        <v>（注册号：）</v>
      </c>
    </row>
    <row r="17" spans="1:8" ht="24" customHeight="1">
      <c r="A17" s="3222" t="s">
        <v>762</v>
      </c>
      <c r="B17" s="3222"/>
      <c r="C17" s="3222"/>
      <c r="D17" s="3222"/>
      <c r="E17" s="3222"/>
      <c r="F17" s="3222"/>
      <c r="G17" s="3222"/>
      <c r="H17" s="3222"/>
    </row>
    <row r="18" spans="1:8" ht="24" customHeight="1">
      <c r="A18" s="3223" t="s">
        <v>763</v>
      </c>
      <c r="B18" s="3223"/>
      <c r="C18" s="3223"/>
      <c r="D18" s="3062"/>
      <c r="E18" s="3224" t="s">
        <v>764</v>
      </c>
      <c r="F18" s="3223"/>
      <c r="G18" s="3223"/>
    </row>
    <row r="19" spans="1:8" s="3052" customFormat="1" ht="24" customHeight="1">
      <c r="A19" s="3068" t="s">
        <v>765</v>
      </c>
      <c r="B19" s="3061" t="s">
        <v>766</v>
      </c>
      <c r="C19" s="3061" t="s">
        <v>767</v>
      </c>
      <c r="D19" s="3062"/>
      <c r="E19" s="3076" t="s">
        <v>765</v>
      </c>
      <c r="F19" s="3061" t="s">
        <v>766</v>
      </c>
      <c r="G19" s="3061" t="s">
        <v>767</v>
      </c>
    </row>
    <row r="20" spans="1:8" s="3052" customFormat="1" ht="24" customHeight="1">
      <c r="A20" s="3069" t="s">
        <v>2827</v>
      </c>
      <c r="B20" s="3069" t="s">
        <v>2828</v>
      </c>
      <c r="C20" s="3064">
        <v>44820</v>
      </c>
      <c r="D20" s="3077"/>
      <c r="E20" s="3079" t="s">
        <v>768</v>
      </c>
      <c r="F20" s="3069" t="s">
        <v>769</v>
      </c>
      <c r="G20" s="3070">
        <v>44377</v>
      </c>
    </row>
    <row r="21" spans="1:8" s="3052" customFormat="1" ht="24" customHeight="1">
      <c r="A21" s="3069"/>
      <c r="B21" s="3069"/>
      <c r="C21" s="3071"/>
      <c r="D21" s="3078"/>
      <c r="E21" s="3079" t="s">
        <v>770</v>
      </c>
      <c r="F21" s="3072" t="s">
        <v>2725</v>
      </c>
      <c r="G21" s="3073">
        <v>44012</v>
      </c>
    </row>
    <row r="22" spans="1:8" ht="24" customHeight="1">
      <c r="C22" s="3055"/>
      <c r="D22" s="3055"/>
      <c r="E22" s="3080"/>
      <c r="F22" s="3081"/>
      <c r="G22" s="3082"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6" t="s">
        <v>1385</v>
      </c>
      <c r="B1" s="4" t="s">
        <v>1386</v>
      </c>
      <c r="C1" s="1417" t="s">
        <v>1387</v>
      </c>
      <c r="D1" s="5" t="s">
        <v>1388</v>
      </c>
      <c r="E1" s="5" t="s">
        <v>1389</v>
      </c>
      <c r="F1" s="5" t="s">
        <v>1390</v>
      </c>
      <c r="G1" s="5" t="s">
        <v>1391</v>
      </c>
      <c r="H1" s="5" t="s">
        <v>1392</v>
      </c>
      <c r="I1" s="5" t="s">
        <v>1393</v>
      </c>
      <c r="J1" s="5" t="s">
        <v>1394</v>
      </c>
      <c r="K1" s="5" t="s">
        <v>1395</v>
      </c>
      <c r="L1" s="5" t="s">
        <v>1396</v>
      </c>
      <c r="M1" s="5" t="s">
        <v>1397</v>
      </c>
      <c r="N1" s="5" t="s">
        <v>1398</v>
      </c>
      <c r="O1" s="5" t="s">
        <v>1399</v>
      </c>
      <c r="P1" s="1418" t="s">
        <v>1400</v>
      </c>
      <c r="Q1" s="1418" t="s">
        <v>1401</v>
      </c>
      <c r="R1" s="1418" t="s">
        <v>1402</v>
      </c>
      <c r="S1" s="5" t="s">
        <v>1403</v>
      </c>
      <c r="T1" s="6" t="s">
        <v>1404</v>
      </c>
      <c r="U1" s="5" t="s">
        <v>1405</v>
      </c>
      <c r="V1" s="5" t="s">
        <v>1406</v>
      </c>
      <c r="W1" s="5" t="s">
        <v>1407</v>
      </c>
      <c r="X1" s="5" t="s">
        <v>1408</v>
      </c>
      <c r="Y1" s="5" t="s">
        <v>1409</v>
      </c>
    </row>
    <row r="2" spans="1:25">
      <c r="A2" s="1419" t="s">
        <v>33</v>
      </c>
      <c r="B2" s="1419" t="s">
        <v>1410</v>
      </c>
      <c r="C2" s="1420"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9" t="s">
        <v>1423</v>
      </c>
      <c r="B3" s="1421"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9" t="s">
        <v>1436</v>
      </c>
      <c r="B4" s="1421" t="s">
        <v>1437</v>
      </c>
      <c r="C4" s="1420"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9" t="s">
        <v>1447</v>
      </c>
      <c r="B5" s="1419" t="s">
        <v>1448</v>
      </c>
      <c r="C5" s="1420"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2"/>
    </row>
    <row r="6" spans="1:25">
      <c r="A6" s="1419" t="s">
        <v>1456</v>
      </c>
      <c r="B6" s="1419"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2"/>
    </row>
    <row r="7" spans="1:25">
      <c r="A7" s="1419" t="s">
        <v>1464</v>
      </c>
      <c r="B7" s="1421" t="s">
        <v>1465</v>
      </c>
      <c r="C7" s="1420" t="s">
        <v>1466</v>
      </c>
      <c r="F7" s="7" t="s">
        <v>1467</v>
      </c>
      <c r="H7" s="7" t="s">
        <v>1468</v>
      </c>
      <c r="I7" s="7" t="s">
        <v>1469</v>
      </c>
      <c r="X7" s="1422"/>
    </row>
    <row r="8" spans="1:25">
      <c r="A8" s="1419" t="s">
        <v>1470</v>
      </c>
      <c r="B8" s="1421" t="s">
        <v>1471</v>
      </c>
      <c r="C8" s="1420" t="s">
        <v>1472</v>
      </c>
      <c r="F8" s="7" t="s">
        <v>1473</v>
      </c>
      <c r="H8" s="7" t="s">
        <v>1474</v>
      </c>
      <c r="I8" s="7" t="s">
        <v>1475</v>
      </c>
      <c r="X8" s="1422"/>
    </row>
    <row r="9" spans="1:25">
      <c r="A9" s="1419" t="s">
        <v>1476</v>
      </c>
      <c r="B9" s="1419" t="s">
        <v>1477</v>
      </c>
      <c r="C9" s="1420" t="s">
        <v>1478</v>
      </c>
      <c r="F9" s="7" t="s">
        <v>1479</v>
      </c>
      <c r="H9" s="7" t="s">
        <v>1480</v>
      </c>
    </row>
    <row r="10" spans="1:25">
      <c r="A10" s="1419" t="s">
        <v>1481</v>
      </c>
      <c r="B10" s="1419" t="s">
        <v>1482</v>
      </c>
      <c r="C10" s="1420" t="s">
        <v>1483</v>
      </c>
      <c r="F10" s="7" t="s">
        <v>13</v>
      </c>
    </row>
    <row r="11" spans="1:25">
      <c r="A11" s="1419" t="s">
        <v>1484</v>
      </c>
      <c r="B11" s="1419" t="s">
        <v>1485</v>
      </c>
      <c r="C11" s="1420" t="s">
        <v>1486</v>
      </c>
    </row>
    <row r="12" spans="1:25">
      <c r="A12" s="1419" t="s">
        <v>1487</v>
      </c>
      <c r="B12" s="1419" t="s">
        <v>1488</v>
      </c>
      <c r="C12" s="1420" t="s">
        <v>1489</v>
      </c>
    </row>
    <row r="13" spans="1:25">
      <c r="A13" s="1419" t="s">
        <v>1490</v>
      </c>
      <c r="B13" s="1419" t="s">
        <v>1491</v>
      </c>
      <c r="C13" s="1420" t="s">
        <v>1492</v>
      </c>
    </row>
    <row r="14" spans="1:25">
      <c r="A14" s="1419" t="s">
        <v>1493</v>
      </c>
      <c r="B14" s="1419" t="s">
        <v>1494</v>
      </c>
      <c r="C14" s="1420"/>
    </row>
    <row r="15" spans="1:25">
      <c r="A15" s="1419" t="s">
        <v>1495</v>
      </c>
      <c r="B15" s="1419" t="s">
        <v>1496</v>
      </c>
      <c r="C15" s="1420"/>
    </row>
    <row r="16" spans="1:25">
      <c r="A16" s="1419" t="s">
        <v>1497</v>
      </c>
      <c r="B16" s="1419" t="s">
        <v>1498</v>
      </c>
      <c r="C16" s="1420"/>
    </row>
    <row r="17" spans="1:3">
      <c r="A17" s="1419" t="s">
        <v>1499</v>
      </c>
      <c r="B17" s="1419" t="s">
        <v>1500</v>
      </c>
      <c r="C17" s="1420"/>
    </row>
    <row r="18" spans="1:3">
      <c r="A18" s="1419" t="s">
        <v>1501</v>
      </c>
      <c r="B18" s="1419" t="s">
        <v>1502</v>
      </c>
      <c r="C18" s="1420"/>
    </row>
    <row r="19" spans="1:3">
      <c r="A19" s="1419" t="s">
        <v>1503</v>
      </c>
      <c r="B19" s="1419" t="s">
        <v>1504</v>
      </c>
      <c r="C19" s="1420"/>
    </row>
    <row r="20" spans="1:3">
      <c r="A20" s="1419" t="s">
        <v>1505</v>
      </c>
      <c r="B20" s="1419" t="s">
        <v>740</v>
      </c>
      <c r="C20" s="1420"/>
    </row>
    <row r="21" spans="1:3">
      <c r="A21" s="1419" t="s">
        <v>1506</v>
      </c>
      <c r="B21" s="1419" t="s">
        <v>740</v>
      </c>
      <c r="C21" s="1420"/>
    </row>
    <row r="22" spans="1:3">
      <c r="A22" s="1419" t="s">
        <v>1507</v>
      </c>
      <c r="B22" s="1419" t="s">
        <v>740</v>
      </c>
      <c r="C22" s="1420"/>
    </row>
    <row r="23" spans="1:3">
      <c r="A23" s="1419" t="s">
        <v>1508</v>
      </c>
      <c r="B23" s="1419" t="s">
        <v>740</v>
      </c>
      <c r="C23" s="1420"/>
    </row>
    <row r="24" spans="1:3">
      <c r="A24" s="1419" t="s">
        <v>1509</v>
      </c>
      <c r="B24" s="1419" t="s">
        <v>740</v>
      </c>
      <c r="C24" s="1420"/>
    </row>
    <row r="25" spans="1:3">
      <c r="A25" s="1419" t="s">
        <v>1510</v>
      </c>
      <c r="B25" s="1419" t="s">
        <v>740</v>
      </c>
      <c r="C25" s="1420"/>
    </row>
    <row r="26" spans="1:3">
      <c r="A26" s="1419" t="s">
        <v>1511</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德惠市东佳粮油有限公司拟使用吉林省长春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3" t="s">
        <v>1514</v>
      </c>
      <c r="B52" s="1423" t="s">
        <v>1515</v>
      </c>
      <c r="C52" s="9" t="s">
        <v>1516</v>
      </c>
      <c r="D52" s="9" t="s">
        <v>1517</v>
      </c>
    </row>
    <row r="53" spans="1:4" ht="14.25" customHeight="1">
      <c r="A53" s="322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本次估价的“房地产价值”是指在正常市场情况下，在价值时点2021年4月10日，估价对象规划用途为，假定未设立法定优先受偿款下的房地产市场价值。</v>
      </c>
    </row>
    <row r="54" spans="1:4">
      <c r="A54" s="3225"/>
      <c r="B54" s="9" t="s">
        <v>1520</v>
      </c>
      <c r="C54" s="9" t="s">
        <v>1521</v>
      </c>
    </row>
    <row r="55" spans="1:4">
      <c r="A55" s="3225"/>
      <c r="B55" s="9" t="s">
        <v>1522</v>
      </c>
      <c r="C55" s="9" t="s">
        <v>1523</v>
      </c>
    </row>
    <row r="56" spans="1:4">
      <c r="A56" s="3225"/>
      <c r="B56" s="9" t="s">
        <v>1524</v>
      </c>
      <c r="C56" s="9" t="s">
        <v>1525</v>
      </c>
    </row>
    <row r="57" spans="1:4">
      <c r="A57" s="3225"/>
      <c r="B57" s="9" t="s">
        <v>1526</v>
      </c>
      <c r="C57" s="9" t="s">
        <v>1527</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2021-04-13T02:50:26Z</dcterms:modified>
</cp:coreProperties>
</file>