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277北京市海淀区翠微北里8号楼16层3号\"/>
    </mc:Choice>
  </mc:AlternateContent>
  <bookViews>
    <workbookView xWindow="0" yWindow="0" windowWidth="20556" windowHeight="1362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6"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37" i="21" l="1"/>
  <c r="D5" i="9"/>
  <c r="G33" i="21"/>
  <c r="G47" i="21"/>
  <c r="G5" i="21" l="1"/>
  <c r="I47" i="21"/>
  <c r="E47" i="21"/>
  <c r="I33" i="21"/>
  <c r="E33" i="21"/>
  <c r="I5" i="21"/>
  <c r="E5" i="21"/>
  <c r="C6" i="69"/>
  <c r="N20" i="1"/>
  <c r="L59" i="21" l="1"/>
  <c r="K59" i="21"/>
  <c r="I59" i="21"/>
  <c r="H59" i="21"/>
  <c r="F59" i="21"/>
  <c r="E59" i="21"/>
  <c r="F90" i="21"/>
  <c r="E90" i="21"/>
  <c r="D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I123" i="21"/>
  <c r="J123" i="21" s="1"/>
  <c r="K123" i="21" s="1"/>
  <c r="L123" i="21" s="1"/>
  <c r="M123" i="21"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M47" i="9"/>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M8" i="15"/>
  <c r="E10" i="76"/>
  <c r="M9" i="67"/>
  <c r="F5" i="73"/>
  <c r="B12" i="76"/>
  <c r="B11" i="76"/>
  <c r="B10" i="76"/>
  <c r="E2" i="68"/>
  <c r="M23" i="67"/>
  <c r="B9" i="76"/>
  <c r="D35" i="9"/>
  <c r="F4" i="73"/>
  <c r="E13" i="76"/>
  <c r="M8" i="67"/>
  <c r="E2" i="69"/>
  <c r="B13" i="76"/>
  <c r="D34" i="9"/>
  <c r="E12" i="76"/>
  <c r="F7" i="73"/>
  <c r="F20" i="31"/>
  <c r="C76" i="67"/>
  <c r="B7" i="76"/>
  <c r="M22" i="67"/>
  <c r="E7" i="76"/>
  <c r="E8" i="76"/>
  <c r="B8" i="76"/>
  <c r="E11" i="76"/>
  <c r="E9" i="76"/>
  <c r="F7" i="67"/>
  <c r="F3" i="73"/>
  <c r="AO13" i="1"/>
  <c r="H36" i="21" l="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AC35" i="21"/>
  <c r="U35" i="21"/>
  <c r="AB34" i="21"/>
  <c r="AC27" i="21"/>
  <c r="S42"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F26" i="15"/>
  <c r="J15" i="15"/>
  <c r="L48" i="15"/>
  <c r="L47" i="67"/>
  <c r="L47" i="15"/>
  <c r="M26" i="67"/>
  <c r="M22" i="15"/>
  <c r="F16" i="15"/>
  <c r="F6" i="15"/>
  <c r="M26" i="15"/>
  <c r="D9" i="69"/>
  <c r="M24" i="67"/>
  <c r="F8" i="15"/>
  <c r="F9" i="15"/>
  <c r="F36" i="15"/>
  <c r="F9" i="67"/>
  <c r="M9" i="15"/>
  <c r="M28" i="15"/>
  <c r="D4" i="73"/>
  <c r="M23" i="15"/>
  <c r="F38" i="15"/>
  <c r="J15" i="67"/>
  <c r="M24" i="15"/>
  <c r="M29" i="67"/>
  <c r="F37" i="67"/>
  <c r="C36" i="69"/>
  <c r="F40" i="67"/>
  <c r="M6" i="67"/>
  <c r="M6" i="15"/>
  <c r="D7" i="73"/>
  <c r="D3" i="73"/>
  <c r="M28" i="67"/>
  <c r="F36" i="67"/>
  <c r="F38" i="67"/>
  <c r="F43" i="15"/>
  <c r="F13" i="15"/>
  <c r="F8" i="67"/>
  <c r="M29" i="15"/>
  <c r="D6" i="73"/>
  <c r="F40" i="15"/>
  <c r="F16" i="67"/>
  <c r="F7" i="15"/>
  <c r="F43" i="67"/>
  <c r="F37" i="15"/>
  <c r="C76" i="15"/>
  <c r="F13" i="67"/>
  <c r="F26" i="67"/>
  <c r="F42" i="15"/>
  <c r="L48" i="67"/>
  <c r="F42" i="67"/>
  <c r="F6" i="67"/>
  <c r="D5" i="73"/>
  <c r="AC37" i="21" l="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67"/>
  <c r="F41" i="67"/>
  <c r="C16" i="15"/>
  <c r="G1" i="73"/>
  <c r="F27" i="69"/>
  <c r="M17" i="15" l="1"/>
  <c r="W7" i="36"/>
  <c r="E211" i="3"/>
  <c r="E162" i="3"/>
  <c r="E514" i="3"/>
  <c r="E533" i="3"/>
  <c r="E321" i="3"/>
  <c r="E227" i="3"/>
  <c r="E551" i="3"/>
  <c r="E134" i="3"/>
  <c r="E236" i="3"/>
  <c r="Q61" i="15"/>
  <c r="F59" i="15"/>
  <c r="F27" i="68"/>
  <c r="C47" i="68" s="1"/>
  <c r="D45" i="68" s="1"/>
  <c r="S16" i="71"/>
  <c r="E191" i="3"/>
  <c r="K6" i="3"/>
  <c r="E458"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M27" i="15"/>
  <c r="F41" i="15"/>
  <c r="M27" i="67"/>
  <c r="E49" i="34" l="1"/>
  <c r="F45" i="68"/>
  <c r="C29" i="68"/>
  <c r="D27" i="68" s="1"/>
  <c r="AC6" i="3"/>
  <c r="AA10" i="40"/>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2" i="6"/>
  <c r="M19" i="9"/>
  <c r="C118" i="9" s="1"/>
  <c r="B2" i="74" s="1"/>
  <c r="D9" i="6"/>
  <c r="L19" i="9"/>
  <c r="C18" i="4"/>
  <c r="D5"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17" i="15"/>
  <c r="C17" i="67"/>
  <c r="C34" i="69"/>
  <c r="D10" i="69"/>
  <c r="H24" i="6" l="1"/>
  <c r="D13" i="6"/>
  <c r="D23" i="6"/>
  <c r="D29" i="6"/>
  <c r="D30" i="6" s="1"/>
  <c r="D14" i="6"/>
  <c r="D20" i="6"/>
  <c r="D15" i="6"/>
  <c r="H26" i="6"/>
  <c r="D11" i="6"/>
  <c r="D8" i="6"/>
  <c r="D24" i="6"/>
  <c r="D25" i="6"/>
  <c r="D27" i="6" s="1"/>
  <c r="D31" i="6" s="1"/>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C26" i="11"/>
  <c r="D22" i="11" s="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4" i="6"/>
  <c r="R11" i="1" s="1"/>
  <c r="R22" i="6"/>
  <c r="R9" i="1" s="1"/>
  <c r="C15" i="12"/>
  <c r="C12" i="12"/>
  <c r="D8" i="74"/>
  <c r="D7" i="74"/>
  <c r="R21" i="6"/>
  <c r="R8" i="1" s="1"/>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6" i="6" l="1"/>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F35" i="15"/>
  <c r="M21" i="67"/>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7"/>
  <c r="C20" i="9"/>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6" i="1"/>
  <c r="AO9" i="1"/>
  <c r="AO8" i="1"/>
  <c r="AO10"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D19" i="9"/>
  <c r="B3" i="69"/>
  <c r="C57" i="69" l="1"/>
  <c r="C56" i="69" s="1"/>
  <c r="G19" i="9"/>
  <c r="G21" i="9" s="1"/>
  <c r="D22" i="9"/>
  <c r="D102" i="9"/>
  <c r="D21" i="9"/>
  <c r="D20" i="9"/>
  <c r="G20" i="9" l="1"/>
  <c r="C32" i="9" s="1"/>
  <c r="C35" i="9" s="1"/>
  <c r="C34" i="9" s="1"/>
  <c r="D103" i="9"/>
  <c r="D14" i="74"/>
  <c r="B5" i="74" s="1"/>
  <c r="F14" i="74" l="1"/>
  <c r="D5" i="74"/>
  <c r="E14" i="74"/>
  <c r="B20" i="72" l="1"/>
  <c r="C73" i="9"/>
  <c r="B51" i="72"/>
  <c r="N60" i="9"/>
  <c r="N61" i="9"/>
  <c r="C6" i="74"/>
  <c r="M48" i="9"/>
  <c r="C86" i="9"/>
  <c r="C5" i="74"/>
  <c r="D15" i="53"/>
  <c r="B31" i="72"/>
  <c r="C78" i="9"/>
  <c r="D53" i="9"/>
  <c r="D52" i="9"/>
  <c r="C93" i="9"/>
  <c r="D54" i="9"/>
  <c r="C104" i="9"/>
  <c r="H4" i="52"/>
  <c r="D8" i="52"/>
  <c r="B32" i="72"/>
  <c r="M54" i="9"/>
  <c r="I4" i="52"/>
  <c r="C105" i="9"/>
  <c r="D119" i="9"/>
  <c r="D5" i="52"/>
  <c r="B49" i="72"/>
  <c r="N58" i="9"/>
  <c r="N59" i="9"/>
  <c r="P57" i="9"/>
  <c r="B30" i="72"/>
  <c r="D14" i="53"/>
  <c r="C68" i="9"/>
  <c r="H108" i="9"/>
  <c r="D13" i="53"/>
  <c r="F5" i="52"/>
  <c r="B53" i="72"/>
  <c r="B48" i="72"/>
  <c r="E81" i="9"/>
  <c r="H107" i="9"/>
  <c r="D122" i="9"/>
  <c r="D123" i="9"/>
  <c r="D9" i="52"/>
  <c r="D4" i="52"/>
  <c r="B47" i="72"/>
  <c r="H102" i="9"/>
  <c r="D7" i="53"/>
  <c r="B21" i="72"/>
  <c r="C81" i="9"/>
  <c r="H119" i="9"/>
  <c r="H5" i="52"/>
  <c r="F4" i="52"/>
  <c r="F119" i="9"/>
  <c r="D55" i="9"/>
  <c r="M53" i="9"/>
  <c r="N57" i="9"/>
  <c r="F118" i="9"/>
  <c r="G118" i="9"/>
  <c r="G4" i="52"/>
  <c r="B52" i="72"/>
  <c r="E4" i="52"/>
  <c r="E118" i="9"/>
  <c r="D118" i="9"/>
  <c r="C96" i="9"/>
  <c r="E96" i="9"/>
  <c r="E97" i="9"/>
  <c r="C72" i="9"/>
  <c r="C79" i="9"/>
  <c r="C80" i="9"/>
  <c r="E80" i="9"/>
  <c r="C64" i="9"/>
  <c r="C63" i="9"/>
  <c r="C67" i="9"/>
  <c r="D59" i="9"/>
  <c r="M55" i="9"/>
  <c r="D5" i="53"/>
  <c r="D6" i="53"/>
  <c r="B22" i="72"/>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<sst xmlns="http://schemas.openxmlformats.org/spreadsheetml/2006/main" count="9676" uniqueCount="4055">
  <si>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</si>
  <si>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</si>
  <si>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</si>
  <si>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</si>
  <si>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</si>
  <si>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</si>
  <si>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</si>
  <si>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</si>
  <si>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</si>
  <si>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</si>
  <si>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</si>
  <si>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</si>
  <si>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</si>
  <si>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</si>
  <si>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</si>
  <si>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</si>
  <si>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</si>
  <si>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</si>
  <si>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</si>
  <si>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</si>
  <si>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</si>
  <si>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</si>
  <si>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</si>
  <si>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</si>
  <si>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</si>
  <si>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</si>
  <si>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</si>
  <si>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</si>
  <si>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</si>
  <si>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</si>
  <si>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</si>
  <si>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</si>
  <si>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</si>
  <si>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</si>
  <si>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</si>
  <si>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</si>
  <si>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</si>
  <si>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</si>
  <si>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</si>
  <si>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</si>
  <si>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</si>
  <si>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</si>
  <si>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</si>
  <si>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</si>
  <si>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</si>
  <si>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</si>
  <si>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</si>
  <si>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</si>
  <si>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</si>
  <si>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</si>
  <si>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</si>
  <si>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</si>
  <si>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</si>
  <si>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</si>
  <si>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</si>
  <si>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</si>
  <si>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</si>
  <si>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</si>
  <si>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</si>
  <si>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</si>
  <si>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</si>
  <si>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</si>
  <si>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</si>
  <si>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</si>
  <si>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</si>
  <si>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</si>
  <si>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</si>
  <si>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</si>
  <si>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</si>
  <si>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</si>
  <si>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</si>
  <si>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</si>
  <si>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</si>
  <si>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</si>
  <si>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</si>
  <si>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</si>
  <si>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</si>
  <si>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</si>
  <si>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</si>
  <si>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</si>
  <si>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</si>
  <si>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</si>
  <si>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</si>
  <si>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</si>
  <si>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</si>
  <si>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</si>
  <si>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</si>
  <si>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</si>
  <si>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</si>
  <si>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</si>
  <si>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</si>
  <si>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</si>
  <si>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</si>
  <si>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</si>
  <si>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</si>
  <si>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</si>
  <si>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</si>
  <si>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</si>
  <si>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</si>
  <si>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</si>
  <si>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</si>
  <si>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</si>
  <si>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</si>
  <si>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</si>
  <si>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</si>
  <si>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</si>
  <si>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</si>
  <si>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</si>
  <si>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</si>
  <si>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</si>
  <si>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</si>
  <si>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</si>
  <si>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</si>
  <si>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</si>
  <si>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</si>
  <si>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</si>
  <si>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</si>
  <si>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</si>
  <si>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</si>
  <si>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</si>
  <si>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</si>
  <si>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</si>
  <si>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</si>
  <si>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</si>
  <si>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</si>
  <si>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</si>
  <si>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</si>
  <si>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</si>
  <si>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</si>
  <si>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</si>
  <si>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</si>
  <si>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</si>
  <si>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</si>
  <si>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</si>
  <si>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</si>
  <si>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</si>
  <si>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</si>
  <si>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</si>
  <si>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</si>
  <si>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</si>
  <si>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</si>
  <si>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</si>
  <si>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</si>
  <si>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</si>
  <si>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</si>
  <si>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</si>
  <si>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</si>
  <si>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</si>
  <si>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</si>
  <si>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</si>
  <si>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</si>
  <si>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</si>
  <si>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</si>
  <si>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</si>
  <si>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</si>
  <si>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</si>
  <si>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</si>
  <si>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</si>
  <si>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</si>
  <si>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</si>
  <si>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</si>
  <si>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</si>
  <si>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</si>
  <si>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</si>
  <si>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</si>
  <si>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</si>
  <si>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</si>
  <si>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</si>
  <si>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</si>
  <si>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</si>
  <si>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</si>
  <si>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</si>
  <si>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</si>
  <si>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</si>
  <si>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</si>
  <si>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</si>
  <si>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</si>
  <si>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</si>
  <si>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</si>
  <si>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</si>
  <si>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</si>
  <si>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</si>
  <si>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</si>
  <si>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</si>
  <si>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</si>
  <si>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</si>
  <si>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</si>
  <si>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</si>
  <si>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</si>
  <si>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</si>
  <si>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</si>
  <si>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</si>
  <si>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</si>
  <si>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</si>
  <si>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</si>
  <si>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</si>
  <si>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</si>
  <si>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</si>
  <si>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</si>
  <si>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</si>
  <si>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</si>
  <si>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</si>
  <si>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</si>
  <si>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</si>
  <si>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</si>
  <si>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</si>
  <si>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</si>
  <si>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</si>
  <si>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</si>
  <si>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</si>
  <si>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</si>
  <si>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</si>
  <si>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</si>
  <si>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</si>
  <si>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</si>
  <si>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</si>
  <si>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</si>
  <si>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</si>
  <si>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</si>
  <si>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</si>
  <si>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</si>
  <si>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</si>
  <si>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</si>
  <si>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</si>
  <si>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</si>
  <si>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</si>
  <si>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</si>
  <si>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</si>
  <si>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</si>
  <si>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</si>
  <si>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</si>
  <si>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</si>
  <si>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</si>
  <si>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</si>
  <si>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</si>
  <si>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</si>
  <si>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</si>
  <si>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</si>
  <si>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</si>
  <si>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</si>
  <si>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</si>
  <si>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</si>
  <si>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</si>
  <si>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</si>
  <si>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</si>
  <si>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</si>
  <si>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</si>
  <si>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</si>
  <si>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</si>
  <si>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</si>
  <si>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</si>
  <si>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</si>
  <si>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</si>
  <si>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</si>
  <si>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</si>
  <si>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</si>
  <si>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</si>
  <si>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</si>
  <si>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</si>
  <si>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</si>
  <si>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</si>
  <si>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</si>
  <si>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</si>
  <si>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</si>
  <si>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</si>
  <si>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</si>
  <si>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</si>
  <si>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</si>
  <si>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</si>
  <si>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</si>
  <si>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</si>
  <si>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</si>
  <si>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</si>
  <si>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</si>
  <si>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</si>
  <si>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</si>
  <si>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</si>
  <si>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</si>
  <si>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</si>
  <si>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</si>
  <si>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</si>
  <si>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</si>
  <si>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</si>
  <si>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</si>
  <si>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</si>
  <si>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</si>
  <si>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</si>
  <si>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</si>
  <si>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</si>
  <si>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</si>
  <si>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</si>
  <si>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</si>
  <si>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</si>
  <si>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</si>
  <si>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</si>
  <si>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</si>
  <si>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</si>
  <si>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</si>
  <si>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</si>
  <si>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</si>
  <si>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</si>
  <si>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</si>
  <si>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</si>
  <si>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</si>
  <si>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</si>
  <si>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</si>
  <si>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</si>
  <si>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</si>
  <si>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</si>
  <si>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</si>
  <si>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</si>
  <si>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</si>
  <si>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</si>
  <si>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</si>
  <si>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</si>
  <si>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</si>
  <si>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</si>
  <si>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</si>
  <si>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</si>
  <si>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</si>
  <si>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</si>
  <si>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</si>
  <si>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</si>
  <si>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</si>
  <si>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</si>
  <si>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</si>
  <si>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</si>
  <si>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</si>
  <si>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</si>
  <si>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</si>
  <si>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</si>
  <si>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</si>
  <si>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</si>
  <si>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</si>
  <si>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</si>
  <si>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</si>
  <si>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</si>
  <si>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</si>
  <si>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</si>
  <si>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</si>
  <si>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</si>
  <si>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</si>
  <si>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</si>
  <si>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</si>
  <si>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</si>
  <si>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</si>
  <si>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</si>
  <si>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</si>
  <si>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</si>
  <si>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</si>
  <si>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</si>
  <si>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</si>
  <si>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</si>
  <si>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</si>
  <si>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</si>
  <si>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</si>
  <si>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</si>
  <si>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</si>
  <si>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</si>
  <si>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</si>
  <si>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</si>
  <si>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</si>
  <si>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</si>
  <si>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</si>
  <si>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</si>
  <si>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</si>
  <si>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</si>
  <si>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</si>
  <si>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</si>
  <si>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</si>
  <si>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</si>
  <si>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</si>
  <si>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</si>
  <si>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</si>
  <si>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</si>
  <si>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</si>
  <si>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</si>
  <si>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</si>
  <si>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</si>
  <si>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</si>
  <si>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</si>
  <si>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</si>
  <si>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</si>
  <si>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</si>
  <si>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</si>
  <si>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</si>
  <si>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</si>
  <si>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</si>
  <si>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</si>
  <si>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</si>
  <si>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</si>
  <si>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</si>
  <si>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</si>
  <si>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</si>
  <si>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</si>
  <si>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</si>
  <si>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</si>
  <si>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</si>
  <si>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</si>
  <si>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</si>
  <si>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</si>
  <si>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</si>
  <si>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</si>
  <si>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</si>
  <si>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</si>
  <si>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</si>
  <si>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</si>
  <si>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</si>
  <si>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</si>
  <si>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</si>
  <si>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</si>
  <si>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</si>
  <si>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</si>
  <si>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</si>
  <si>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</si>
  <si>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</si>
  <si>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</si>
  <si>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</si>
  <si>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</si>
  <si>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</si>
  <si>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</si>
  <si>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</si>
  <si>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</si>
  <si>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</si>
  <si>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</si>
  <si>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</si>
  <si>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</si>
  <si>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</si>
  <si>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</si>
  <si>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</si>
  <si>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</si>
  <si>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</si>
  <si>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</si>
  <si>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</si>
  <si>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</si>
  <si>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</si>
  <si>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</si>
  <si>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</si>
  <si>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</si>
  <si>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</si>
  <si>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</si>
  <si>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</si>
  <si>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</si>
  <si>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</si>
  <si>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</si>
  <si>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</si>
  <si>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</si>
  <si>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</si>
  <si>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</si>
  <si>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</si>
  <si>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</si>
  <si>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</si>
  <si>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</si>
  <si>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</si>
  <si>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</si>
  <si>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</si>
  <si>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</si>
  <si>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</si>
  <si>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</si>
  <si>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</si>
  <si>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</si>
  <si>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</si>
  <si>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</si>
  <si>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</si>
  <si>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</si>
  <si>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</si>
  <si>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</si>
  <si>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</si>
  <si>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</si>
  <si>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</si>
  <si>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</si>
  <si>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</si>
  <si>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</si>
  <si>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</si>
  <si>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</si>
  <si>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</si>
  <si>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</si>
  <si>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</si>
  <si>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</si>
  <si>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</si>
  <si>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</si>
  <si>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</si>
  <si>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</si>
  <si>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</si>
  <si>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</si>
  <si>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</si>
  <si>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</si>
  <si>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</si>
  <si>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</si>
  <si>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</si>
  <si>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</si>
  <si>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</si>
  <si>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</si>
  <si>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</si>
  <si>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</si>
  <si>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</si>
  <si>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</si>
  <si>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</si>
  <si>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</si>
  <si>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</si>
  <si>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</si>
  <si>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</si>
  <si>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</si>
  <si>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</si>
  <si>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</si>
  <si>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</si>
  <si>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</si>
  <si>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</si>
  <si>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</si>
  <si>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</si>
  <si>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</si>
  <si>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</si>
  <si>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</si>
  <si>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</si>
  <si>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</si>
  <si>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</si>
  <si>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</si>
  <si>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</si>
  <si>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</si>
  <si>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</si>
  <si>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</si>
  <si>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</si>
  <si>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</si>
  <si>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</si>
  <si>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</si>
  <si>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</si>
  <si>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</si>
  <si>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</si>
  <si>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</si>
  <si>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</si>
  <si>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</si>
  <si>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</si>
  <si>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</si>
  <si>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</si>
  <si>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</si>
  <si>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</si>
  <si>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</si>
  <si>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</si>
  <si>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</si>
  <si>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</si>
  <si>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</si>
  <si>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</si>
  <si>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</si>
  <si>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</si>
  <si>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</si>
  <si>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</si>
  <si>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</si>
  <si>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</si>
  <si>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</si>
  <si>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</si>
  <si>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</si>
  <si>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</si>
  <si>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</si>
  <si>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</si>
  <si>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</si>
  <si>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</si>
  <si>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</si>
  <si>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</si>
  <si>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</si>
  <si>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</si>
  <si>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</si>
  <si>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</si>
  <si>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</si>
  <si>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</si>
  <si>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</si>
  <si>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</si>
  <si>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</si>
  <si>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</si>
  <si>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</si>
  <si>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</si>
  <si>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</si>
  <si>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</si>
  <si>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</si>
  <si>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</si>
  <si>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</si>
  <si>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</si>
  <si>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</si>
  <si>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</si>
  <si>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</si>
  <si>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</si>
  <si>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</si>
  <si>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</si>
  <si>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</si>
  <si>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</si>
  <si>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</si>
  <si>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</si>
  <si>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</si>
  <si>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</si>
  <si>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</si>
  <si>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</si>
  <si>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</si>
  <si>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</si>
  <si>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</si>
  <si>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</si>
  <si>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</si>
  <si>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</si>
  <si>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</si>
  <si>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</si>
  <si>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</si>
  <si>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</si>
  <si>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</si>
  <si>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</si>
  <si>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</si>
  <si>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</si>
  <si>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</si>
  <si>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</si>
  <si>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</si>
  <si>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</si>
  <si>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</si>
  <si>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</si>
  <si>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</si>
  <si>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</si>
  <si>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</si>
  <si>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</si>
  <si>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</si>
  <si>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</si>
  <si>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</si>
  <si>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</si>
  <si>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</si>
  <si>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</si>
  <si>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</si>
  <si>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</si>
  <si>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</si>
  <si>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</si>
  <si>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</si>
  <si>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</si>
  <si>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</si>
  <si>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</si>
  <si>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</si>
  <si>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</si>
  <si>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</si>
  <si>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</si>
  <si>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</si>
  <si>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</si>
  <si>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</si>
  <si>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</si>
  <si>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</si>
  <si>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</si>
  <si>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</si>
  <si>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</si>
  <si>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</si>
  <si>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</si>
  <si>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</si>
  <si>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</si>
  <si>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</si>
  <si>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</si>
  <si>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</si>
  <si>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</si>
  <si>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</si>
  <si>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</si>
  <si>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</si>
  <si>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</si>
  <si>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</si>
  <si>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</si>
  <si>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</si>
  <si>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</si>
  <si>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</si>
  <si>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</si>
  <si>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</si>
  <si>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</si>
  <si>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</si>
  <si>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</si>
  <si>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</si>
  <si>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</si>
  <si>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</si>
  <si>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</si>
  <si>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</si>
  <si>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</si>
  <si>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</si>
  <si>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</si>
  <si>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</si>
  <si>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</si>
  <si>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</si>
  <si>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</si>
  <si>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</si>
  <si>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</si>
  <si>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</si>
  <si>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</si>
  <si>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</si>
  <si>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</si>
  <si>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</si>
  <si>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</si>
  <si>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</si>
  <si>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</si>
  <si>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</si>
  <si>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</si>
  <si>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</si>
  <si>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</si>
  <si>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</si>
  <si>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</si>
  <si>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</si>
  <si>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</si>
  <si>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</si>
  <si>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</si>
  <si>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</si>
  <si>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</si>
  <si>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</si>
  <si>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</si>
  <si>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</si>
  <si>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</si>
  <si>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</si>
  <si>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</si>
  <si>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</si>
  <si>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</si>
  <si>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</si>
  <si>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</si>
  <si>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</si>
  <si>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</si>
  <si>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</si>
  <si>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</si>
  <si>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</si>
  <si>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</si>
  <si>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</si>
  <si>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</si>
  <si>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</si>
  <si>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</si>
  <si>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</si>
  <si>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</si>
  <si>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</si>
  <si>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</si>
  <si>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</si>
  <si>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</si>
  <si>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</si>
  <si>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</si>
  <si>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</si>
  <si>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</si>
  <si>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</si>
  <si>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</si>
  <si>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</si>
  <si>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</si>
  <si>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</si>
  <si>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</si>
  <si>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</si>
  <si>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</si>
  <si>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</si>
  <si>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</si>
  <si>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</si>
  <si>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</si>
  <si>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</si>
  <si>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</si>
  <si>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</si>
  <si>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</si>
  <si>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</si>
  <si>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</si>
  <si>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</si>
  <si>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</si>
  <si>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</si>
  <si>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</si>
  <si>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</si>
  <si>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</si>
  <si>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</si>
  <si>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</si>
  <si>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</si>
  <si>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</si>
  <si>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</si>
  <si>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</si>
  <si>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</si>
  <si>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</si>
  <si>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</si>
  <si>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</si>
  <si>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</si>
  <si>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</si>
  <si>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</si>
  <si>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</si>
  <si>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</si>
  <si>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</si>
  <si>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</si>
  <si>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</si>
  <si>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</si>
  <si>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</si>
  <si>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</si>
  <si>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</si>
  <si>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</si>
  <si>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</si>
  <si>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</si>
  <si>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</si>
  <si>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</si>
  <si>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</si>
  <si>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</si>
  <si>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</si>
  <si>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</si>
  <si>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</si>
  <si>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</si>
  <si>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</si>
  <si>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</si>
  <si>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</si>
  <si>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</si>
  <si>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</si>
  <si>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</si>
  <si>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</si>
  <si>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</si>
  <si>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</si>
  <si>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</si>
  <si>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</si>
  <si>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</si>
  <si>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</si>
  <si>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</si>
  <si>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</si>
  <si>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</si>
  <si>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</si>
  <si>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</si>
  <si>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</si>
  <si>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</si>
  <si>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</si>
  <si>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</si>
  <si>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</si>
  <si>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</si>
  <si>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</si>
  <si>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</si>
  <si>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</si>
  <si>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</si>
  <si>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</si>
  <si>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</si>
  <si>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</si>
  <si>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</si>
  <si>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</si>
  <si>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</si>
  <si>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</si>
  <si>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</si>
  <si>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</si>
  <si>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</si>
  <si>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</si>
  <si>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</si>
  <si>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</si>
  <si>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</si>
  <si>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</si>
  <si>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</si>
  <si>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</si>
  <si>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</si>
  <si>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</si>
  <si>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</si>
  <si>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</si>
  <si>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</si>
  <si>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</si>
  <si>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</si>
  <si>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</si>
  <si>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</si>
  <si>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</si>
  <si>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</si>
  <si>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</si>
  <si>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</si>
  <si>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</si>
  <si>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</si>
  <si>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</si>
  <si>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</si>
  <si>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</si>
  <si>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</si>
  <si>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</si>
  <si>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</si>
  <si>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</si>
  <si>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</si>
  <si>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</si>
  <si>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</si>
  <si>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</si>
  <si>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</si>
  <si>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</si>
  <si>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</si>
  <si>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</si>
  <si>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</si>
  <si>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</si>
  <si>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</si>
  <si>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</si>
  <si>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</si>
  <si>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</si>
  <si>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</si>
  <si>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</si>
  <si>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</si>
  <si>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</si>
  <si>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</si>
  <si>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</si>
  <si>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</si>
  <si>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</si>
  <si>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</si>
  <si>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</si>
  <si>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</si>
  <si>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</si>
  <si>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</si>
  <si>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</si>
  <si>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</si>
  <si>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</si>
  <si>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</si>
  <si>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</si>
  <si>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</si>
  <si>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</si>
  <si>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</si>
  <si>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</si>
  <si>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</si>
  <si>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</si>
  <si>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</si>
  <si>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</si>
  <si>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</si>
  <si>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</si>
  <si>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</si>
  <si>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</si>
  <si>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</si>
  <si>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</si>
  <si>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</si>
  <si>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</si>
  <si>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</si>
  <si>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</si>
  <si>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</si>
  <si>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</si>
  <si>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</si>
  <si>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</si>
  <si>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</si>
  <si>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</si>
  <si>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</si>
  <si>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</si>
  <si>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</si>
  <si>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</si>
  <si>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</si>
  <si>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</si>
  <si>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</si>
  <si>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</si>
  <si>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</si>
  <si>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</si>
  <si>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</si>
  <si>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</si>
  <si>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</si>
  <si>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</si>
  <si>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</si>
  <si>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</si>
  <si>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</si>
  <si>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</si>
  <si>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</si>
  <si>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</si>
  <si>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</si>
  <si>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</si>
  <si>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</si>
  <si>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</si>
  <si>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</si>
  <si>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</si>
  <si>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</si>
  <si>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</si>
  <si>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</si>
  <si>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</si>
  <si>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</si>
  <si>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</si>
  <si>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</si>
  <si>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</si>
  <si>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</si>
  <si>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</si>
  <si>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</si>
  <si>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</si>
  <si>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</si>
  <si>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</si>
  <si>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</si>
  <si>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</si>
  <si>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</si>
  <si>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</si>
  <si>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</si>
  <si>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</si>
  <si>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</si>
  <si>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</si>
  <si>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</si>
  <si>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</si>
  <si>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</si>
  <si>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</si>
  <si>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</si>
  <si>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</si>
  <si>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</si>
  <si>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</si>
  <si>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</si>
  <si>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</si>
  <si>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</si>
  <si>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</si>
  <si>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</si>
  <si>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</si>
  <si>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</si>
  <si>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</si>
  <si>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</si>
  <si>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</si>
  <si>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</si>
  <si>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</si>
  <si>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</si>
  <si>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</si>
  <si>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</si>
  <si>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</si>
  <si>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</si>
  <si>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</si>
  <si>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</si>
  <si>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</si>
  <si>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</si>
  <si>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</si>
  <si>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</si>
  <si>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</si>
  <si>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</si>
  <si>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</si>
  <si>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</si>
  <si>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</si>
  <si>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</si>
  <si>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</si>
  <si>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</si>
  <si>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</si>
  <si>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</si>
  <si>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</si>
  <si>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</si>
  <si>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</si>
  <si>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</si>
  <si>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</si>
  <si>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</si>
  <si>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</si>
  <si>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</si>
  <si>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</si>
  <si>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</si>
  <si>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</si>
  <si>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</si>
  <si>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</si>
  <si>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</si>
  <si>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</si>
  <si>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</si>
  <si>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</si>
  <si>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</si>
  <si>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</si>
  <si>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</si>
  <si>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</si>
  <si>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</si>
  <si>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</si>
  <si>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</si>
  <si>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</si>
  <si>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</si>
  <si>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</si>
  <si>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</si>
  <si>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</si>
  <si>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</si>
  <si>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</si>
  <si>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</si>
  <si>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</si>
  <si>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</si>
  <si>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</si>
  <si>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</si>
  <si>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</si>
  <si>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</si>
  <si>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</si>
  <si>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</si>
  <si>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</si>
  <si>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</si>
  <si>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</si>
  <si>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</si>
  <si>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</si>
  <si>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</si>
  <si>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</si>
  <si>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</si>
  <si>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</si>
  <si>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</si>
  <si>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</si>
  <si>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</si>
  <si>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</si>
  <si>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</si>
  <si>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</si>
  <si>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</si>
  <si>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</si>
  <si>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</si>
  <si>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</si>
  <si>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</si>
  <si>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</si>
  <si>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</si>
  <si>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</si>
  <si>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</si>
  <si>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</si>
  <si>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</si>
  <si>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</si>
  <si>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</si>
  <si>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</si>
  <si>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</si>
  <si>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</si>
  <si>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</si>
  <si>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</si>
  <si>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</si>
  <si>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</si>
  <si>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</si>
  <si>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</si>
  <si>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</si>
  <si>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</si>
  <si>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</si>
  <si>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</si>
  <si>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</si>
  <si>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</si>
  <si>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</si>
  <si>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</si>
  <si>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</si>
  <si>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</si>
  <si>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</si>
  <si>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</si>
  <si>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</si>
  <si>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</si>
  <si>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</si>
  <si>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</si>
  <si>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</si>
  <si>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</si>
  <si>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</si>
  <si>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</si>
  <si>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</si>
  <si>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</si>
  <si>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</si>
  <si>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</si>
  <si>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</si>
  <si>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</si>
  <si>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</si>
  <si>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</si>
  <si>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</si>
  <si>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</si>
  <si>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</si>
  <si>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</si>
  <si>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</si>
  <si>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</si>
  <si>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</si>
  <si>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</si>
  <si>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</si>
  <si>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</si>
  <si>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</si>
  <si>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</si>
  <si>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</si>
  <si>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</si>
  <si>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</si>
  <si>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</si>
  <si>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</si>
  <si>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</si>
  <si>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</si>
  <si>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</si>
  <si>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</si>
  <si>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</si>
  <si>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</si>
  <si>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</si>
  <si>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</si>
  <si>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</si>
  <si>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</si>
  <si>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</si>
  <si>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</si>
  <si>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</si>
  <si>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</si>
  <si>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</si>
  <si>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</si>
  <si>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</si>
  <si>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</si>
  <si>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</si>
  <si>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</si>
  <si>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</si>
  <si>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</si>
  <si>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</si>
  <si>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</si>
  <si>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</si>
  <si>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</si>
  <si>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</si>
  <si>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</si>
  <si>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</si>
  <si>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</si>
  <si>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</si>
  <si>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</si>
  <si>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</si>
  <si>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</si>
  <si>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</si>
  <si>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</si>
  <si>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</si>
  <si>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</si>
  <si>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</si>
  <si>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</si>
  <si>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</si>
  <si>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</si>
  <si>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</si>
  <si>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</si>
  <si>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</si>
  <si>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</si>
  <si>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</si>
  <si>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</si>
  <si>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</si>
  <si>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</si>
  <si>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</si>
  <si>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</si>
  <si>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</si>
  <si>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</si>
  <si>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</si>
  <si>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</si>
  <si>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</si>
  <si>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</si>
  <si>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</si>
  <si>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</si>
  <si>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</si>
  <si>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</si>
  <si>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</si>
  <si>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</si>
  <si>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</si>
  <si>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</si>
  <si>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</si>
  <si>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</si>
  <si>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</si>
  <si>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</si>
  <si>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</si>
  <si>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</si>
  <si>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</si>
  <si>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</si>
  <si>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</si>
  <si>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</si>
  <si>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</si>
  <si>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</si>
  <si>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</si>
  <si>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</si>
  <si>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</si>
  <si>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</si>
  <si>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</si>
  <si>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</si>
  <si>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</si>
  <si>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</si>
  <si>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</si>
  <si>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</si>
  <si>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</si>
  <si>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</si>
  <si>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</si>
  <si>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</si>
  <si>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</si>
  <si>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</si>
  <si>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</si>
  <si>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</si>
  <si>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</si>
  <si>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</si>
  <si>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</si>
  <si>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</si>
  <si>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</si>
  <si>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</si>
  <si>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</si>
  <si>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</si>
  <si>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</si>
  <si>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</si>
  <si>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</si>
  <si>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</si>
  <si>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</si>
  <si>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</si>
  <si>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</si>
  <si>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</si>
  <si>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</si>
  <si>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</si>
  <si>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</si>
  <si>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</si>
  <si>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</si>
  <si>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</si>
  <si>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</si>
  <si>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</si>
  <si>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</si>
  <si>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</si>
  <si>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</si>
  <si>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</si>
  <si>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</si>
  <si>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</si>
  <si>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</si>
  <si>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</si>
  <si>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</si>
  <si>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</si>
  <si>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</si>
  <si>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</si>
  <si>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</si>
  <si>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</si>
  <si>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</si>
  <si>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</si>
  <si>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</si>
  <si>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</si>
  <si>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</si>
  <si>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</si>
  <si>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</si>
  <si>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</si>
  <si>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</si>
  <si>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</si>
  <si>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</si>
  <si>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</si>
  <si>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</si>
  <si>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</si>
  <si>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</si>
  <si>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</si>
  <si>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</si>
  <si>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</si>
  <si>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</si>
  <si>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</si>
  <si>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</si>
  <si>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</si>
  <si>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</si>
  <si>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</si>
  <si>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</si>
  <si>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</si>
  <si>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</si>
  <si>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</si>
  <si>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</si>
  <si>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</si>
  <si>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</si>
  <si>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</si>
  <si>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</si>
  <si>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</si>
  <si>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</si>
  <si>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</si>
  <si>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</si>
  <si>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</si>
  <si>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</si>
  <si>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</si>
  <si>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</si>
  <si>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</si>
  <si>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</si>
  <si>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</si>
  <si>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</si>
  <si>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</si>
  <si>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</si>
  <si>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</si>
  <si>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</si>
  <si>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</si>
  <si>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</si>
  <si>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</si>
  <si>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</si>
  <si>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</si>
  <si>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</si>
  <si>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</si>
  <si>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</si>
  <si>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</si>
  <si>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</si>
  <si>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</si>
  <si>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</si>
  <si>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</si>
  <si>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</si>
  <si>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</si>
  <si>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</si>
  <si>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</si>
  <si>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</si>
  <si>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</si>
  <si>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</si>
  <si>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</si>
  <si>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</si>
  <si>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</si>
  <si>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</si>
  <si>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</si>
  <si>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</si>
  <si>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</si>
  <si>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</si>
  <si>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</si>
  <si>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</si>
  <si>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</si>
  <si>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</si>
  <si>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</si>
  <si>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</si>
  <si>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</si>
  <si>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</si>
  <si>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</si>
  <si>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</si>
  <si>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</si>
  <si>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</si>
  <si>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</si>
  <si>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</si>
  <si>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</si>
  <si>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</si>
  <si>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</si>
  <si>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</si>
  <si>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</si>
  <si>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</si>
  <si>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</si>
  <si>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</si>
  <si>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</si>
  <si>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</si>
  <si>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</si>
  <si>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</si>
  <si>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</si>
  <si>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</si>
  <si>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</si>
  <si>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</si>
  <si>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</si>
  <si>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</si>
  <si>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</si>
  <si>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</si>
  <si>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</si>
  <si>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</si>
  <si>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</si>
  <si>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</si>
  <si>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</si>
  <si>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</si>
  <si>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</si>
  <si>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</si>
  <si>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</si>
  <si>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</si>
  <si>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</si>
  <si>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</si>
  <si>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</si>
  <si>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</si>
  <si>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</si>
  <si>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</si>
  <si>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</si>
  <si>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</si>
  <si>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</si>
  <si>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</si>
  <si>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</si>
  <si>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</si>
  <si>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</si>
  <si>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</si>
  <si>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</si>
  <si>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</si>
  <si>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</si>
  <si>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</si>
  <si>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</si>
  <si>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</si>
  <si>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</si>
  <si>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</si>
  <si>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</si>
  <si>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</si>
  <si>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</si>
  <si>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</si>
  <si>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</si>
  <si>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</si>
  <si>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</si>
  <si>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</si>
  <si>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</si>
  <si>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</si>
  <si>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</si>
  <si>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</si>
  <si>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</si>
  <si>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</si>
  <si>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</si>
  <si>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</si>
  <si>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</si>
  <si>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</si>
  <si>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</si>
  <si>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</si>
  <si>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</si>
  <si>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</si>
  <si>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</si>
  <si>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</si>
  <si>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</si>
  <si>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</si>
  <si>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</si>
  <si>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</si>
  <si>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</si>
  <si>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</si>
  <si>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</si>
  <si>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</si>
  <si>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</si>
  <si>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</si>
  <si>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</si>
  <si>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</si>
  <si>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</si>
  <si>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</si>
  <si>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</si>
  <si>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</si>
  <si>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</si>
  <si>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</si>
  <si>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</si>
  <si>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</si>
  <si>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</si>
  <si>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</si>
  <si>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</si>
  <si>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</si>
  <si>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</si>
  <si>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</si>
  <si>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</si>
  <si>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</si>
  <si>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</si>
  <si>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</si>
  <si>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</si>
  <si>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</si>
  <si>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</si>
  <si>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</si>
  <si>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</si>
  <si>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</si>
  <si>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</si>
  <si>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</si>
  <si>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</si>
  <si>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</si>
  <si>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</si>
  <si>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</si>
  <si>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</si>
  <si>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</si>
  <si>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</si>
  <si>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</si>
  <si>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</si>
  <si>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</si>
  <si>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</si>
  <si>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</si>
  <si>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</si>
  <si>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</si>
  <si>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</si>
  <si>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</si>
  <si>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</si>
  <si>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</si>
  <si>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</si>
  <si>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</si>
  <si>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</si>
  <si>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</si>
  <si>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</si>
  <si>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</si>
  <si>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</si>
  <si>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</si>
  <si>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</si>
  <si>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</si>
  <si>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</si>
  <si>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</si>
  <si>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</si>
  <si>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</si>
  <si>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</si>
  <si>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</si>
  <si>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</si>
  <si>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</si>
  <si>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</si>
  <si>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</si>
  <si>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</si>
  <si>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</si>
  <si>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</si>
  <si>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</si>
  <si>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</si>
  <si>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</si>
  <si>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</si>
  <si>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</si>
  <si>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</si>
  <si>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</si>
  <si>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</si>
  <si>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</si>
  <si>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</si>
  <si>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</si>
  <si>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</si>
  <si>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</si>
  <si>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</si>
  <si>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</si>
  <si>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</si>
  <si>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</si>
  <si>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</si>
  <si>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</si>
  <si>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</si>
  <si>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</si>
  <si>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</si>
  <si>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</si>
  <si>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</si>
  <si>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</si>
  <si>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</si>
  <si>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</si>
  <si>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</si>
  <si>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</si>
  <si>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</si>
  <si>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</si>
  <si>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</si>
  <si>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</si>
  <si>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</si>
  <si>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</si>
  <si>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</si>
  <si>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</si>
  <si>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</si>
  <si>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</si>
  <si>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</si>
  <si>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</si>
  <si>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</si>
  <si>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</si>
  <si>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</si>
  <si>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</si>
  <si>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</si>
  <si>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</si>
  <si>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</si>
  <si>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</si>
  <si>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</si>
  <si>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</si>
  <si>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</si>
  <si>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</si>
  <si>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</si>
  <si>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</si>
  <si>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</si>
  <si>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</si>
  <si>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</si>
  <si>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</si>
  <si>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</si>
  <si>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</si>
  <si>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</si>
  <si>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</si>
  <si>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</si>
  <si>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</si>
  <si>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</si>
  <si>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</si>
  <si>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</si>
  <si>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</si>
  <si>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</si>
  <si>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</si>
  <si>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</si>
  <si>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</si>
  <si>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</si>
  <si>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</si>
  <si>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</si>
  <si>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</si>
  <si>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</si>
  <si>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</si>
  <si>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</si>
  <si>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</si>
  <si>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</si>
  <si>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</si>
  <si>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</si>
  <si>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</si>
  <si>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</si>
  <si>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</si>
  <si>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</si>
  <si>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</si>
  <si>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</si>
  <si>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</si>
  <si>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</si>
  <si>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</si>
  <si>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</si>
  <si>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</si>
  <si>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</si>
  <si>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</si>
  <si>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</si>
  <si>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</si>
  <si>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</si>
  <si>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</si>
  <si>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</si>
  <si>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</si>
  <si>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</si>
  <si>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</si>
  <si>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</si>
  <si>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</si>
  <si>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</si>
  <si>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</si>
  <si>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</si>
  <si>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</si>
  <si>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</si>
  <si>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</si>
  <si>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</si>
  <si>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</si>
  <si>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</si>
  <si>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</si>
  <si>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</si>
  <si>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</si>
  <si>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</si>
  <si>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</si>
  <si>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</si>
  <si>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</si>
  <si>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</si>
  <si>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</si>
  <si>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</si>
  <si>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</si>
  <si>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</si>
  <si>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</si>
  <si>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</si>
  <si>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</si>
  <si>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</si>
  <si>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</si>
  <si>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</si>
  <si>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</si>
  <si>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</si>
  <si>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</si>
  <si>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</si>
  <si>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</si>
  <si>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</si>
  <si>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</si>
  <si>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</si>
  <si>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</si>
  <si>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</si>
  <si>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</si>
  <si>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</si>
  <si>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</si>
  <si>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</si>
  <si>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</si>
  <si>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</si>
  <si>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</si>
  <si>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</si>
  <si>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</si>
  <si>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</si>
  <si>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</si>
  <si>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</si>
  <si>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</si>
  <si>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</si>
  <si>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</si>
  <si>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</si>
  <si>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</si>
  <si>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</si>
  <si>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</si>
  <si>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</si>
  <si>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</si>
  <si>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</si>
  <si>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</si>
  <si>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</si>
  <si>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</si>
  <si>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</si>
  <si>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</si>
  <si>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</si>
  <si>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</si>
  <si>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</si>
  <si>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</si>
  <si>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</si>
  <si>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</si>
  <si>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</si>
  <si>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</si>
  <si>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</si>
  <si>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</si>
  <si>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</si>
  <si>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</si>
  <si>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</si>
  <si>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</si>
  <si>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</si>
  <si>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</si>
  <si>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</si>
  <si>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</si>
  <si>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</si>
  <si>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</si>
  <si>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</si>
  <si>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</si>
  <si>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</si>
  <si>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</si>
  <si>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</si>
  <si>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</si>
  <si>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</si>
  <si>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</si>
  <si>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</si>
  <si>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</si>
  <si>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</si>
  <si>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</si>
  <si>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</si>
  <si>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</si>
  <si>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</si>
  <si>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</si>
  <si>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</si>
  <si>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</si>
  <si>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</si>
  <si>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</si>
  <si>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</si>
  <si>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</si>
  <si>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</si>
  <si>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</si>
  <si>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</si>
  <si>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</si>
  <si>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</si>
  <si>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</si>
  <si>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</si>
  <si>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</si>
  <si>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</si>
  <si>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</si>
  <si>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</si>
  <si>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</si>
  <si>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</si>
  <si>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</si>
  <si>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</si>
  <si>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</si>
  <si>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</si>
  <si>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</si>
  <si>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</si>
  <si>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</si>
  <si>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</si>
  <si>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</si>
  <si>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</si>
  <si>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</si>
  <si>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</si>
  <si>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</si>
  <si>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</si>
  <si>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</si>
  <si>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</si>
  <si>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</si>
  <si>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</si>
  <si>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</si>
  <si>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</si>
  <si>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</si>
  <si>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</si>
  <si>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</si>
  <si>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</si>
  <si>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</si>
  <si>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</si>
  <si>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</si>
  <si>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</si>
  <si>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</si>
  <si>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</si>
  <si>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</si>
  <si>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</si>
  <si>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</si>
  <si>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</si>
  <si>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</si>
  <si>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</si>
  <si>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</si>
  <si>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</si>
  <si>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</si>
  <si>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</si>
  <si>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</si>
  <si>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</si>
  <si>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</si>
  <si>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</si>
  <si>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</si>
  <si>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</si>
  <si>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</si>
  <si>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</si>
  <si>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</si>
  <si>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</si>
  <si>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</si>
  <si>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</si>
  <si>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</si>
  <si>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</si>
  <si>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</si>
  <si>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</si>
  <si>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</si>
  <si>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</si>
  <si>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</si>
  <si>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</si>
  <si>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</si>
  <si>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</si>
  <si>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</si>
  <si>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</si>
  <si>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</si>
  <si>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</si>
  <si>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</si>
  <si>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</si>
  <si>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</si>
  <si>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</si>
  <si>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</si>
  <si>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</si>
  <si>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</si>
  <si>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</si>
  <si>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</si>
  <si>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</si>
  <si>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</si>
  <si>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</si>
  <si>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</si>
  <si>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</si>
  <si>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</si>
  <si>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</si>
  <si>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</si>
  <si>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</si>
  <si>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</si>
  <si>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</si>
  <si>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</si>
  <si>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</si>
  <si>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</si>
  <si>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</si>
  <si>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</si>
  <si>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</si>
  <si>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</si>
  <si>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</si>
  <si>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</si>
  <si>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</si>
  <si>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</si>
  <si>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</si>
  <si>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</si>
  <si>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</si>
  <si>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</si>
  <si>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</si>
  <si>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</si>
  <si>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</si>
  <si>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</si>
  <si>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</si>
  <si>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</si>
  <si>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</si>
  <si>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</si>
  <si>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</si>
  <si>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</si>
  <si>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</si>
  <si>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</si>
  <si>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</si>
  <si>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</si>
  <si>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</si>
  <si>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</si>
  <si>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</si>
  <si>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</si>
  <si>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</si>
  <si>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</si>
  <si>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</si>
  <si>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</si>
  <si>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</si>
  <si>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</si>
  <si>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</si>
  <si>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</si>
  <si>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</si>
  <si>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</si>
  <si>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</si>
  <si>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</si>
  <si>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</si>
  <si>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</si>
  <si>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</si>
  <si>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</si>
  <si>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</si>
  <si>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</si>
  <si>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</si>
  <si>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</si>
  <si>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</si>
  <si>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</si>
  <si>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</si>
  <si>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</si>
  <si>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</si>
  <si>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</si>
  <si>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</si>
  <si>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</si>
  <si>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</si>
  <si>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</si>
  <si>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</si>
  <si>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</si>
  <si>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</si>
  <si>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</si>
  <si>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</si>
  <si>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</si>
  <si>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</si>
  <si>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</si>
  <si>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</si>
  <si>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</si>
  <si>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</si>
  <si>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</si>
  <si>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</si>
  <si>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</si>
  <si>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</si>
  <si>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</si>
  <si>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</si>
  <si>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</si>
  <si>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</si>
  <si>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</si>
  <si>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</si>
  <si>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</si>
  <si>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</si>
  <si>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</si>
  <si>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</si>
  <si>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</si>
  <si>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</si>
  <si>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</si>
  <si>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</si>
  <si>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</si>
  <si>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</si>
  <si>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</si>
  <si>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</si>
  <si>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</si>
  <si>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</si>
  <si>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</si>
  <si>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</si>
  <si>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</si>
  <si>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</si>
  <si>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</si>
  <si>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</si>
  <si>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</si>
  <si>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</si>
  <si>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</si>
  <si>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</si>
  <si>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</si>
  <si>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</si>
  <si>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</si>
  <si>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</si>
  <si>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</si>
  <si>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</si>
  <si>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</si>
  <si>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</si>
  <si>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</si>
  <si>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</si>
  <si>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</si>
  <si>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</si>
  <si>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</si>
  <si>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</si>
  <si>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</si>
  <si>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</si>
  <si>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</si>
  <si>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</si>
  <si>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</si>
  <si>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</si>
  <si>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</si>
  <si>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</si>
  <si>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</si>
  <si>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</si>
  <si>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</si>
  <si>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</si>
  <si>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</si>
  <si>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</si>
  <si>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</si>
  <si>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</si>
  <si>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</si>
  <si>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</si>
  <si>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</si>
  <si>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</si>
  <si>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</si>
  <si>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</si>
  <si>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</si>
  <si>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</si>
  <si>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</si>
  <si>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</si>
  <si>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</si>
  <si>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</si>
  <si>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</si>
  <si>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</si>
  <si>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</si>
  <si>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</si>
  <si>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</si>
  <si>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</si>
  <si>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</si>
  <si>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</si>
  <si>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</si>
  <si>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</si>
  <si>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</si>
  <si>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</si>
  <si>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</si>
  <si>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</si>
  <si>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</si>
  <si>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</si>
  <si>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</si>
  <si>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</si>
  <si>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</si>
  <si>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</si>
  <si>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</si>
  <si>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</si>
  <si>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</si>
  <si>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</si>
  <si>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</si>
  <si>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</si>
  <si>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</si>
  <si>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</si>
  <si>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</si>
  <si>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</si>
  <si>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</si>
  <si>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</si>
  <si>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</si>
  <si>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</si>
  <si>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</si>
  <si>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</si>
  <si>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</si>
  <si>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</si>
  <si>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</si>
  <si>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</si>
  <si>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</si>
  <si>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</si>
  <si>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</si>
  <si>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</si>
  <si>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</si>
  <si>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</si>
  <si>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</si>
  <si>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</si>
  <si>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</si>
  <si>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</si>
  <si>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</si>
  <si>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</si>
  <si>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</si>
  <si>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</si>
  <si>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</si>
  <si>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</si>
  <si>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</si>
  <si>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</si>
  <si>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</si>
  <si>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</si>
  <si>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</si>
  <si>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</si>
  <si>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</si>
  <si>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</si>
  <si>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</si>
  <si>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</si>
  <si>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</si>
  <si>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</si>
  <si>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</si>
  <si>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</si>
  <si>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</si>
  <si>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</si>
  <si>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</si>
  <si>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</si>
  <si>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</si>
  <si>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</si>
  <si>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</si>
  <si>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</si>
  <si>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</si>
  <si>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</si>
  <si>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</si>
  <si>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</si>
  <si>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</si>
  <si>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</si>
  <si>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</si>
  <si>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</si>
  <si>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</si>
  <si>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</si>
  <si>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</si>
  <si>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</si>
  <si>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</si>
  <si>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</si>
  <si>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</si>
  <si>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</si>
  <si>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</si>
  <si>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</si>
  <si>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</si>
  <si>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</si>
  <si>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</si>
  <si>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</si>
  <si>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</si>
  <si>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</si>
  <si>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</si>
  <si>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</si>
  <si>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</si>
  <si>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</si>
  <si>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</si>
  <si>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</si>
  <si>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</si>
  <si>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</si>
  <si>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</si>
  <si>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</si>
  <si>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</si>
  <si>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</si>
  <si>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</si>
  <si>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</si>
  <si>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</si>
  <si>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</si>
  <si>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</si>
  <si>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</si>
  <si>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</si>
  <si>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</si>
  <si>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</si>
  <si>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</si>
  <si>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</si>
  <si>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</si>
  <si>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</si>
  <si>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</si>
  <si>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</si>
  <si>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</si>
  <si>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</si>
  <si>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</si>
  <si>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</si>
  <si>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</si>
  <si>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</si>
  <si>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</si>
  <si>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</si>
  <si>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</si>
  <si>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</si>
  <si>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</si>
  <si>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</si>
  <si>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</si>
  <si>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</si>
  <si>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</si>
  <si>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</si>
  <si>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</si>
  <si>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</si>
  <si>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</si>
  <si>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</si>
  <si>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</si>
  <si>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</si>
  <si>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</si>
  <si>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</si>
  <si>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</si>
  <si>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</si>
  <si>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</si>
  <si>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</si>
  <si>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</si>
  <si>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</si>
  <si>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</si>
  <si>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</si>
  <si>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</si>
  <si>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</si>
  <si>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</si>
  <si>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</si>
  <si>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</si>
  <si>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</si>
  <si>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</si>
  <si>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</si>
  <si>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</si>
  <si>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</si>
  <si>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</si>
  <si>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</si>
  <si>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</si>
  <si>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</si>
  <si>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</si>
  <si>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</si>
  <si>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</si>
  <si>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</si>
  <si>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</si>
  <si>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</si>
  <si>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</si>
  <si>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</si>
  <si>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</si>
  <si>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</si>
  <si>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</si>
  <si>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</si>
  <si>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</si>
  <si>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</si>
  <si>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</si>
  <si>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</si>
  <si>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</si>
  <si>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</si>
  <si>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</si>
  <si>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</si>
  <si>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</si>
  <si>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</si>
  <si>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</si>
  <si>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</si>
  <si>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</si>
  <si>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</si>
  <si>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</si>
  <si>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</si>
  <si>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</si>
  <si>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</si>
  <si>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</si>
  <si>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</si>
  <si>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</si>
  <si>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</si>
  <si>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</si>
  <si>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</si>
  <si>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</si>
  <si>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</si>
  <si>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</si>
  <si>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</si>
  <si>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</si>
  <si>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</si>
  <si>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</si>
  <si>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</si>
  <si>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</si>
  <si>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</si>
  <si>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</si>
  <si>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</si>
  <si>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</si>
  <si>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</si>
  <si>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</si>
  <si>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</si>
  <si>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</si>
  <si>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</si>
  <si>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</si>
  <si>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</si>
  <si>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</si>
  <si>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</si>
  <si>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</si>
  <si>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</si>
  <si>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</si>
  <si>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</si>
  <si>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</si>
  <si>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</si>
  <si>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</si>
  <si>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</si>
  <si>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</si>
  <si>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</si>
  <si>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</si>
  <si>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</si>
  <si>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</si>
  <si>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</si>
  <si>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</si>
  <si>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</si>
  <si>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</si>
  <si>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</si>
  <si>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</si>
  <si>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</si>
  <si>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</si>
  <si>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</si>
  <si>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</si>
  <si>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</si>
  <si>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</si>
  <si>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</si>
  <si>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</si>
  <si>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</si>
  <si>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</si>
  <si>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</si>
  <si>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</si>
  <si>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</si>
  <si>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</si>
  <si>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</si>
  <si>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</si>
  <si>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</si>
  <si>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</si>
  <si>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</si>
  <si>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</si>
  <si>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</si>
  <si>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</si>
  <si>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</si>
  <si>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</si>
  <si>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</si>
  <si>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</si>
  <si>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</si>
  <si>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</si>
  <si>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</si>
  <si>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</si>
  <si>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</si>
  <si>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</si>
  <si>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</si>
  <si>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</si>
  <si>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</si>
  <si>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</si>
  <si>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</si>
  <si>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</si>
  <si>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</si>
  <si>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</si>
  <si>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</si>
  <si>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</si>
  <si>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</si>
  <si>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</si>
  <si>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</si>
  <si>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</si>
  <si>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</si>
  <si>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</si>
  <si>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</si>
  <si>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</si>
  <si>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</si>
  <si>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</si>
  <si>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</si>
  <si>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</si>
  <si>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</si>
  <si>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</si>
  <si>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</si>
  <si>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</si>
  <si>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</si>
  <si>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</si>
  <si>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</si>
  <si>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</si>
  <si>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</si>
  <si>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</si>
  <si>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</si>
  <si>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</si>
  <si>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</si>
  <si>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</si>
  <si>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</si>
  <si>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</si>
  <si>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</si>
  <si>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</si>
  <si>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</si>
  <si>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</si>
  <si>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</si>
  <si>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</si>
  <si>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</si>
  <si>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</si>
  <si>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</si>
  <si>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</si>
  <si>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</si>
  <si>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</si>
  <si>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</si>
  <si>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</si>
  <si>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</si>
  <si>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</si>
  <si>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</si>
  <si>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</si>
  <si>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</si>
  <si>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</si>
  <si>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</si>
  <si>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</si>
  <si>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</si>
  <si>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</si>
  <si>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</si>
  <si>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</si>
  <si>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</si>
  <si>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</si>
  <si>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</si>
  <si>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</si>
  <si>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</si>
  <si>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</si>
  <si>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</si>
  <si>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</si>
  <si>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</si>
  <si>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</si>
  <si>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</si>
  <si>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</si>
  <si>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</si>
  <si>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</si>
  <si>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</si>
  <si>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</si>
  <si>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</si>
  <si>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</si>
  <si>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</si>
  <si>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</si>
  <si>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</si>
  <si>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</si>
  <si>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</si>
  <si>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</si>
  <si>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</si>
  <si>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</si>
  <si>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</si>
  <si>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</si>
  <si>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</si>
  <si>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</si>
  <si>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</si>
  <si>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</si>
  <si>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</si>
  <si>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</si>
  <si>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</si>
  <si>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</si>
  <si>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</si>
  <si>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</si>
  <si>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</si>
  <si>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</si>
  <si>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</si>
  <si>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</si>
  <si>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</si>
  <si>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</si>
  <si>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</si>
  <si>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</si>
  <si>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</si>
  <si>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</si>
  <si>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</si>
  <si>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</si>
  <si>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</si>
  <si>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</si>
  <si>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</si>
  <si>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</si>
  <si>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</si>
  <si>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</si>
  <si>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</si>
  <si>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</si>
  <si>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</si>
  <si>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</si>
  <si>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</si>
  <si>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</si>
  <si>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</si>
  <si>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</si>
  <si>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</si>
  <si>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</si>
  <si>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</si>
  <si>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</si>
  <si>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</si>
  <si>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</si>
  <si>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</si>
  <si>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</si>
  <si>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</si>
  <si>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</si>
  <si>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</si>
  <si>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</si>
  <si>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</si>
  <si>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</si>
  <si>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</si>
  <si>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</si>
  <si>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</si>
  <si>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</si>
  <si>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</si>
  <si>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</si>
  <si>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</si>
  <si>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</si>
  <si>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</si>
  <si>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</si>
  <si>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</si>
  <si>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</si>
  <si>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</si>
  <si>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</si>
  <si>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</si>
  <si>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</si>
  <si>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</si>
  <si>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</si>
  <si>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</si>
  <si>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</si>
  <si>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</si>
  <si>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</si>
  <si>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</si>
  <si>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</si>
  <si>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</si>
  <si>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</si>
  <si>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</si>
  <si>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</si>
  <si>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</si>
  <si>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</si>
  <si>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</si>
  <si>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</si>
  <si>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</si>
  <si>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</si>
  <si>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</si>
  <si>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</si>
  <si>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</si>
  <si>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</si>
  <si>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</si>
  <si>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</si>
  <si>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</si>
  <si>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</si>
  <si>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</si>
  <si>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</si>
  <si>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</si>
  <si>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</si>
  <si>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</si>
  <si>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</si>
  <si>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</si>
  <si>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</si>
  <si>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</si>
  <si>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</si>
  <si>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</si>
  <si>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</si>
  <si>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</si>
  <si>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</si>
  <si>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</si>
  <si>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</si>
  <si>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</si>
  <si>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</si>
  <si>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</si>
  <si>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</si>
  <si>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</si>
  <si>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</si>
  <si>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</si>
  <si>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</si>
  <si>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</si>
  <si>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</si>
  <si>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</si>
  <si>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</si>
  <si>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</si>
  <si>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</si>
  <si>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</si>
  <si>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</si>
  <si>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</si>
  <si>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</si>
  <si>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</si>
  <si>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</si>
  <si>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</si>
  <si>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</si>
  <si>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</si>
  <si>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</si>
  <si>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</si>
  <si>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</si>
  <si>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</si>
  <si>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</si>
  <si>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</si>
  <si>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</si>
  <si>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</si>
  <si>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</si>
  <si>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</si>
  <si>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</si>
  <si>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</si>
  <si>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</si>
  <si>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</si>
  <si>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</si>
  <si>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</si>
  <si>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</si>
  <si>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</si>
  <si>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</si>
  <si>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</si>
  <si>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</si>
  <si>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</si>
  <si>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</si>
  <si>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</si>
  <si>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</si>
  <si>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</si>
  <si>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</si>
  <si>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</si>
  <si>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</si>
  <si>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</si>
  <si>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</si>
  <si>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</si>
  <si>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</si>
  <si>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</si>
  <si>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</si>
  <si>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</si>
  <si>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</si>
  <si>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</si>
  <si>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</si>
  <si>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</si>
  <si>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</si>
  <si>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</si>
  <si>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</si>
  <si>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</si>
  <si>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</si>
  <si>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</si>
  <si>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</si>
  <si>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</si>
  <si>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</si>
  <si>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</si>
  <si>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</si>
  <si>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</si>
  <si>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</si>
  <si>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</si>
  <si>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</si>
  <si>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</si>
  <si>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</si>
  <si>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</si>
  <si>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</si>
  <si>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</si>
  <si>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</si>
  <si>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</si>
  <si>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</si>
  <si>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</si>
  <si>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</si>
  <si>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</si>
  <si>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</si>
  <si>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</si>
  <si>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</si>
  <si>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</si>
  <si>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</si>
  <si>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</si>
  <si>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</si>
  <si>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</si>
  <si>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</si>
  <si>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</si>
  <si>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</si>
  <si>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</si>
  <si>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</si>
  <si>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</si>
  <si>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</si>
  <si>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</si>
  <si>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</si>
  <si>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</si>
  <si>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</si>
  <si>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</si>
  <si>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</si>
  <si>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</si>
  <si>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</si>
  <si>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</si>
  <si>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</si>
  <si>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</si>
  <si>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</si>
  <si>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</si>
  <si>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</si>
  <si>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</si>
  <si>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</si>
  <si>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</si>
  <si>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</si>
  <si>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</si>
  <si>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</si>
  <si>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</si>
  <si>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</si>
  <si>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</si>
  <si>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</si>
  <si>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</si>
  <si>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</si>
  <si>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</si>
  <si>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</si>
  <si>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</si>
  <si>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</si>
  <si>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</si>
  <si>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</si>
  <si>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</si>
  <si>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</si>
  <si>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</si>
  <si>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</si>
  <si>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</si>
  <si>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</si>
  <si>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</si>
  <si>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</si>
  <si>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</si>
  <si>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</si>
  <si>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</si>
  <si>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</si>
  <si>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</si>
  <si>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</si>
  <si>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</si>
  <si>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</si>
  <si>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</si>
  <si>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</si>
  <si>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</si>
  <si>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</si>
  <si>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</si>
  <si>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</si>
  <si>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</si>
  <si>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</si>
  <si>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</si>
  <si>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</si>
  <si>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</si>
  <si>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</si>
  <si>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</si>
  <si>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</si>
  <si>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</si>
  <si>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</si>
  <si>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</si>
  <si>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</si>
  <si>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</si>
  <si>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</si>
  <si>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</si>
  <si>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</si>
  <si>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</si>
  <si>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</si>
  <si>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</si>
  <si>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</si>
  <si>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</si>
  <si>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</si>
  <si>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</si>
  <si>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</si>
  <si>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</si>
  <si>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</si>
  <si>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</si>
  <si>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</si>
  <si>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</si>
  <si>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</si>
  <si>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</si>
  <si>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</si>
  <si>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</si>
  <si>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</si>
  <si>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</si>
  <si>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</si>
  <si>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</si>
  <si>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</si>
  <si>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</si>
  <si>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</si>
  <si>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</si>
  <si>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</si>
  <si>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</si>
  <si>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</si>
  <si>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</si>
  <si>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</si>
  <si>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</si>
  <si>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</si>
  <si>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</si>
  <si>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</si>
  <si>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</si>
  <si>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</si>
  <si>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</si>
  <si>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</si>
  <si>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</si>
  <si>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</si>
  <si>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</si>
  <si>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</si>
  <si>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</si>
  <si>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</si>
  <si>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</si>
  <si>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</si>
  <si>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</si>
  <si>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</si>
  <si>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</si>
  <si>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</si>
  <si>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</si>
  <si>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</si>
  <si>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</si>
  <si>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</si>
  <si>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</si>
  <si>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</si>
  <si>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</si>
  <si>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</si>
  <si>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</si>
  <si>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</si>
  <si>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</si>
  <si>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</si>
  <si>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</si>
  <si>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</si>
  <si>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</si>
  <si>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</si>
  <si>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</si>
  <si>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</si>
  <si>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</si>
  <si>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</si>
  <si>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</si>
  <si>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</si>
  <si>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</si>
  <si>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</si>
  <si>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</si>
  <si>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</si>
  <si>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</si>
  <si>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</si>
  <si>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</si>
  <si>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</si>
  <si>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</si>
  <si>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</si>
  <si>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</si>
  <si>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</si>
  <si>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</si>
  <si>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</si>
  <si>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</si>
  <si>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</si>
  <si>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</si>
  <si>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</si>
  <si>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</si>
  <si>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</si>
  <si>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</si>
  <si>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</si>
  <si>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</si>
  <si>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</si>
  <si>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</si>
  <si>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</si>
  <si>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</si>
  <si>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</si>
  <si>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</si>
  <si>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</si>
  <si>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</si>
  <si>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</si>
  <si>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</si>
  <si>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</si>
  <si>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</si>
  <si>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</si>
  <si>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</si>
  <si>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</si>
  <si>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</si>
  <si>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</si>
  <si>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</si>
  <si>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</si>
  <si>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</si>
  <si>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</si>
  <si>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</si>
  <si>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</si>
  <si>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</si>
  <si>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</si>
  <si>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</si>
  <si>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</si>
  <si>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</si>
  <si>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</si>
  <si>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</si>
  <si>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</si>
  <si>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</si>
  <si>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</si>
  <si>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</si>
  <si>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</si>
  <si>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</si>
  <si>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</si>
  <si>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</si>
  <si>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</si>
  <si>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</si>
  <si>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</si>
  <si>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</si>
  <si>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</si>
  <si>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</si>
  <si>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</si>
  <si>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</si>
  <si>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</si>
  <si>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</si>
  <si>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</si>
  <si>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</si>
  <si>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</si>
  <si>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</si>
  <si>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</si>
  <si>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</si>
  <si>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</si>
  <si>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</si>
  <si>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</si>
  <si>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</si>
  <si>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</si>
  <si>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</si>
  <si>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</si>
  <si>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</si>
  <si>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</si>
  <si>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</si>
  <si>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</si>
  <si>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</si>
  <si>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</si>
  <si>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</si>
  <si>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</si>
  <si>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</si>
  <si>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</si>
  <si>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</si>
  <si>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</si>
  <si>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</si>
  <si>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</si>
  <si>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</si>
  <si>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</si>
  <si>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</si>
  <si>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</si>
  <si>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</si>
  <si>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</si>
  <si>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</si>
  <si>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</si>
  <si>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</si>
  <si>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</si>
  <si>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</si>
  <si>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</si>
  <si>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</si>
  <si>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</si>
  <si>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</si>
  <si>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</si>
  <si>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</si>
  <si>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</si>
  <si>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</si>
  <si>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</si>
  <si>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</si>
  <si>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</si>
  <si>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</si>
  <si>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</si>
  <si>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</si>
  <si>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</si>
  <si>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</si>
  <si>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</si>
  <si>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</si>
  <si>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</si>
  <si>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</si>
  <si>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</si>
  <si>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</si>
  <si>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</si>
  <si>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</si>
  <si>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</si>
  <si>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</si>
  <si>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</si>
  <si>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</si>
  <si>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</si>
  <si>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</si>
  <si>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</si>
  <si>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</si>
  <si>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</si>
  <si>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</si>
  <si>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</si>
  <si>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</si>
  <si>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</si>
  <si>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</si>
  <si>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</si>
  <si>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</si>
  <si>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</si>
  <si>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</si>
  <si>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</si>
  <si>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</si>
  <si>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</si>
  <si>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</si>
  <si>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</si>
  <si>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</si>
  <si>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</si>
  <si>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</si>
  <si>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</si>
  <si>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</si>
  <si>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</si>
  <si>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</si>
  <si>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</si>
  <si>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</si>
  <si>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</si>
  <si>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</si>
  <si>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</si>
  <si>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</si>
  <si>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</si>
  <si>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</si>
  <si>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</si>
  <si>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</si>
  <si>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</si>
  <si>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</si>
  <si>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</si>
  <si>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</si>
  <si>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</si>
  <si>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</si>
  <si>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</si>
  <si>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</si>
  <si>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</si>
  <si>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</si>
  <si>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</si>
  <si>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</si>
  <si>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</si>
  <si>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</si>
  <si>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</si>
  <si>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</si>
  <si>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</si>
  <si>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</si>
  <si>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</si>
  <si>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</si>
  <si>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</si>
  <si>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</si>
  <si>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</si>
  <si>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</si>
  <si>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</si>
  <si>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</si>
  <si>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</si>
  <si>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</si>
  <si>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</si>
  <si>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</si>
  <si>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</si>
  <si>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</si>
  <si>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</si>
  <si>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</si>
  <si>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</si>
  <si>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</si>
  <si>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</si>
  <si>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</si>
  <si>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</si>
  <si>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</si>
  <si>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</si>
  <si>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</si>
  <si>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</si>
  <si>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</si>
  <si>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</si>
  <si>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</si>
  <si>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</si>
  <si>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</si>
  <si>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</si>
  <si>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</si>
  <si>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</si>
  <si>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</si>
  <si>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</si>
  <si>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</si>
  <si>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</si>
  <si>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</si>
  <si>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</si>
  <si>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</si>
  <si>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</si>
  <si>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</si>
  <si>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</si>
  <si>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</si>
  <si>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</si>
  <si>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</si>
  <si>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</si>
  <si>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</si>
  <si>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</si>
  <si>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</si>
  <si>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</si>
  <si>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</si>
  <si>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</si>
  <si>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</si>
  <si>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</si>
  <si>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</si>
  <si>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</si>
  <si>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</si>
  <si>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</si>
  <si>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</si>
  <si>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</si>
  <si>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</si>
  <si>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</si>
  <si>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</si>
  <si>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</si>
  <si>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</si>
  <si>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</si>
  <si>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</si>
  <si>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</si>
  <si>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</si>
  <si>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</si>
  <si>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</si>
  <si>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</si>
  <si>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</si>
  <si>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</si>
  <si>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</si>
  <si>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</si>
  <si>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</si>
  <si>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</si>
  <si>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</si>
  <si>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</si>
  <si>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</si>
  <si>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</si>
  <si>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</si>
  <si>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</si>
  <si>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</si>
  <si>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</si>
  <si>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</si>
  <si>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</si>
  <si>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</si>
  <si>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</si>
  <si>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</si>
  <si>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</si>
  <si>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</si>
  <si>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</si>
  <si>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</si>
  <si>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</si>
  <si>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</si>
  <si>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</si>
  <si>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</si>
  <si>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</si>
  <si>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</si>
  <si>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</si>
  <si>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</si>
  <si>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</si>
  <si>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</si>
  <si>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</si>
  <si>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</si>
  <si>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</si>
  <si>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</si>
  <si>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</si>
  <si>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</si>
  <si>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</si>
  <si>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</si>
  <si>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</si>
  <si>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</si>
  <si>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</si>
  <si>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</si>
  <si>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</si>
  <si>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</si>
  <si>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</si>
  <si>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</si>
  <si>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</si>
  <si>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</si>
  <si>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</si>
  <si>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</si>
  <si>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</si>
  <si>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</si>
  <si>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</si>
  <si>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</si>
  <si>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</si>
  <si>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</si>
  <si>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</si>
  <si>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</si>
  <si>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</si>
  <si>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</si>
  <si>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</si>
  <si>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</si>
  <si>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</si>
  <si>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</si>
  <si>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</si>
  <si>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</si>
  <si>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</si>
  <si>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</si>
  <si>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</si>
  <si>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</si>
  <si>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</si>
  <si>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</si>
  <si>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</si>
  <si>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</si>
  <si>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</si>
  <si>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</si>
  <si>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</si>
  <si>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</si>
  <si>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</si>
  <si>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</si>
  <si>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</si>
  <si>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</si>
  <si>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</si>
  <si>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</si>
  <si>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</si>
  <si>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</si>
  <si>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</si>
  <si>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</si>
  <si>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</si>
  <si>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</si>
  <si>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</si>
  <si>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</si>
  <si>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</si>
  <si>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</si>
  <si>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</si>
  <si>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</si>
  <si>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</si>
  <si>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</si>
  <si>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</si>
  <si>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</si>
  <si>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</si>
  <si>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</si>
  <si>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</si>
  <si>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</si>
  <si>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</si>
  <si>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</si>
  <si>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</si>
  <si>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</si>
  <si>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</si>
  <si>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</si>
  <si>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</si>
  <si>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</si>
  <si>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</si>
  <si>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</si>
  <si>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</si>
  <si>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</si>
  <si>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</si>
  <si>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</si>
  <si>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</si>
  <si>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</si>
  <si>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</si>
  <si>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</si>
  <si>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</si>
  <si>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</si>
  <si>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</si>
  <si>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</si>
  <si>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</si>
  <si>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</si>
  <si>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</si>
  <si>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</si>
  <si>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</si>
  <si>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</si>
  <si>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</si>
  <si>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</si>
  <si>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</si>
  <si>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</si>
  <si>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</si>
  <si>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</si>
  <si>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</si>
  <si>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</si>
  <si>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</si>
  <si>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</si>
  <si>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</si>
  <si>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</si>
  <si>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</si>
  <si>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</si>
  <si>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</si>
  <si>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</si>
  <si>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</si>
  <si>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</si>
  <si>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</si>
  <si>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</si>
  <si>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</si>
  <si>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</si>
  <si>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</si>
  <si>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</si>
  <si>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</si>
  <si>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</si>
  <si>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</si>
  <si>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</si>
  <si>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</si>
  <si>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</si>
  <si>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</si>
  <si>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</si>
  <si>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</si>
  <si>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</si>
  <si>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</si>
  <si>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</si>
  <si>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</si>
  <si>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</si>
  <si>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</si>
  <si>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</si>
  <si>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</si>
  <si>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</si>
  <si>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</si>
  <si>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</si>
  <si>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</si>
  <si>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</si>
  <si>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</si>
  <si>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</si>
  <si>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</si>
  <si>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</si>
  <si>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</si>
  <si>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</si>
  <si>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</si>
  <si>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</si>
  <si>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</si>
  <si>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</si>
  <si>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</si>
  <si>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</si>
  <si>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</si>
  <si>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</si>
  <si>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</si>
  <si>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</si>
  <si>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</si>
  <si>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</si>
  <si>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</si>
  <si>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</si>
  <si>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</si>
  <si>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</si>
  <si>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</si>
  <si>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</si>
  <si>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</si>
  <si>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</si>
  <si>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</si>
  <si>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</si>
  <si>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</si>
  <si>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</si>
  <si>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</si>
  <si>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</si>
  <si>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</si>
  <si>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</si>
  <si>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</si>
  <si>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</si>
  <si>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</si>
  <si>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</si>
  <si>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</si>
  <si>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</si>
  <si>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</si>
  <si>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</si>
  <si>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</si>
  <si>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</si>
  <si>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</si>
  <si>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</si>
  <si>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</si>
  <si>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</si>
  <si>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</si>
  <si>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</si>
  <si>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</si>
  <si>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</si>
  <si>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</si>
  <si>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</si>
  <si>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</si>
  <si>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</si>
  <si>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</si>
  <si>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</si>
  <si>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</si>
  <si>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</si>
  <si>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</si>
  <si>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</si>
  <si>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</si>
  <si>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</si>
  <si>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</si>
  <si>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</si>
  <si>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</si>
  <si>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</si>
  <si>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</si>
  <si>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</si>
  <si>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</si>
  <si>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</si>
  <si>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</si>
  <si>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</si>
  <si>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</si>
  <si>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</si>
  <si>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</si>
  <si>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</si>
  <si>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</si>
  <si>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</si>
  <si>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</si>
  <si>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</si>
  <si>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</si>
  <si>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</si>
  <si>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</si>
  <si>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</si>
  <si>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</si>
  <si>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</si>
  <si>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</si>
  <si>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</si>
  <si>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</si>
  <si>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</si>
  <si>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</si>
  <si>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</si>
  <si>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</si>
  <si>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</si>
  <si>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</si>
  <si>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</si>
  <si>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</si>
  <si>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</si>
  <si>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</si>
  <si>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</si>
  <si>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</si>
  <si>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</si>
  <si>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</si>
  <si>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</si>
  <si>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</si>
  <si>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</si>
  <si>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</si>
  <si>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</si>
  <si>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</si>
  <si>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</si>
  <si>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</si>
  <si>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</si>
  <si>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</si>
  <si>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</si>
  <si>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</si>
  <si>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</si>
  <si>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</si>
  <si>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</si>
  <si>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</si>
  <si>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</si>
  <si>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</si>
  <si>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</si>
  <si>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</si>
  <si>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</si>
  <si>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</si>
  <si>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</si>
  <si>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</si>
  <si>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</si>
  <si>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</si>
  <si>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</si>
  <si>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</si>
  <si>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</si>
  <si>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</si>
  <si>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</si>
  <si>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</si>
  <si>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</si>
  <si>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</si>
  <si>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</si>
  <si>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</si>
  <si>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</si>
  <si>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</si>
  <si>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</si>
  <si>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</si>
  <si>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</si>
  <si>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</si>
  <si>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</si>
  <si>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</si>
  <si>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</si>
  <si>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</si>
  <si>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</si>
  <si>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</si>
  <si>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</si>
  <si>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</si>
  <si>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</si>
  <si>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</si>
  <si>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</si>
  <si>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</si>
  <si>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</si>
  <si>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</si>
  <si>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</si>
  <si>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</si>
  <si>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</si>
  <si>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</si>
  <si>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</si>
  <si>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</si>
  <si>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</si>
  <si>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</si>
  <si>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</si>
  <si>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</si>
  <si>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</si>
  <si>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</si>
  <si>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</si>
  <si>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</si>
  <si>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</si>
  <si>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</si>
  <si>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</si>
  <si>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</si>
  <si>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</si>
  <si>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</si>
  <si>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</si>
  <si>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</si>
  <si>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</si>
  <si>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</si>
  <si>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</si>
  <si>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</si>
  <si>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</si>
  <si>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</si>
  <si>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</si>
  <si>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</si>
  <si>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</si>
  <si>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</si>
  <si>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</si>
  <si>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</si>
  <si>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</si>
  <si>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</si>
  <si>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</si>
  <si>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</si>
  <si>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</si>
  <si>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</si>
  <si>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</si>
  <si>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</si>
  <si>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</si>
  <si>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</si>
  <si>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</si>
  <si>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</si>
  <si>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</si>
  <si>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</si>
  <si>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</si>
  <si>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</si>
  <si>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</si>
  <si>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</si>
  <si>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</si>
  <si>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</si>
  <si>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</si>
  <si>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</si>
  <si>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</si>
  <si>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</si>
  <si>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</si>
  <si>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</si>
  <si>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</si>
  <si>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</si>
  <si>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</si>
  <si>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</si>
  <si>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</si>
  <si>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</si>
  <si>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</si>
  <si>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</si>
  <si>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</si>
  <si>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</si>
  <si>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</si>
  <si>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</si>
  <si>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</si>
  <si>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</si>
  <si>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</si>
  <si>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</si>
  <si>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</si>
  <si>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</si>
  <si>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</si>
  <si>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</si>
  <si>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</si>
  <si>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</si>
  <si>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</si>
  <si>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</si>
  <si>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</si>
  <si>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</si>
  <si>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</si>
  <si>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</si>
  <si>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</si>
  <si>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</si>
  <si>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</si>
  <si>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</si>
  <si>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</si>
  <si>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</si>
  <si>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</si>
  <si>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</si>
  <si>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</si>
  <si>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</si>
  <si>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</si>
  <si>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</si>
  <si>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</si>
  <si>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</si>
  <si>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</si>
  <si>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</si>
  <si>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</si>
  <si>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</si>
  <si>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</si>
  <si>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</si>
  <si>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</si>
  <si>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</si>
  <si>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</si>
  <si>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</si>
  <si>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</si>
  <si>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</si>
  <si>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</si>
  <si>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</si>
  <si>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</si>
  <si>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</si>
  <si>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</si>
  <si>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</si>
  <si>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</si>
  <si>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</si>
  <si>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</si>
  <si>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</si>
  <si>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</si>
  <si>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</si>
  <si>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</si>
  <si>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</si>
  <si>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</si>
  <si>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</si>
  <si>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</si>
  <si>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塔楼</t>
  </si>
  <si>
    <t>评估日期</t>
  </si>
  <si>
    <t>贷款机构</t>
  </si>
  <si>
    <t>姓名</t>
  </si>
  <si>
    <t>身份证号</t>
  </si>
  <si>
    <t>联系电话</t>
  </si>
  <si>
    <t>所在区县</t>
  </si>
  <si>
    <t>开发商(产权人)</t>
  </si>
  <si>
    <t>面积M2</t>
  </si>
  <si>
    <t>评估总额</t>
  </si>
  <si>
    <t>评估总额(万元)</t>
  </si>
  <si>
    <t>风险率</t>
  </si>
  <si>
    <t>最高抵押额</t>
  </si>
  <si>
    <t>大写</t>
  </si>
  <si>
    <t>收费</t>
  </si>
  <si>
    <t>工行</t>
  </si>
  <si>
    <t>评估人</t>
  </si>
  <si>
    <t>工程进度</t>
  </si>
  <si>
    <t>结论</t>
  </si>
  <si>
    <t>备注</t>
  </si>
  <si>
    <t>苏海</t>
  </si>
  <si>
    <t>可抵押商品住宅</t>
  </si>
  <si>
    <t>邹晓鸣</t>
  </si>
  <si>
    <t>二</t>
  </si>
  <si>
    <t>裴蓓</t>
  </si>
  <si>
    <t>新增</t>
  </si>
  <si>
    <t>合同</t>
  </si>
  <si>
    <t xml:space="preserve"> </t>
  </si>
  <si>
    <t>预售</t>
  </si>
  <si>
    <t>一室一厅一卫一厨</t>
    <phoneticPr fontId="3" type="noConversion"/>
  </si>
  <si>
    <t>三</t>
  </si>
  <si>
    <t>北京住房公积金管理中心朝阳第三管理部</t>
    <phoneticPr fontId="3" type="noConversion"/>
  </si>
  <si>
    <t>复式、平层√、跃层、错层</t>
  </si>
  <si>
    <t>北京住房公积金管理中心方庄管理部</t>
    <phoneticPr fontId="3" type="noConversion"/>
  </si>
  <si>
    <t>四</t>
    <phoneticPr fontId="3" type="noConversion"/>
  </si>
  <si>
    <t>二</t>
    <phoneticPr fontId="3" type="noConversion"/>
  </si>
  <si>
    <t>四</t>
  </si>
  <si>
    <t>一</t>
    <phoneticPr fontId="3" type="noConversion"/>
  </si>
  <si>
    <t>11层</t>
    <phoneticPr fontId="3" type="noConversion"/>
  </si>
  <si>
    <t>北京住房公积金管理中心宣武第二管理部</t>
    <phoneticPr fontId="3" type="noConversion"/>
  </si>
  <si>
    <t>吴铭</t>
    <phoneticPr fontId="3" type="noConversion"/>
  </si>
  <si>
    <t>一室一卫一厨</t>
    <phoneticPr fontId="3" type="noConversion"/>
  </si>
  <si>
    <t>复式、平层√、跃层、错层</t>
    <phoneticPr fontId="3" type="noConversion"/>
  </si>
  <si>
    <t>1101号</t>
    <phoneticPr fontId="3" type="noConversion"/>
  </si>
  <si>
    <t>3层</t>
    <phoneticPr fontId="3" type="noConversion"/>
  </si>
  <si>
    <t>现房</t>
  </si>
  <si>
    <t>现房</t>
    <phoneticPr fontId="3" type="noConversion"/>
  </si>
  <si>
    <t>预售</t>
    <phoneticPr fontId="24" type="noConversion"/>
  </si>
  <si>
    <t>朝向</t>
  </si>
  <si>
    <t>高层板楼</t>
  </si>
  <si>
    <t>七通</t>
  </si>
  <si>
    <t>毛坯</t>
  </si>
  <si>
    <t>毛坯</t>
    <phoneticPr fontId="24" type="noConversion"/>
  </si>
  <si>
    <t>16/24</t>
    <phoneticPr fontId="24" type="noConversion"/>
  </si>
  <si>
    <t>北京市海淀区翠微北里8号楼16层3号</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</si>
  <si>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</si>
  <si>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</si>
  <si>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</si>
  <si>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</si>
  <si>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</si>
  <si>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</si>
  <si>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</si>
  <si>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</si>
  <si>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</si>
  <si>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</si>
  <si>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</si>
  <si>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</si>
  <si>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</si>
  <si>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</si>
  <si>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</si>
  <si>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</si>
  <si>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</si>
  <si>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</si>
  <si>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</si>
  <si>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</si>
  <si>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</si>
  <si>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</si>
  <si>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</si>
  <si>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</si>
  <si>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</si>
  <si>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</si>
  <si>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</si>
  <si>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</si>
  <si>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</si>
  <si>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</si>
  <si>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</si>
  <si>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</si>
  <si>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</si>
  <si>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月</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</si>
  <si>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</si>
  <si>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</si>
  <si>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</si>
  <si>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</si>
  <si>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</si>
  <si>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</si>
  <si>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</si>
  <si>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</si>
  <si>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</si>
  <si>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</si>
  <si>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</si>
  <si>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</si>
  <si>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</si>
  <si>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</si>
  <si>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</si>
  <si>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</si>
  <si>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</si>
  <si>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</si>
  <si>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</si>
  <si>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</si>
  <si>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</si>
  <si>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</si>
  <si>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</si>
  <si>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</si>
  <si>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王芳</t>
    <phoneticPr fontId="3" type="noConversion"/>
  </si>
  <si>
    <t>110108660924276</t>
    <phoneticPr fontId="3" type="noConversion"/>
  </si>
  <si>
    <t>13621316155</t>
    <phoneticPr fontId="3" type="noConversion"/>
  </si>
  <si>
    <t>海淀区</t>
    <phoneticPr fontId="3" type="noConversion"/>
  </si>
  <si>
    <t>2号楼</t>
    <phoneticPr fontId="3" type="noConversion"/>
  </si>
  <si>
    <t>1503号</t>
    <phoneticPr fontId="3" type="noConversion"/>
  </si>
  <si>
    <t>王芳</t>
    <phoneticPr fontId="3" type="noConversion"/>
  </si>
  <si>
    <t>二室一厅一卫一厨</t>
  </si>
  <si>
    <t>中央国家机关住房资金管理中心</t>
  </si>
  <si>
    <t>三</t>
    <phoneticPr fontId="3" type="noConversion"/>
  </si>
  <si>
    <t>二</t>
    <phoneticPr fontId="3" type="noConversion"/>
  </si>
  <si>
    <t>彭莹</t>
    <phoneticPr fontId="3" type="noConversion"/>
  </si>
  <si>
    <t>新增</t>
    <phoneticPr fontId="3" type="noConversion"/>
  </si>
  <si>
    <t>彭莹</t>
    <phoneticPr fontId="3" type="noConversion"/>
  </si>
  <si>
    <t>海淀区</t>
    <phoneticPr fontId="3" type="noConversion"/>
  </si>
  <si>
    <t>4单元</t>
    <phoneticPr fontId="3" type="noConversion"/>
  </si>
  <si>
    <t>北京住房公积金管理中心海淀第一管理部</t>
    <phoneticPr fontId="3" type="noConversion"/>
  </si>
  <si>
    <t>刘霞</t>
    <phoneticPr fontId="3" type="noConversion"/>
  </si>
  <si>
    <t>372425197709268626</t>
    <phoneticPr fontId="3" type="noConversion"/>
  </si>
  <si>
    <t>海淀区</t>
  </si>
  <si>
    <t>1#楼</t>
  </si>
  <si>
    <t>17层</t>
    <phoneticPr fontId="3" type="noConversion"/>
  </si>
  <si>
    <t>19-12号</t>
    <phoneticPr fontId="3" type="noConversion"/>
  </si>
  <si>
    <t xml:space="preserve">北京颐安房地产股份有限公司 </t>
  </si>
  <si>
    <t>二室一厅一卫一厨</t>
    <phoneticPr fontId="3" type="noConversion"/>
  </si>
  <si>
    <t>北京住房公积金管理中心东城第二管理部</t>
    <phoneticPr fontId="3" type="noConversion"/>
  </si>
  <si>
    <t>一</t>
    <phoneticPr fontId="3" type="noConversion"/>
  </si>
  <si>
    <t>北京市海淀区双榆树西里10号</t>
  </si>
  <si>
    <t>11502825</t>
  </si>
  <si>
    <t>贲勇</t>
  </si>
  <si>
    <t>周婷婷</t>
  </si>
  <si>
    <t>2004-22-P-03081</t>
    <phoneticPr fontId="3" type="noConversion"/>
  </si>
  <si>
    <t>许琳</t>
    <phoneticPr fontId="3" type="noConversion"/>
  </si>
  <si>
    <t>110108196310035487</t>
    <phoneticPr fontId="3" type="noConversion"/>
  </si>
  <si>
    <t>八里庄街道玉渊潭乡北洼路世纪新景园</t>
  </si>
  <si>
    <t>6幢</t>
    <phoneticPr fontId="3" type="noConversion"/>
  </si>
  <si>
    <t>2单元</t>
    <phoneticPr fontId="3" type="noConversion"/>
  </si>
  <si>
    <t>20C号</t>
    <phoneticPr fontId="3" type="noConversion"/>
  </si>
  <si>
    <t>北京隆鑫园房地产有限公司</t>
  </si>
  <si>
    <t>三室二厅二卫一厨</t>
    <phoneticPr fontId="3" type="noConversion"/>
  </si>
  <si>
    <t>北京住房公积金管理中心方庄管理部</t>
    <phoneticPr fontId="3" type="noConversion"/>
  </si>
  <si>
    <t>基本完工</t>
    <phoneticPr fontId="3" type="noConversion"/>
  </si>
  <si>
    <t/>
  </si>
  <si>
    <t>北京市大兴区榆垡镇今荣街69号</t>
  </si>
  <si>
    <t>1100001324331（1-1）</t>
  </si>
  <si>
    <t>黄涛</t>
  </si>
  <si>
    <t>北京住房公积金管理中心海淀第一管理部</t>
    <phoneticPr fontId="3" type="noConversion"/>
  </si>
  <si>
    <t>现房</t>
    <phoneticPr fontId="3" type="noConversion"/>
  </si>
  <si>
    <t>2004-22-P-06468</t>
  </si>
  <si>
    <t>李自云</t>
  </si>
  <si>
    <t>130206196308240066</t>
  </si>
  <si>
    <t>西翠路西侧澳林住宅小区（紫金长安）</t>
  </si>
  <si>
    <t>A5座</t>
  </si>
  <si>
    <t>东一单元</t>
  </si>
  <si>
    <t>302号</t>
  </si>
  <si>
    <t>北京澳林房地产开发有限公司</t>
  </si>
  <si>
    <t>二室二厅二卫一厨</t>
  </si>
  <si>
    <t>北京住房公积金管理中心东城第二管理部</t>
  </si>
  <si>
    <t>封顶</t>
  </si>
  <si>
    <t>X</t>
  </si>
  <si>
    <t>000631</t>
  </si>
  <si>
    <t>北京市海淀区阜成路73号</t>
  </si>
  <si>
    <t>1100001264291（1-1）</t>
  </si>
  <si>
    <t>江彪</t>
  </si>
  <si>
    <t>2004-22-P-06745</t>
  </si>
  <si>
    <t>金莉</t>
  </si>
  <si>
    <t>110108680702372</t>
  </si>
  <si>
    <t>4单元</t>
  </si>
  <si>
    <t>602号</t>
  </si>
  <si>
    <t>北京住房公积金管理中心宣武第二管理部</t>
  </si>
  <si>
    <t>000707</t>
  </si>
  <si>
    <t>2004-22-P-06921</t>
    <phoneticPr fontId="3" type="noConversion"/>
  </si>
  <si>
    <t>贾梅芳</t>
    <phoneticPr fontId="3" type="noConversion"/>
  </si>
  <si>
    <t>110108610205372</t>
    <phoneticPr fontId="3" type="noConversion"/>
  </si>
  <si>
    <t>13671253188、68766518</t>
    <phoneticPr fontId="3" type="noConversion"/>
  </si>
  <si>
    <t>西翠路西侧澳林住宅小区（紫金长安）</t>
    <phoneticPr fontId="3" type="noConversion"/>
  </si>
  <si>
    <t>A5座</t>
    <phoneticPr fontId="3" type="noConversion"/>
  </si>
  <si>
    <t>202号</t>
    <phoneticPr fontId="3" type="noConversion"/>
  </si>
  <si>
    <t>北京澳林房地产开发有限公司</t>
    <phoneticPr fontId="3" type="noConversion"/>
  </si>
  <si>
    <t>二室二厅二卫一厨</t>
    <phoneticPr fontId="3" type="noConversion"/>
  </si>
  <si>
    <t>封顶</t>
    <phoneticPr fontId="3" type="noConversion"/>
  </si>
  <si>
    <t>二</t>
    <phoneticPr fontId="3" type="noConversion"/>
  </si>
  <si>
    <t>X</t>
    <phoneticPr fontId="3" type="noConversion"/>
  </si>
  <si>
    <t>000276</t>
    <phoneticPr fontId="3" type="noConversion"/>
  </si>
  <si>
    <t>北京市海淀区阜成路73号</t>
    <phoneticPr fontId="3" type="noConversion"/>
  </si>
  <si>
    <t>1100001264291（1-1）</t>
    <phoneticPr fontId="3" type="noConversion"/>
  </si>
  <si>
    <t>江彪</t>
    <phoneticPr fontId="3" type="noConversion"/>
  </si>
  <si>
    <t>2004-22-P-07573</t>
    <phoneticPr fontId="3" type="noConversion"/>
  </si>
  <si>
    <t>苏燕苹、邓佳</t>
    <phoneticPr fontId="3" type="noConversion"/>
  </si>
  <si>
    <t>110102550127152、110102811121155</t>
    <phoneticPr fontId="3" type="noConversion"/>
  </si>
  <si>
    <t>西翠路西侧澳林住宅小区（紫金长安）</t>
    <phoneticPr fontId="3" type="noConversion"/>
  </si>
  <si>
    <t>A4座</t>
    <phoneticPr fontId="3" type="noConversion"/>
  </si>
  <si>
    <t>东2单元</t>
    <phoneticPr fontId="3" type="noConversion"/>
  </si>
  <si>
    <t>902号</t>
    <phoneticPr fontId="3" type="noConversion"/>
  </si>
  <si>
    <t>000749</t>
    <phoneticPr fontId="3" type="noConversion"/>
  </si>
  <si>
    <t>1100001264291（1-1）</t>
    <phoneticPr fontId="3" type="noConversion"/>
  </si>
  <si>
    <t>江彪</t>
    <phoneticPr fontId="3" type="noConversion"/>
  </si>
  <si>
    <t>2004-22-P-07935</t>
    <phoneticPr fontId="3" type="noConversion"/>
  </si>
  <si>
    <t>孔瑜</t>
    <phoneticPr fontId="3" type="noConversion"/>
  </si>
  <si>
    <t>622201197604161515</t>
    <phoneticPr fontId="3" type="noConversion"/>
  </si>
  <si>
    <t>3单元</t>
    <phoneticPr fontId="3" type="noConversion"/>
  </si>
  <si>
    <t>三室二厅二卫一厨</t>
    <phoneticPr fontId="3" type="noConversion"/>
  </si>
  <si>
    <t>X</t>
    <phoneticPr fontId="3" type="noConversion"/>
  </si>
  <si>
    <t>000416</t>
    <phoneticPr fontId="3" type="noConversion"/>
  </si>
  <si>
    <t>2004-22-P-12332</t>
    <phoneticPr fontId="3" type="noConversion"/>
  </si>
  <si>
    <t>王伟</t>
    <phoneticPr fontId="3" type="noConversion"/>
  </si>
  <si>
    <t>110101195806014613</t>
    <phoneticPr fontId="3" type="noConversion"/>
  </si>
  <si>
    <t>13311106926</t>
    <phoneticPr fontId="3" type="noConversion"/>
  </si>
  <si>
    <t>A3座</t>
    <phoneticPr fontId="3" type="noConversion"/>
  </si>
  <si>
    <t>5单元</t>
    <phoneticPr fontId="3" type="noConversion"/>
  </si>
  <si>
    <t>602号</t>
    <phoneticPr fontId="3" type="noConversion"/>
  </si>
  <si>
    <t>000089</t>
    <phoneticPr fontId="3" type="noConversion"/>
  </si>
  <si>
    <t>北京澳林房地产开发有限公司</t>
    <phoneticPr fontId="3" type="noConversion"/>
  </si>
  <si>
    <t>2003-22-P-007935-M</t>
    <phoneticPr fontId="3" type="noConversion"/>
  </si>
  <si>
    <t>李影</t>
    <phoneticPr fontId="3" type="noConversion"/>
  </si>
  <si>
    <t>610103197501163685</t>
    <phoneticPr fontId="3" type="noConversion"/>
  </si>
  <si>
    <t>13683520277</t>
    <phoneticPr fontId="3" type="noConversion"/>
  </si>
  <si>
    <t>北洼路车道沟南里北洼路住宅楼(财智公馆)</t>
    <phoneticPr fontId="3" type="noConversion"/>
  </si>
  <si>
    <t xml:space="preserve"> </t>
    <phoneticPr fontId="3" type="noConversion"/>
  </si>
  <si>
    <t>7层</t>
    <phoneticPr fontId="3" type="noConversion"/>
  </si>
  <si>
    <t>724号</t>
    <phoneticPr fontId="3" type="noConversion"/>
  </si>
  <si>
    <t>北京建房房地产开发有限公司</t>
    <phoneticPr fontId="3" type="noConversion"/>
  </si>
  <si>
    <t>一室一卫一厨</t>
    <phoneticPr fontId="3" type="noConversion"/>
  </si>
  <si>
    <t>复式、平层√、跃层、错层</t>
    <phoneticPr fontId="3" type="noConversion"/>
  </si>
  <si>
    <t>501679</t>
    <phoneticPr fontId="3" type="noConversion"/>
  </si>
  <si>
    <t>北京建房房地产开发有限公司</t>
    <phoneticPr fontId="3" type="noConversion"/>
  </si>
  <si>
    <t>北京市宣武区铁树斜街90号远东饭店306房</t>
    <phoneticPr fontId="3" type="noConversion"/>
  </si>
  <si>
    <t>1100001157549(1-1)</t>
    <phoneticPr fontId="3" type="noConversion"/>
  </si>
  <si>
    <t>张益纯</t>
    <phoneticPr fontId="3" type="noConversion"/>
  </si>
  <si>
    <t xml:space="preserve"> </t>
    <phoneticPr fontId="3" type="noConversion"/>
  </si>
  <si>
    <t>邮政编码、联系电话</t>
    <phoneticPr fontId="3" type="noConversion"/>
  </si>
  <si>
    <t>2003-22-P-07795-M</t>
    <phoneticPr fontId="3" type="noConversion"/>
  </si>
  <si>
    <t>张冬来</t>
    <phoneticPr fontId="3" type="noConversion"/>
  </si>
  <si>
    <t>110107691210061</t>
    <phoneticPr fontId="3" type="noConversion"/>
  </si>
  <si>
    <t>13801111767、68055996</t>
    <phoneticPr fontId="3" type="noConversion"/>
  </si>
  <si>
    <t>6层</t>
    <phoneticPr fontId="3" type="noConversion"/>
  </si>
  <si>
    <t>604号</t>
    <phoneticPr fontId="3" type="noConversion"/>
  </si>
  <si>
    <t>基本完工</t>
    <phoneticPr fontId="3" type="noConversion"/>
  </si>
  <si>
    <t>501613</t>
    <phoneticPr fontId="3" type="noConversion"/>
  </si>
  <si>
    <t>北京市宣武区铁树斜街90号远东饭店306房</t>
    <phoneticPr fontId="3" type="noConversion"/>
  </si>
  <si>
    <t>宋宇</t>
    <phoneticPr fontId="3" type="noConversion"/>
  </si>
  <si>
    <t>2003-22-P-07996-M</t>
    <phoneticPr fontId="3" type="noConversion"/>
  </si>
  <si>
    <t>蔡磊</t>
    <phoneticPr fontId="3" type="noConversion"/>
  </si>
  <si>
    <t>110105196605151830</t>
    <phoneticPr fontId="3" type="noConversion"/>
  </si>
  <si>
    <t>13501019616</t>
    <phoneticPr fontId="3" type="noConversion"/>
  </si>
  <si>
    <t>北洼路车道沟南里北洼路住宅楼(财智公馆)</t>
    <phoneticPr fontId="3" type="noConversion"/>
  </si>
  <si>
    <t>7层</t>
    <phoneticPr fontId="3" type="noConversion"/>
  </si>
  <si>
    <t>28号</t>
    <phoneticPr fontId="3" type="noConversion"/>
  </si>
  <si>
    <t>五</t>
  </si>
  <si>
    <t>554857</t>
    <phoneticPr fontId="3" type="noConversion"/>
  </si>
  <si>
    <t>张益纯</t>
    <phoneticPr fontId="3" type="noConversion"/>
  </si>
  <si>
    <t>周婷婷</t>
    <phoneticPr fontId="3" type="noConversion"/>
  </si>
  <si>
    <t>2004-22-P-00070-M</t>
    <phoneticPr fontId="3" type="noConversion"/>
  </si>
  <si>
    <t>张生春</t>
    <phoneticPr fontId="3" type="noConversion"/>
  </si>
  <si>
    <t>110107501111031</t>
    <phoneticPr fontId="3" type="noConversion"/>
  </si>
  <si>
    <t>13651238468</t>
    <phoneticPr fontId="3" type="noConversion"/>
  </si>
  <si>
    <t>2层</t>
    <phoneticPr fontId="3" type="noConversion"/>
  </si>
  <si>
    <t>210号</t>
    <phoneticPr fontId="3" type="noConversion"/>
  </si>
  <si>
    <t>北京住房公积金管理中心石景山第一管理部</t>
    <phoneticPr fontId="3" type="noConversion"/>
  </si>
  <si>
    <t>554897</t>
    <phoneticPr fontId="3" type="noConversion"/>
  </si>
  <si>
    <t>1100001157549(1-1)</t>
    <phoneticPr fontId="3" type="noConversion"/>
  </si>
  <si>
    <t>2004-22-P-00217-M</t>
  </si>
  <si>
    <t>迟洪斌</t>
    <phoneticPr fontId="3" type="noConversion"/>
  </si>
  <si>
    <t>232700781029415</t>
    <phoneticPr fontId="3" type="noConversion"/>
  </si>
  <si>
    <t>13661226807、88514988-611</t>
    <phoneticPr fontId="3" type="noConversion"/>
  </si>
  <si>
    <t>231号</t>
    <phoneticPr fontId="3" type="noConversion"/>
  </si>
  <si>
    <t>三</t>
    <phoneticPr fontId="3" type="noConversion"/>
  </si>
  <si>
    <t>583839</t>
    <phoneticPr fontId="3" type="noConversion"/>
  </si>
  <si>
    <t>合同特定编号、邮政编码、联系电话</t>
    <phoneticPr fontId="3" type="noConversion"/>
  </si>
  <si>
    <t>2004-22-P-00853-M</t>
    <phoneticPr fontId="3" type="noConversion"/>
  </si>
  <si>
    <t>刘延</t>
    <phoneticPr fontId="3" type="noConversion"/>
  </si>
  <si>
    <t>120101197102051724</t>
    <phoneticPr fontId="3" type="noConversion"/>
  </si>
  <si>
    <t>13051349552、67622066</t>
    <phoneticPr fontId="3" type="noConversion"/>
  </si>
  <si>
    <t>1110号</t>
    <phoneticPr fontId="3" type="noConversion"/>
  </si>
  <si>
    <t>北京住房公积金管理中心朝阳第一管理部</t>
    <phoneticPr fontId="3" type="noConversion"/>
  </si>
  <si>
    <t>554884</t>
    <phoneticPr fontId="3" type="noConversion"/>
  </si>
  <si>
    <t>2004-22-P-01494-M</t>
    <phoneticPr fontId="3" type="noConversion"/>
  </si>
  <si>
    <t>金杰</t>
    <phoneticPr fontId="3" type="noConversion"/>
  </si>
  <si>
    <t>350102671201035</t>
    <phoneticPr fontId="3" type="noConversion"/>
  </si>
  <si>
    <t>13321191578、65680590</t>
    <phoneticPr fontId="3" type="noConversion"/>
  </si>
  <si>
    <t>213号</t>
    <phoneticPr fontId="3" type="noConversion"/>
  </si>
  <si>
    <t>北京住房公积金管理中心朝阳第一管理部</t>
    <phoneticPr fontId="3" type="noConversion"/>
  </si>
  <si>
    <t>583858</t>
    <phoneticPr fontId="3" type="noConversion"/>
  </si>
  <si>
    <t>2004-22-P-01567-M</t>
    <phoneticPr fontId="3" type="noConversion"/>
  </si>
  <si>
    <t>焦明红</t>
    <phoneticPr fontId="3" type="noConversion"/>
  </si>
  <si>
    <t>110102196810302766</t>
    <phoneticPr fontId="3" type="noConversion"/>
  </si>
  <si>
    <t>北洼路车道沟南里北洼路住宅楼(财智公馆)</t>
  </si>
  <si>
    <t>616号</t>
    <phoneticPr fontId="3" type="noConversion"/>
  </si>
  <si>
    <t>北京建房房地产开发有限公司</t>
  </si>
  <si>
    <t>一室一卫一厨</t>
  </si>
  <si>
    <t>北京住房公积金管理中心方庄管理部</t>
  </si>
  <si>
    <t>竣工待验收</t>
    <phoneticPr fontId="3" type="noConversion"/>
  </si>
  <si>
    <t>北京市宣武区铁树斜街90号远东饭店306房</t>
  </si>
  <si>
    <t>1100001157549(1-1)</t>
  </si>
  <si>
    <t>张益纯</t>
  </si>
  <si>
    <t>2004-22-P-01577-M</t>
    <phoneticPr fontId="3" type="noConversion"/>
  </si>
  <si>
    <t>李雷</t>
    <phoneticPr fontId="3" type="noConversion"/>
  </si>
  <si>
    <t>130684198204180038</t>
    <phoneticPr fontId="3" type="noConversion"/>
  </si>
  <si>
    <t>13520376007、82415570</t>
    <phoneticPr fontId="3" type="noConversion"/>
  </si>
  <si>
    <t>612号</t>
    <phoneticPr fontId="3" type="noConversion"/>
  </si>
  <si>
    <t>北京住房公积金管理中心朝阳第一管理部</t>
  </si>
  <si>
    <t>竣工待验收</t>
    <phoneticPr fontId="3" type="noConversion"/>
  </si>
  <si>
    <t>2004-22-P-02009-M</t>
    <phoneticPr fontId="3" type="noConversion"/>
  </si>
  <si>
    <t>覃特</t>
    <phoneticPr fontId="3" type="noConversion"/>
  </si>
  <si>
    <t>452226197807250054</t>
    <phoneticPr fontId="3" type="noConversion"/>
  </si>
  <si>
    <t>13911670578</t>
    <phoneticPr fontId="3" type="noConversion"/>
  </si>
  <si>
    <t>9层</t>
    <phoneticPr fontId="3" type="noConversion"/>
  </si>
  <si>
    <t>903号</t>
    <phoneticPr fontId="3" type="noConversion"/>
  </si>
  <si>
    <t>一</t>
  </si>
  <si>
    <t>2004-3-D1-00228</t>
    <phoneticPr fontId="3" type="noConversion"/>
  </si>
  <si>
    <t>620342</t>
    <phoneticPr fontId="3" type="noConversion"/>
  </si>
  <si>
    <t>2004-22-P-02797-M</t>
    <phoneticPr fontId="3" type="noConversion"/>
  </si>
  <si>
    <t>龚武</t>
    <phoneticPr fontId="3" type="noConversion"/>
  </si>
  <si>
    <t>430723781027103</t>
    <phoneticPr fontId="3" type="noConversion"/>
  </si>
  <si>
    <t>13910764317、51021111-209</t>
    <phoneticPr fontId="3" type="noConversion"/>
  </si>
  <si>
    <t>314号</t>
    <phoneticPr fontId="3" type="noConversion"/>
  </si>
  <si>
    <t>620332</t>
    <phoneticPr fontId="3" type="noConversion"/>
  </si>
  <si>
    <t>2004-22-P-03081</t>
    <phoneticPr fontId="3" type="noConversion"/>
  </si>
  <si>
    <t>许琳</t>
    <phoneticPr fontId="3" type="noConversion"/>
  </si>
  <si>
    <t>6幢</t>
    <phoneticPr fontId="3" type="noConversion"/>
  </si>
  <si>
    <t>2单元</t>
    <phoneticPr fontId="3" type="noConversion"/>
  </si>
  <si>
    <t>2004-22-P-03866-M</t>
    <phoneticPr fontId="3" type="noConversion"/>
  </si>
  <si>
    <t>张静</t>
    <phoneticPr fontId="3" type="noConversion"/>
  </si>
  <si>
    <t>110101711102352</t>
    <phoneticPr fontId="3" type="noConversion"/>
  </si>
  <si>
    <t>426号</t>
    <phoneticPr fontId="3" type="noConversion"/>
  </si>
  <si>
    <t>张笠纯</t>
    <phoneticPr fontId="3" type="noConversion"/>
  </si>
  <si>
    <t>2004-22-P-03915-M</t>
    <phoneticPr fontId="3" type="noConversion"/>
  </si>
  <si>
    <t>吕威群</t>
    <phoneticPr fontId="3" type="noConversion"/>
  </si>
  <si>
    <t>370102196903313323</t>
    <phoneticPr fontId="3" type="noConversion"/>
  </si>
  <si>
    <t>713号</t>
    <phoneticPr fontId="3" type="noConversion"/>
  </si>
  <si>
    <t>2004-22-P-03916-M</t>
    <phoneticPr fontId="3" type="noConversion"/>
  </si>
  <si>
    <t>曾剑隽</t>
    <phoneticPr fontId="3" type="noConversion"/>
  </si>
  <si>
    <t>350204771228651</t>
    <phoneticPr fontId="3" type="noConversion"/>
  </si>
  <si>
    <t>330号</t>
    <phoneticPr fontId="3" type="noConversion"/>
  </si>
  <si>
    <t>2004-22-P-03917-M</t>
    <phoneticPr fontId="3" type="noConversion"/>
  </si>
  <si>
    <t>刘鑫</t>
    <phoneticPr fontId="3" type="noConversion"/>
  </si>
  <si>
    <t>210104700516613</t>
    <phoneticPr fontId="3" type="noConversion"/>
  </si>
  <si>
    <t>715号</t>
    <phoneticPr fontId="3" type="noConversion"/>
  </si>
  <si>
    <t>工程进度</t>
    <phoneticPr fontId="3" type="noConversion"/>
  </si>
  <si>
    <t>2004-22-P-03918-M</t>
    <phoneticPr fontId="3" type="noConversion"/>
  </si>
  <si>
    <t>王昕</t>
    <phoneticPr fontId="3" type="noConversion"/>
  </si>
  <si>
    <t>110108197102035815</t>
    <phoneticPr fontId="3" type="noConversion"/>
  </si>
  <si>
    <t>613号</t>
    <phoneticPr fontId="3" type="noConversion"/>
  </si>
  <si>
    <t>2004-22-P-03919-M</t>
    <phoneticPr fontId="3" type="noConversion"/>
  </si>
  <si>
    <t>刘成伟</t>
    <phoneticPr fontId="3" type="noConversion"/>
  </si>
  <si>
    <t>210402720419171</t>
    <phoneticPr fontId="3" type="noConversion"/>
  </si>
  <si>
    <t>703号</t>
    <phoneticPr fontId="3" type="noConversion"/>
  </si>
  <si>
    <t>2004-22-P-03920-M</t>
    <phoneticPr fontId="3" type="noConversion"/>
  </si>
  <si>
    <t>何武</t>
    <phoneticPr fontId="3" type="noConversion"/>
  </si>
  <si>
    <t>654221197405044220</t>
    <phoneticPr fontId="3" type="noConversion"/>
  </si>
  <si>
    <t>627号</t>
    <phoneticPr fontId="3" type="noConversion"/>
  </si>
  <si>
    <t>2004-22-P-03921-M</t>
    <phoneticPr fontId="3" type="noConversion"/>
  </si>
  <si>
    <t>余惠</t>
    <phoneticPr fontId="3" type="noConversion"/>
  </si>
  <si>
    <t>511123198309174867</t>
    <phoneticPr fontId="3" type="noConversion"/>
  </si>
  <si>
    <t>13990678079、13522006257</t>
    <phoneticPr fontId="3" type="noConversion"/>
  </si>
  <si>
    <t>206号</t>
    <phoneticPr fontId="3" type="noConversion"/>
  </si>
  <si>
    <t>2004-22-P-03922-M</t>
    <phoneticPr fontId="3" type="noConversion"/>
  </si>
  <si>
    <t>李林翠</t>
    <phoneticPr fontId="3" type="noConversion"/>
  </si>
  <si>
    <t>220581811101446</t>
    <phoneticPr fontId="3" type="noConversion"/>
  </si>
  <si>
    <t>618号</t>
    <phoneticPr fontId="3" type="noConversion"/>
  </si>
  <si>
    <t>2004-22-P-04348-M</t>
    <phoneticPr fontId="3" type="noConversion"/>
  </si>
  <si>
    <t>孙娟</t>
    <phoneticPr fontId="3" type="noConversion"/>
  </si>
  <si>
    <t>220502196305240629</t>
    <phoneticPr fontId="3" type="noConversion"/>
  </si>
  <si>
    <t>13601051109</t>
    <phoneticPr fontId="3" type="noConversion"/>
  </si>
  <si>
    <t>714号</t>
    <phoneticPr fontId="3" type="noConversion"/>
  </si>
  <si>
    <t>620325</t>
    <phoneticPr fontId="3" type="noConversion"/>
  </si>
  <si>
    <t>2004-22-P-04350-M</t>
    <phoneticPr fontId="3" type="noConversion"/>
  </si>
  <si>
    <t>郭文琼</t>
    <phoneticPr fontId="3" type="noConversion"/>
  </si>
  <si>
    <t>362427197907010029</t>
    <phoneticPr fontId="3" type="noConversion"/>
  </si>
  <si>
    <t>13810045198</t>
    <phoneticPr fontId="3" type="noConversion"/>
  </si>
  <si>
    <t>4层</t>
    <phoneticPr fontId="3" type="noConversion"/>
  </si>
  <si>
    <t>425号</t>
    <phoneticPr fontId="3" type="noConversion"/>
  </si>
  <si>
    <t>620371</t>
    <phoneticPr fontId="3" type="noConversion"/>
  </si>
  <si>
    <t>2004-22-P-04401-M</t>
    <phoneticPr fontId="3" type="noConversion"/>
  </si>
  <si>
    <t>沈健</t>
    <phoneticPr fontId="3" type="noConversion"/>
  </si>
  <si>
    <t>110106680825273</t>
    <phoneticPr fontId="3" type="noConversion"/>
  </si>
  <si>
    <t>13901195253</t>
    <phoneticPr fontId="3" type="noConversion"/>
  </si>
  <si>
    <t>318号</t>
    <phoneticPr fontId="3" type="noConversion"/>
  </si>
  <si>
    <t>620380</t>
    <phoneticPr fontId="3" type="noConversion"/>
  </si>
  <si>
    <t>2004-22-P-04445-M</t>
    <phoneticPr fontId="3" type="noConversion"/>
  </si>
  <si>
    <t>崔如</t>
    <phoneticPr fontId="3" type="noConversion"/>
  </si>
  <si>
    <t>412826197703017165</t>
    <phoneticPr fontId="3" type="noConversion"/>
  </si>
  <si>
    <t>13661058892、13911579648</t>
    <phoneticPr fontId="3" type="noConversion"/>
  </si>
  <si>
    <t>219号</t>
    <phoneticPr fontId="3" type="noConversion"/>
  </si>
  <si>
    <t>620384</t>
    <phoneticPr fontId="3" type="noConversion"/>
  </si>
  <si>
    <t>2004-22-P-04446-M</t>
  </si>
  <si>
    <t>田兵</t>
    <phoneticPr fontId="3" type="noConversion"/>
  </si>
  <si>
    <t>429004197510102570</t>
    <phoneticPr fontId="3" type="noConversion"/>
  </si>
  <si>
    <t>13911579648</t>
    <phoneticPr fontId="3" type="noConversion"/>
  </si>
  <si>
    <t>2层</t>
    <phoneticPr fontId="3" type="noConversion"/>
  </si>
  <si>
    <t>217号</t>
    <phoneticPr fontId="3" type="noConversion"/>
  </si>
  <si>
    <t>620386</t>
    <phoneticPr fontId="3" type="noConversion"/>
  </si>
  <si>
    <t>2004-22-P-04492-M</t>
    <phoneticPr fontId="3" type="noConversion"/>
  </si>
  <si>
    <t>卢伟</t>
    <phoneticPr fontId="3" type="noConversion"/>
  </si>
  <si>
    <t>32038219800525001X</t>
    <phoneticPr fontId="3" type="noConversion"/>
  </si>
  <si>
    <t>13801309523</t>
    <phoneticPr fontId="3" type="noConversion"/>
  </si>
  <si>
    <t>416号</t>
    <phoneticPr fontId="3" type="noConversion"/>
  </si>
  <si>
    <t>620394</t>
    <phoneticPr fontId="3" type="noConversion"/>
  </si>
  <si>
    <t>2004-22-P-04497-M</t>
    <phoneticPr fontId="3" type="noConversion"/>
  </si>
  <si>
    <t>刘学义</t>
    <phoneticPr fontId="3" type="noConversion"/>
  </si>
  <si>
    <t>230826197912052818</t>
    <phoneticPr fontId="3" type="noConversion"/>
  </si>
  <si>
    <t>13911724266、62405545、62405546</t>
    <phoneticPr fontId="3" type="noConversion"/>
  </si>
  <si>
    <t>614号</t>
    <phoneticPr fontId="3" type="noConversion"/>
  </si>
  <si>
    <t>北京住房公积金管理中心西城第二管理部</t>
    <phoneticPr fontId="3" type="noConversion"/>
  </si>
  <si>
    <t>620313</t>
    <phoneticPr fontId="3" type="noConversion"/>
  </si>
  <si>
    <t>2004-22-P-04584-M</t>
    <phoneticPr fontId="3" type="noConversion"/>
  </si>
  <si>
    <t>闫培</t>
    <phoneticPr fontId="3" type="noConversion"/>
  </si>
  <si>
    <t>120104196507016323</t>
    <phoneticPr fontId="3" type="noConversion"/>
  </si>
  <si>
    <t>13910580701</t>
    <phoneticPr fontId="3" type="noConversion"/>
  </si>
  <si>
    <t>5层</t>
    <phoneticPr fontId="3" type="noConversion"/>
  </si>
  <si>
    <t>507号</t>
    <phoneticPr fontId="3" type="noConversion"/>
  </si>
  <si>
    <t>620377</t>
    <phoneticPr fontId="3" type="noConversion"/>
  </si>
  <si>
    <t>2004-22-P-04631-M</t>
    <phoneticPr fontId="3" type="noConversion"/>
  </si>
  <si>
    <t>柳慧</t>
    <phoneticPr fontId="3" type="noConversion"/>
  </si>
  <si>
    <t>130104720312154</t>
    <phoneticPr fontId="3" type="noConversion"/>
  </si>
  <si>
    <t>13671329133</t>
    <phoneticPr fontId="3" type="noConversion"/>
  </si>
  <si>
    <t>427号</t>
    <phoneticPr fontId="3" type="noConversion"/>
  </si>
  <si>
    <t>620375</t>
    <phoneticPr fontId="3" type="noConversion"/>
  </si>
  <si>
    <t>2004-22-P-04632-M</t>
    <phoneticPr fontId="3" type="noConversion"/>
  </si>
  <si>
    <t>马忠山</t>
    <phoneticPr fontId="3" type="noConversion"/>
  </si>
  <si>
    <t>210106630111339</t>
    <phoneticPr fontId="3" type="noConversion"/>
  </si>
  <si>
    <t>13051355069、82162022</t>
    <phoneticPr fontId="3" type="noConversion"/>
  </si>
  <si>
    <t>226号</t>
    <phoneticPr fontId="3" type="noConversion"/>
  </si>
  <si>
    <t>620367</t>
    <phoneticPr fontId="3" type="noConversion"/>
  </si>
  <si>
    <t>2004-22-P-04817-M</t>
    <phoneticPr fontId="3" type="noConversion"/>
  </si>
  <si>
    <t>高宏彦</t>
    <phoneticPr fontId="3" type="noConversion"/>
  </si>
  <si>
    <t>110222198003124326</t>
    <phoneticPr fontId="3" type="noConversion"/>
  </si>
  <si>
    <t>13810598854</t>
    <phoneticPr fontId="3" type="noConversion"/>
  </si>
  <si>
    <t>421号</t>
    <phoneticPr fontId="3" type="noConversion"/>
  </si>
  <si>
    <t>北京住房公积金管理中心西城第一管理部</t>
    <phoneticPr fontId="3" type="noConversion"/>
  </si>
  <si>
    <t>620369</t>
    <phoneticPr fontId="3" type="noConversion"/>
  </si>
  <si>
    <t>2004-22-P-04818-M</t>
    <phoneticPr fontId="3" type="noConversion"/>
  </si>
  <si>
    <t>夏宗靓</t>
    <phoneticPr fontId="3" type="noConversion"/>
  </si>
  <si>
    <t>239004730812547</t>
    <phoneticPr fontId="3" type="noConversion"/>
  </si>
  <si>
    <t>13901017977</t>
    <phoneticPr fontId="3" type="noConversion"/>
  </si>
  <si>
    <t>6层</t>
    <phoneticPr fontId="3" type="noConversion"/>
  </si>
  <si>
    <t>611号</t>
    <phoneticPr fontId="3" type="noConversion"/>
  </si>
  <si>
    <t>620372</t>
    <phoneticPr fontId="3" type="noConversion"/>
  </si>
  <si>
    <t>2004-22-P-05775-M</t>
    <phoneticPr fontId="3" type="noConversion"/>
  </si>
  <si>
    <t>葛洪波</t>
    <phoneticPr fontId="3" type="noConversion"/>
  </si>
  <si>
    <t>110105701004943</t>
    <phoneticPr fontId="3" type="noConversion"/>
  </si>
  <si>
    <t>13021216254、88382594、68353253</t>
    <phoneticPr fontId="3" type="noConversion"/>
  </si>
  <si>
    <t>409号</t>
    <phoneticPr fontId="3" type="noConversion"/>
  </si>
  <si>
    <t>2004-22-P-05940-M</t>
    <phoneticPr fontId="3" type="noConversion"/>
  </si>
  <si>
    <t>孙姬媛</t>
    <phoneticPr fontId="3" type="noConversion"/>
  </si>
  <si>
    <t>230123198002080606</t>
    <phoneticPr fontId="3" type="noConversion"/>
  </si>
  <si>
    <t>13910982944</t>
    <phoneticPr fontId="3" type="noConversion"/>
  </si>
  <si>
    <t>5层</t>
    <phoneticPr fontId="3" type="noConversion"/>
  </si>
  <si>
    <t>503号</t>
    <phoneticPr fontId="3" type="noConversion"/>
  </si>
  <si>
    <t>一厅一卫</t>
    <phoneticPr fontId="3" type="noConversion"/>
  </si>
  <si>
    <t>620349</t>
    <phoneticPr fontId="3" type="noConversion"/>
  </si>
  <si>
    <t>现售</t>
    <phoneticPr fontId="3" type="noConversion"/>
  </si>
  <si>
    <t>2004-22-P-07772</t>
    <phoneticPr fontId="3" type="noConversion"/>
  </si>
  <si>
    <t>李鉴军</t>
    <phoneticPr fontId="3" type="noConversion"/>
  </si>
  <si>
    <t>362126197711210210</t>
    <phoneticPr fontId="3" type="noConversion"/>
  </si>
  <si>
    <t>北洼路车道沟南里北洼路住宅楼(财智公馆)</t>
    <phoneticPr fontId="3" type="noConversion"/>
  </si>
  <si>
    <t xml:space="preserve"> </t>
    <phoneticPr fontId="3" type="noConversion"/>
  </si>
  <si>
    <t>731号</t>
    <phoneticPr fontId="3" type="noConversion"/>
  </si>
  <si>
    <t>一室一卫一厨</t>
    <phoneticPr fontId="3" type="noConversion"/>
  </si>
  <si>
    <t>现房</t>
    <phoneticPr fontId="3" type="noConversion"/>
  </si>
  <si>
    <t>现售</t>
    <phoneticPr fontId="3" type="noConversion"/>
  </si>
  <si>
    <t>2004-22-P-08539</t>
    <phoneticPr fontId="3" type="noConversion"/>
  </si>
  <si>
    <t>刘宇明</t>
    <phoneticPr fontId="3" type="noConversion"/>
  </si>
  <si>
    <t>150204197212172412</t>
    <phoneticPr fontId="3" type="noConversion"/>
  </si>
  <si>
    <t>316号</t>
    <phoneticPr fontId="3" type="noConversion"/>
  </si>
  <si>
    <t>北京建房房地产开发有限公司</t>
    <phoneticPr fontId="3" type="noConversion"/>
  </si>
  <si>
    <t>五</t>
    <phoneticPr fontId="3" type="noConversion"/>
  </si>
  <si>
    <t>现售</t>
    <phoneticPr fontId="3" type="noConversion"/>
  </si>
  <si>
    <t>2004-22-P-03385</t>
    <phoneticPr fontId="3" type="noConversion"/>
  </si>
  <si>
    <t>郑志强</t>
    <phoneticPr fontId="3" type="noConversion"/>
  </si>
  <si>
    <t>110108621002545</t>
    <phoneticPr fontId="3" type="noConversion"/>
  </si>
  <si>
    <t>68756234</t>
    <phoneticPr fontId="3" type="noConversion"/>
  </si>
  <si>
    <t>增光路44号冠德住宅楼</t>
    <phoneticPr fontId="3" type="noConversion"/>
  </si>
  <si>
    <t>D幢</t>
    <phoneticPr fontId="3" type="noConversion"/>
  </si>
  <si>
    <t>506号</t>
    <phoneticPr fontId="3" type="noConversion"/>
  </si>
  <si>
    <t>北京冠德房地产开发有限责任公司</t>
    <phoneticPr fontId="3" type="noConversion"/>
  </si>
  <si>
    <t>一室一厅一卫一厨</t>
    <phoneticPr fontId="3" type="noConversion"/>
  </si>
  <si>
    <t>基础</t>
    <phoneticPr fontId="3" type="noConversion"/>
  </si>
  <si>
    <t>0733401</t>
    <phoneticPr fontId="3" type="noConversion"/>
  </si>
  <si>
    <t>北京冠德房地产开发有限责任公司</t>
    <phoneticPr fontId="3" type="noConversion"/>
  </si>
  <si>
    <t>北京市密云县工业开发区水源路173号</t>
    <phoneticPr fontId="3" type="noConversion"/>
  </si>
  <si>
    <t>1102282177726</t>
    <phoneticPr fontId="3" type="noConversion"/>
  </si>
  <si>
    <t>李花梅</t>
    <phoneticPr fontId="3" type="noConversion"/>
  </si>
  <si>
    <t>裴蓓</t>
    <phoneticPr fontId="3" type="noConversion"/>
  </si>
  <si>
    <t>2004-22-P-03386</t>
    <phoneticPr fontId="3" type="noConversion"/>
  </si>
  <si>
    <t>李笠</t>
    <phoneticPr fontId="3" type="noConversion"/>
  </si>
  <si>
    <t>412924197603013151</t>
    <phoneticPr fontId="3" type="noConversion"/>
  </si>
  <si>
    <t>13381158876</t>
    <phoneticPr fontId="3" type="noConversion"/>
  </si>
  <si>
    <t>增光路44号冠德住宅楼</t>
    <phoneticPr fontId="3" type="noConversion"/>
  </si>
  <si>
    <t>D幢</t>
    <phoneticPr fontId="3" type="noConversion"/>
  </si>
  <si>
    <t>一单元</t>
    <phoneticPr fontId="3" type="noConversion"/>
  </si>
  <si>
    <t>1401号</t>
    <phoneticPr fontId="3" type="noConversion"/>
  </si>
  <si>
    <t>二室一厅二卫一厨</t>
    <phoneticPr fontId="3" type="noConversion"/>
  </si>
  <si>
    <t>北京住房公积金管理中心朝阳第三管理部</t>
    <phoneticPr fontId="3" type="noConversion"/>
  </si>
  <si>
    <t>0733304</t>
    <phoneticPr fontId="3" type="noConversion"/>
  </si>
  <si>
    <t>北京市密云县工业开发区水源路173号</t>
    <phoneticPr fontId="3" type="noConversion"/>
  </si>
  <si>
    <t>2004-22-P-03773</t>
    <phoneticPr fontId="3" type="noConversion"/>
  </si>
  <si>
    <t>许虹</t>
    <phoneticPr fontId="3" type="noConversion"/>
  </si>
  <si>
    <t>110106710724275</t>
    <phoneticPr fontId="3" type="noConversion"/>
  </si>
  <si>
    <t>13701070646、68985089</t>
    <phoneticPr fontId="3" type="noConversion"/>
  </si>
  <si>
    <t>海淀区</t>
    <phoneticPr fontId="3" type="noConversion"/>
  </si>
  <si>
    <t>D幢</t>
    <phoneticPr fontId="3" type="noConversion"/>
  </si>
  <si>
    <t>1002号</t>
    <phoneticPr fontId="3" type="noConversion"/>
  </si>
  <si>
    <t>北京冠德房地产开发有限责任公司</t>
    <phoneticPr fontId="3" type="noConversion"/>
  </si>
  <si>
    <t>二室二厅一卫一厨</t>
    <phoneticPr fontId="3" type="noConversion"/>
  </si>
  <si>
    <t>结构施工</t>
    <phoneticPr fontId="3" type="noConversion"/>
  </si>
  <si>
    <t>四</t>
    <phoneticPr fontId="3" type="noConversion"/>
  </si>
  <si>
    <t>2004-3-D1-00848</t>
    <phoneticPr fontId="3" type="noConversion"/>
  </si>
  <si>
    <t>杨红英</t>
    <phoneticPr fontId="3" type="noConversion"/>
  </si>
  <si>
    <t>田杰</t>
    <phoneticPr fontId="3" type="noConversion"/>
  </si>
  <si>
    <t>110108197409263716</t>
    <phoneticPr fontId="3" type="noConversion"/>
  </si>
  <si>
    <t>13801269211、68285046</t>
    <phoneticPr fontId="3" type="noConversion"/>
  </si>
  <si>
    <t>D幢</t>
    <phoneticPr fontId="3" type="noConversion"/>
  </si>
  <si>
    <t>1单元</t>
    <phoneticPr fontId="3" type="noConversion"/>
  </si>
  <si>
    <t>201号</t>
    <phoneticPr fontId="3" type="noConversion"/>
  </si>
  <si>
    <t>北京住房公积金管理中心东城第二管理部</t>
    <phoneticPr fontId="3" type="noConversion"/>
  </si>
  <si>
    <t>五</t>
    <phoneticPr fontId="3" type="noConversion"/>
  </si>
  <si>
    <t xml:space="preserve"> </t>
    <phoneticPr fontId="3" type="noConversion"/>
  </si>
  <si>
    <t>0733414</t>
    <phoneticPr fontId="3" type="noConversion"/>
  </si>
  <si>
    <t>北京市密云县工业开发区水源路173号</t>
    <phoneticPr fontId="3" type="noConversion"/>
  </si>
  <si>
    <t>李花梅</t>
    <phoneticPr fontId="3" type="noConversion"/>
  </si>
  <si>
    <t>2004-22-P-03976</t>
    <phoneticPr fontId="3" type="noConversion"/>
  </si>
  <si>
    <t>周浩</t>
    <phoneticPr fontId="3" type="noConversion"/>
  </si>
  <si>
    <t>110108197608086820</t>
    <phoneticPr fontId="3" type="noConversion"/>
  </si>
  <si>
    <t>13910004195、68730779</t>
    <phoneticPr fontId="3" type="noConversion"/>
  </si>
  <si>
    <t>增光路44号冠德住宅楼</t>
    <phoneticPr fontId="3" type="noConversion"/>
  </si>
  <si>
    <t>1单元</t>
    <phoneticPr fontId="3" type="noConversion"/>
  </si>
  <si>
    <t>401号</t>
    <phoneticPr fontId="3" type="noConversion"/>
  </si>
  <si>
    <t>北京住房公积金管理中心丰台第一管理部</t>
    <phoneticPr fontId="3" type="noConversion"/>
  </si>
  <si>
    <t>0733325</t>
    <phoneticPr fontId="3" type="noConversion"/>
  </si>
  <si>
    <t>2004-22-P-04046</t>
    <phoneticPr fontId="3" type="noConversion"/>
  </si>
  <si>
    <t>曹洪浩</t>
    <phoneticPr fontId="3" type="noConversion"/>
  </si>
  <si>
    <t>110102670202331</t>
    <phoneticPr fontId="3" type="noConversion"/>
  </si>
  <si>
    <t>13701322301</t>
    <phoneticPr fontId="3" type="noConversion"/>
  </si>
  <si>
    <t>一单元</t>
    <phoneticPr fontId="3" type="noConversion"/>
  </si>
  <si>
    <t>305号</t>
    <phoneticPr fontId="3" type="noConversion"/>
  </si>
  <si>
    <t>北京住房公积金管理中心东城第一管理部</t>
    <phoneticPr fontId="3" type="noConversion"/>
  </si>
  <si>
    <t>结构施工</t>
    <phoneticPr fontId="3" type="noConversion"/>
  </si>
  <si>
    <t>0733360</t>
    <phoneticPr fontId="3" type="noConversion"/>
  </si>
  <si>
    <t>1102282177726</t>
    <phoneticPr fontId="3" type="noConversion"/>
  </si>
  <si>
    <t>李花梅</t>
    <phoneticPr fontId="3" type="noConversion"/>
  </si>
  <si>
    <t>2004-22-P-04064</t>
    <phoneticPr fontId="3" type="noConversion"/>
  </si>
  <si>
    <t>徐臻</t>
    <phoneticPr fontId="3" type="noConversion"/>
  </si>
  <si>
    <t>110108730727544</t>
    <phoneticPr fontId="3" type="noConversion"/>
  </si>
  <si>
    <t>13651337004</t>
    <phoneticPr fontId="3" type="noConversion"/>
  </si>
  <si>
    <t>405号</t>
    <phoneticPr fontId="3" type="noConversion"/>
  </si>
  <si>
    <t>三室二厅二卫一厨</t>
    <phoneticPr fontId="3" type="noConversion"/>
  </si>
  <si>
    <t>0733354</t>
    <phoneticPr fontId="3" type="noConversion"/>
  </si>
  <si>
    <t>1102282177726</t>
    <phoneticPr fontId="3" type="noConversion"/>
  </si>
  <si>
    <t>李花梅</t>
    <phoneticPr fontId="3" type="noConversion"/>
  </si>
  <si>
    <t>裴蓓</t>
    <phoneticPr fontId="3" type="noConversion"/>
  </si>
  <si>
    <t>2004-22-P-04083</t>
    <phoneticPr fontId="3" type="noConversion"/>
  </si>
  <si>
    <t>邹权</t>
    <phoneticPr fontId="3" type="noConversion"/>
  </si>
  <si>
    <t>110108670403541</t>
    <phoneticPr fontId="3" type="noConversion"/>
  </si>
  <si>
    <t>13801198119</t>
    <phoneticPr fontId="3" type="noConversion"/>
  </si>
  <si>
    <t>增光路44号冠德住宅楼</t>
    <phoneticPr fontId="3" type="noConversion"/>
  </si>
  <si>
    <t>二单元</t>
    <phoneticPr fontId="3" type="noConversion"/>
  </si>
  <si>
    <t>803号</t>
    <phoneticPr fontId="3" type="noConversion"/>
  </si>
  <si>
    <t>北京冠德房地产开发有限责任公司</t>
    <phoneticPr fontId="3" type="noConversion"/>
  </si>
  <si>
    <t>0733329</t>
    <phoneticPr fontId="3" type="noConversion"/>
  </si>
  <si>
    <t>李花梅</t>
    <phoneticPr fontId="3" type="noConversion"/>
  </si>
  <si>
    <t>2004-22-P-04106</t>
    <phoneticPr fontId="3" type="noConversion"/>
  </si>
  <si>
    <t>杨</t>
    <phoneticPr fontId="3" type="noConversion"/>
  </si>
  <si>
    <t>110108680710842</t>
    <phoneticPr fontId="3" type="noConversion"/>
  </si>
  <si>
    <t>13911889250、13501368107、62115589</t>
    <phoneticPr fontId="3" type="noConversion"/>
  </si>
  <si>
    <t>二单元</t>
    <phoneticPr fontId="3" type="noConversion"/>
  </si>
  <si>
    <t>205号</t>
    <phoneticPr fontId="3" type="noConversion"/>
  </si>
  <si>
    <t>北京冠德房地产开发有限责任公司</t>
    <phoneticPr fontId="3" type="noConversion"/>
  </si>
  <si>
    <t>二室二厅一卫一厨</t>
    <phoneticPr fontId="3" type="noConversion"/>
  </si>
  <si>
    <t>北京住房公积金管理中心西城第一管理部</t>
    <phoneticPr fontId="3" type="noConversion"/>
  </si>
  <si>
    <t>0733326</t>
    <phoneticPr fontId="3" type="noConversion"/>
  </si>
  <si>
    <t>2004-22-P-04179</t>
    <phoneticPr fontId="3" type="noConversion"/>
  </si>
  <si>
    <t>刘敬</t>
    <phoneticPr fontId="3" type="noConversion"/>
  </si>
  <si>
    <t>110221196711180622</t>
    <phoneticPr fontId="3" type="noConversion"/>
  </si>
  <si>
    <t>13641261058、88391403</t>
    <phoneticPr fontId="3" type="noConversion"/>
  </si>
  <si>
    <t>1单元</t>
    <phoneticPr fontId="3" type="noConversion"/>
  </si>
  <si>
    <t>601号</t>
    <phoneticPr fontId="3" type="noConversion"/>
  </si>
  <si>
    <t>基础</t>
    <phoneticPr fontId="3" type="noConversion"/>
  </si>
  <si>
    <t>0733324</t>
    <phoneticPr fontId="3" type="noConversion"/>
  </si>
  <si>
    <t>2004-22-P-05328</t>
    <phoneticPr fontId="3" type="noConversion"/>
  </si>
  <si>
    <t>张辉、张琳娜</t>
    <phoneticPr fontId="3" type="noConversion"/>
  </si>
  <si>
    <t>610303197802243014、610321197710200044</t>
    <phoneticPr fontId="3" type="noConversion"/>
  </si>
  <si>
    <t>13801037540</t>
    <phoneticPr fontId="3" type="noConversion"/>
  </si>
  <si>
    <t>1301号</t>
    <phoneticPr fontId="3" type="noConversion"/>
  </si>
  <si>
    <t>结构施工</t>
    <phoneticPr fontId="3" type="noConversion"/>
  </si>
  <si>
    <t>0733391</t>
    <phoneticPr fontId="3" type="noConversion"/>
  </si>
  <si>
    <t>1102282177726</t>
    <phoneticPr fontId="3" type="noConversion"/>
  </si>
  <si>
    <t>2004-22-P-05802</t>
    <phoneticPr fontId="3" type="noConversion"/>
  </si>
  <si>
    <t>刘鹏</t>
    <phoneticPr fontId="3" type="noConversion"/>
  </si>
  <si>
    <t>659001760130123</t>
    <phoneticPr fontId="3" type="noConversion"/>
  </si>
  <si>
    <t>13910615580</t>
    <phoneticPr fontId="3" type="noConversion"/>
  </si>
  <si>
    <t>一室二厅一卫一厨</t>
    <phoneticPr fontId="3" type="noConversion"/>
  </si>
  <si>
    <t>0737971</t>
    <phoneticPr fontId="3" type="noConversion"/>
  </si>
  <si>
    <t>2004-22-P-09985</t>
    <phoneticPr fontId="3" type="noConversion"/>
  </si>
  <si>
    <t>马俊丰</t>
    <phoneticPr fontId="3" type="noConversion"/>
  </si>
  <si>
    <t>23020319740302001X</t>
    <phoneticPr fontId="3" type="noConversion"/>
  </si>
  <si>
    <t>60242657</t>
    <phoneticPr fontId="3" type="noConversion"/>
  </si>
  <si>
    <t>海淀区</t>
    <phoneticPr fontId="3" type="noConversion"/>
  </si>
  <si>
    <t>二单元</t>
    <phoneticPr fontId="3" type="noConversion"/>
  </si>
  <si>
    <r>
      <t>1207</t>
    </r>
    <r>
      <rPr>
        <sz val="10"/>
        <rFont val="宋体"/>
        <family val="3"/>
        <charset val="134"/>
      </rPr>
      <t>号</t>
    </r>
    <phoneticPr fontId="3" type="noConversion"/>
  </si>
  <si>
    <t>八</t>
    <phoneticPr fontId="3" type="noConversion"/>
  </si>
  <si>
    <t>0737968</t>
    <phoneticPr fontId="3" type="noConversion"/>
  </si>
  <si>
    <t>翠微东里</t>
    <phoneticPr fontId="3" type="noConversion"/>
  </si>
  <si>
    <t>2004-22-P-01239-U</t>
    <phoneticPr fontId="3" type="noConversion"/>
  </si>
  <si>
    <t>2004-22-P-02757</t>
    <phoneticPr fontId="3" type="noConversion"/>
  </si>
  <si>
    <t>2004-22-P-03867</t>
    <phoneticPr fontId="3" type="noConversion"/>
  </si>
  <si>
    <t>西八里庄颐安嘉园新小区</t>
    <phoneticPr fontId="134" type="noConversion"/>
  </si>
  <si>
    <t>南</t>
    <phoneticPr fontId="134" type="noConversion"/>
  </si>
  <si>
    <t>预售</t>
    <phoneticPr fontId="24" type="noConversion"/>
  </si>
  <si>
    <t>一般</t>
  </si>
  <si>
    <t>2/16</t>
    <phoneticPr fontId="24" type="noConversion"/>
  </si>
  <si>
    <t>高第小区</t>
    <phoneticPr fontId="24" type="noConversion"/>
  </si>
  <si>
    <t>二手房</t>
    <phoneticPr fontId="24" type="noConversion"/>
  </si>
  <si>
    <t>一手房</t>
    <phoneticPr fontId="24" type="noConversion"/>
  </si>
  <si>
    <t>9/15</t>
    <phoneticPr fontId="24" type="noConversion"/>
  </si>
  <si>
    <t>15/18</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</si>
</sst>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2]General"/>
    <numFmt numFmtId="199" formatCode="[DBNum1][$-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b/>
      <sz val="9"/>
      <color indexed="81"/>
      <name val="Times New Roman"/>
      <family val="1"/>
    </font>
    <font>
      <sz val="1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9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alignment horizontal="center"/>
      <protection locked="0"/>
    </xf>
    <xf numFmtId="176" fontId="19" fillId="22" borderId="1" xfId="0" applyNumberFormat="1" applyFont="1" applyFill="1" applyBorder="1" applyAlignment="1" applyProtection="1">
      <alignment horizontal="center"/>
      <protection locked="0"/>
    </xf>
    <xf numFmtId="185" fontId="19" fillId="22" borderId="1" xfId="0" applyNumberFormat="1" applyFont="1" applyFill="1" applyBorder="1" applyAlignment="1" applyProtection="1">
      <alignment horizontal="center"/>
      <protection locked="0"/>
    </xf>
    <xf numFmtId="196" fontId="19" fillId="22" borderId="1" xfId="0" applyNumberFormat="1" applyFont="1" applyFill="1" applyBorder="1" applyAlignment="1" applyProtection="1">
      <alignment horizontal="center"/>
      <protection locked="0"/>
    </xf>
    <xf numFmtId="31" fontId="19"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19" fillId="23" borderId="1" xfId="0" applyFont="1" applyFill="1" applyBorder="1" applyAlignment="1" applyProtection="1">
      <alignment horizontal="center"/>
      <protection locked="0"/>
    </xf>
    <xf numFmtId="49" fontId="19" fillId="23" borderId="1" xfId="0" applyNumberFormat="1" applyFont="1" applyFill="1" applyBorder="1" applyAlignment="1" applyProtection="1">
      <alignment horizontal="center"/>
      <protection locked="0"/>
    </xf>
    <xf numFmtId="197" fontId="19" fillId="23" borderId="1" xfId="0" applyNumberFormat="1" applyFont="1" applyFill="1" applyBorder="1" applyAlignment="1" applyProtection="1">
      <alignment horizontal="center"/>
      <protection locked="0"/>
    </xf>
    <xf numFmtId="179" fontId="19" fillId="23" borderId="1" xfId="0" applyNumberFormat="1" applyFont="1" applyFill="1" applyBorder="1" applyAlignment="1" applyProtection="1">
      <alignment horizontal="center"/>
      <protection locked="0"/>
    </xf>
    <xf numFmtId="31" fontId="19"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0"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176" fontId="19" fillId="0" borderId="1" xfId="0" applyNumberFormat="1" applyFont="1" applyFill="1" applyBorder="1" applyAlignment="1">
      <alignment horizontal="right"/>
    </xf>
    <xf numFmtId="0" fontId="19" fillId="0" borderId="1" xfId="0" applyFont="1" applyFill="1" applyBorder="1" applyAlignment="1">
      <alignment horizontal="left"/>
    </xf>
    <xf numFmtId="185" fontId="19" fillId="0" borderId="1" xfId="0" applyNumberFormat="1" applyFont="1" applyFill="1" applyBorder="1" applyAlignment="1">
      <alignment horizontal="right"/>
    </xf>
    <xf numFmtId="198" fontId="19" fillId="0" borderId="1" xfId="0" applyNumberFormat="1" applyFont="1" applyFill="1" applyBorder="1" applyAlignment="1"/>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198"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9"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0" xfId="0" applyFont="1" applyFill="1" applyBorder="1" applyAlignment="1" applyProtection="1">
      <protection locked="0"/>
    </xf>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9" fontId="19" fillId="0" borderId="1" xfId="0" applyNumberFormat="1" applyFont="1" applyFill="1" applyBorder="1" applyAlignment="1"/>
    <xf numFmtId="31" fontId="19" fillId="0" borderId="1" xfId="0" applyNumberFormat="1" applyFont="1" applyFill="1" applyBorder="1" applyAlignment="1">
      <alignment horizontal="right"/>
    </xf>
    <xf numFmtId="49" fontId="19" fillId="0" borderId="1" xfId="0" applyNumberFormat="1" applyFont="1" applyFill="1" applyBorder="1" applyAlignment="1">
      <alignment horizontal="lef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83" fontId="19" fillId="0" borderId="1" xfId="0" applyNumberFormat="1" applyFont="1" applyFill="1" applyBorder="1" applyAlignment="1">
      <alignment horizontal="right"/>
    </xf>
    <xf numFmtId="196" fontId="19" fillId="0" borderId="1" xfId="0" applyNumberFormat="1" applyFont="1" applyFill="1" applyBorder="1" applyAlignment="1" applyProtection="1">
      <alignment horizontal="right"/>
    </xf>
    <xf numFmtId="31" fontId="19" fillId="0" borderId="1" xfId="0" applyNumberFormat="1" applyFont="1" applyFill="1" applyBorder="1" applyAlignment="1" applyProtection="1"/>
    <xf numFmtId="49" fontId="272" fillId="0" borderId="1" xfId="0" applyNumberFormat="1" applyFont="1" applyFill="1" applyBorder="1" applyAlignment="1"/>
    <xf numFmtId="0" fontId="272" fillId="0" borderId="1" xfId="0" applyFont="1" applyFill="1" applyBorder="1" applyAlignment="1"/>
    <xf numFmtId="49" fontId="272" fillId="0" borderId="1" xfId="0" applyNumberFormat="1" applyFont="1" applyFill="1" applyBorder="1" applyAlignment="1" applyProtection="1">
      <protection locked="0"/>
    </xf>
    <xf numFmtId="1" fontId="19" fillId="0" borderId="1" xfId="0" applyNumberFormat="1" applyFont="1" applyFill="1" applyBorder="1" applyAlignment="1">
      <alignment horizontal="center"/>
    </xf>
    <xf numFmtId="199" fontId="77" fillId="0" borderId="1" xfId="0" applyNumberFormat="1" applyFont="1" applyFill="1" applyBorder="1" applyAlignment="1">
      <alignment horizontal="left"/>
    </xf>
    <xf numFmtId="0" fontId="77" fillId="0" borderId="1" xfId="0" applyFont="1" applyFill="1" applyBorder="1" applyAlignment="1" applyProtection="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80" fillId="22" borderId="1" xfId="0" applyFont="1" applyFill="1" applyBorder="1" applyAlignment="1" applyProtection="1">
      <alignment horizontal="center"/>
      <protection locked="0"/>
    </xf>
    <xf numFmtId="196" fontId="19" fillId="0" borderId="1" xfId="0" applyNumberFormat="1" applyFont="1" applyFill="1" applyBorder="1" applyAlignment="1">
      <alignment horizontal="right"/>
    </xf>
    <xf numFmtId="31" fontId="19" fillId="0" borderId="1" xfId="0" applyNumberFormat="1" applyFont="1" applyFill="1" applyBorder="1" applyAlignment="1" applyProtection="1">
      <alignment horizontal="right"/>
    </xf>
    <xf numFmtId="199" fontId="19" fillId="0" borderId="1" xfId="0" applyNumberFormat="1" applyFont="1" applyFill="1" applyBorder="1" applyAlignment="1" applyProtection="1">
      <alignment horizontal="center"/>
    </xf>
    <xf numFmtId="0" fontId="19" fillId="0" borderId="1" xfId="0" applyFont="1" applyFill="1" applyBorder="1" applyAlignment="1" applyProtection="1">
      <alignment horizontal="right"/>
      <protection locked="0"/>
    </xf>
    <xf numFmtId="0" fontId="19" fillId="0" borderId="1" xfId="0" applyFont="1" applyFill="1" applyBorder="1" applyAlignment="1" applyProtection="1">
      <alignment horizontal="right"/>
    </xf>
    <xf numFmtId="179" fontId="19" fillId="0" borderId="1" xfId="0" applyNumberFormat="1" applyFont="1" applyFill="1" applyBorder="1" applyAlignment="1"/>
    <xf numFmtId="183" fontId="19" fillId="0" borderId="1" xfId="0" applyNumberFormat="1" applyFont="1" applyFill="1" applyBorder="1" applyAlignment="1" applyProtection="1">
      <alignment horizontal="right"/>
      <protection locked="0"/>
    </xf>
    <xf numFmtId="49" fontId="19" fillId="0" borderId="0" xfId="0" applyNumberFormat="1" applyFont="1" applyFill="1" applyBorder="1" applyAlignment="1">
      <alignment horizontal="left"/>
    </xf>
    <xf numFmtId="14" fontId="19" fillId="0" borderId="1" xfId="0" applyNumberFormat="1" applyFont="1" applyFill="1" applyBorder="1" applyAlignment="1" applyProtection="1">
      <protection locked="0"/>
    </xf>
    <xf numFmtId="176" fontId="19" fillId="0" borderId="1" xfId="0" applyNumberFormat="1" applyFont="1" applyFill="1" applyBorder="1" applyAlignment="1"/>
    <xf numFmtId="0" fontId="77" fillId="0" borderId="1" xfId="0" applyFont="1" applyFill="1" applyBorder="1" applyAlignment="1">
      <alignment horizontal="center"/>
    </xf>
    <xf numFmtId="0" fontId="0" fillId="0" borderId="0" xfId="0" applyFill="1" applyAlignment="1"/>
    <xf numFmtId="0" fontId="19" fillId="25" borderId="1" xfId="0" applyFont="1" applyFill="1" applyBorder="1" applyAlignment="1"/>
    <xf numFmtId="49" fontId="19" fillId="25" borderId="1" xfId="0" applyNumberFormat="1" applyFont="1" applyFill="1" applyBorder="1" applyAlignment="1"/>
    <xf numFmtId="44" fontId="19" fillId="25" borderId="1" xfId="19" applyFont="1" applyFill="1" applyBorder="1" applyAlignment="1">
      <alignment horizontal="left"/>
    </xf>
    <xf numFmtId="176" fontId="19" fillId="25" borderId="1" xfId="0" applyNumberFormat="1" applyFont="1" applyFill="1" applyBorder="1" applyAlignment="1">
      <alignment horizontal="right"/>
    </xf>
    <xf numFmtId="185" fontId="19" fillId="25" borderId="1" xfId="0" applyNumberFormat="1" applyFont="1" applyFill="1" applyBorder="1" applyAlignment="1">
      <alignment horizontal="right"/>
    </xf>
    <xf numFmtId="196" fontId="19" fillId="25" borderId="1" xfId="0" applyNumberFormat="1" applyFont="1" applyFill="1" applyBorder="1" applyAlignment="1"/>
    <xf numFmtId="9" fontId="19" fillId="25" borderId="1" xfId="0" applyNumberFormat="1" applyFont="1" applyFill="1" applyBorder="1" applyAlignment="1"/>
    <xf numFmtId="2" fontId="19" fillId="25" borderId="1" xfId="0" applyNumberFormat="1" applyFont="1" applyFill="1" applyBorder="1" applyAlignment="1" applyProtection="1">
      <alignment horizontal="right"/>
    </xf>
    <xf numFmtId="196" fontId="19" fillId="25" borderId="1" xfId="0" applyNumberFormat="1" applyFont="1" applyFill="1" applyBorder="1" applyAlignment="1">
      <alignment horizontal="right"/>
    </xf>
    <xf numFmtId="0" fontId="19" fillId="25" borderId="1" xfId="0" applyFont="1" applyFill="1" applyBorder="1" applyAlignment="1" applyProtection="1">
      <protection locked="0"/>
    </xf>
    <xf numFmtId="0" fontId="19" fillId="25" borderId="1" xfId="0" applyFont="1" applyFill="1" applyBorder="1" applyAlignment="1" applyProtection="1"/>
    <xf numFmtId="31" fontId="19" fillId="25" borderId="1" xfId="0" applyNumberFormat="1" applyFont="1" applyFill="1" applyBorder="1" applyAlignment="1" applyProtection="1">
      <alignment horizontal="right"/>
    </xf>
    <xf numFmtId="199" fontId="19" fillId="25" borderId="1" xfId="0" applyNumberFormat="1" applyFont="1" applyFill="1" applyBorder="1" applyAlignment="1" applyProtection="1">
      <alignment horizontal="center"/>
    </xf>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31" fontId="19" fillId="25" borderId="1" xfId="0" applyNumberFormat="1" applyFont="1" applyFill="1" applyBorder="1" applyAlignment="1" applyProtection="1">
      <alignment horizontal="right"/>
      <protection locked="0"/>
    </xf>
    <xf numFmtId="0" fontId="19" fillId="25" borderId="1" xfId="0" applyFont="1" applyFill="1" applyBorder="1" applyAlignment="1" applyProtection="1">
      <alignment horizontal="center"/>
      <protection locked="0"/>
    </xf>
    <xf numFmtId="183" fontId="19" fillId="25" borderId="1" xfId="0" applyNumberFormat="1" applyFont="1" applyFill="1" applyBorder="1" applyAlignment="1" applyProtection="1">
      <protection locked="0"/>
    </xf>
    <xf numFmtId="0" fontId="19" fillId="25" borderId="0" xfId="0" applyFont="1" applyFill="1" applyBorder="1" applyAlignment="1"/>
    <xf numFmtId="0" fontId="19" fillId="25" borderId="0" xfId="0" applyFont="1" applyFill="1" applyBorder="1" applyAlignment="1" applyProtection="1">
      <protection locked="0"/>
    </xf>
    <xf numFmtId="0" fontId="19" fillId="25" borderId="1" xfId="0" applyFont="1" applyFill="1" applyBorder="1" applyAlignment="1">
      <alignment horizontal="left"/>
    </xf>
    <xf numFmtId="0" fontId="19" fillId="25" borderId="1" xfId="0" applyFont="1" applyFill="1" applyBorder="1" applyAlignment="1">
      <alignment horizontal="right"/>
    </xf>
    <xf numFmtId="198" fontId="19" fillId="25" borderId="1" xfId="0" applyNumberFormat="1" applyFont="1" applyFill="1" applyBorder="1" applyAlignment="1"/>
    <xf numFmtId="198" fontId="19" fillId="25" borderId="1" xfId="0" applyNumberFormat="1" applyFont="1" applyFill="1" applyBorder="1" applyAlignment="1">
      <alignment horizontal="right"/>
    </xf>
    <xf numFmtId="199" fontId="19" fillId="25" borderId="1" xfId="0" applyNumberFormat="1" applyFont="1" applyFill="1" applyBorder="1" applyAlignment="1">
      <alignment horizontal="left"/>
    </xf>
    <xf numFmtId="0" fontId="19" fillId="25" borderId="1" xfId="0" applyFont="1" applyFill="1" applyBorder="1" applyAlignment="1">
      <alignment horizontal="center"/>
    </xf>
    <xf numFmtId="31" fontId="19" fillId="25" borderId="1" xfId="0" applyNumberFormat="1" applyFont="1" applyFill="1" applyBorder="1" applyAlignment="1">
      <alignment horizontal="right"/>
    </xf>
    <xf numFmtId="31" fontId="19" fillId="25" borderId="1" xfId="0" applyNumberFormat="1" applyFont="1" applyFill="1" applyBorder="1" applyAlignment="1"/>
    <xf numFmtId="0" fontId="19" fillId="25" borderId="1" xfId="0" applyFont="1" applyFill="1" applyBorder="1" applyAlignment="1" applyProtection="1">
      <alignment horizontal="right"/>
      <protection locked="0"/>
    </xf>
    <xf numFmtId="2" fontId="19" fillId="25" borderId="1" xfId="0" applyNumberFormat="1" applyFont="1" applyFill="1" applyBorder="1" applyAlignment="1">
      <alignment horizontal="right"/>
    </xf>
    <xf numFmtId="179" fontId="19" fillId="25" borderId="1" xfId="0" applyNumberFormat="1" applyFont="1" applyFill="1" applyBorder="1" applyAlignment="1"/>
    <xf numFmtId="196" fontId="19" fillId="0" borderId="1" xfId="0" applyNumberFormat="1" applyFont="1" applyFill="1" applyBorder="1" applyAlignment="1" applyProtection="1">
      <protection locked="0"/>
    </xf>
    <xf numFmtId="196" fontId="19" fillId="25" borderId="1" xfId="0" applyNumberFormat="1" applyFont="1" applyFill="1" applyBorder="1" applyAlignment="1" applyProtection="1">
      <protection locked="0"/>
    </xf>
    <xf numFmtId="0" fontId="19" fillId="25" borderId="1" xfId="0" applyFont="1" applyFill="1" applyBorder="1" applyAlignment="1" applyProtection="1">
      <alignment horizontal="right"/>
    </xf>
    <xf numFmtId="0" fontId="19" fillId="25" borderId="1" xfId="0" applyFont="1" applyFill="1" applyBorder="1" applyAlignment="1" applyProtection="1">
      <alignment horizontal="center"/>
    </xf>
    <xf numFmtId="0" fontId="19" fillId="7" borderId="1" xfId="0" applyFont="1" applyFill="1" applyBorder="1" applyAlignment="1" applyProtection="1"/>
    <xf numFmtId="0" fontId="19" fillId="7" borderId="1" xfId="0" applyFont="1" applyFill="1" applyBorder="1" applyAlignment="1"/>
    <xf numFmtId="49" fontId="19" fillId="7" borderId="1" xfId="0" applyNumberFormat="1" applyFont="1" applyFill="1" applyBorder="1" applyAlignment="1"/>
    <xf numFmtId="0" fontId="19" fillId="7" borderId="1" xfId="0" applyFont="1" applyFill="1" applyBorder="1" applyAlignment="1">
      <alignment horizontal="left"/>
    </xf>
    <xf numFmtId="0" fontId="19" fillId="7" borderId="1" xfId="0" applyFont="1" applyFill="1" applyBorder="1" applyAlignment="1">
      <alignment horizontal="right"/>
    </xf>
    <xf numFmtId="176" fontId="19" fillId="7" borderId="1" xfId="0" applyNumberFormat="1" applyFont="1" applyFill="1" applyBorder="1" applyAlignment="1">
      <alignment horizontal="right"/>
    </xf>
    <xf numFmtId="185" fontId="19" fillId="7" borderId="1" xfId="0" applyNumberFormat="1" applyFont="1" applyFill="1" applyBorder="1" applyAlignment="1">
      <alignment horizontal="right"/>
    </xf>
    <xf numFmtId="198" fontId="19" fillId="7" borderId="1" xfId="0" applyNumberFormat="1" applyFont="1" applyFill="1" applyBorder="1" applyAlignment="1"/>
    <xf numFmtId="9" fontId="19" fillId="7" borderId="1" xfId="0" applyNumberFormat="1" applyFont="1" applyFill="1" applyBorder="1" applyAlignment="1"/>
    <xf numFmtId="2" fontId="19" fillId="7" borderId="1" xfId="0" applyNumberFormat="1" applyFont="1" applyFill="1" applyBorder="1" applyAlignment="1" applyProtection="1">
      <alignment horizontal="right"/>
    </xf>
    <xf numFmtId="198" fontId="19" fillId="7" borderId="1" xfId="0" applyNumberFormat="1" applyFont="1" applyFill="1" applyBorder="1" applyAlignment="1">
      <alignment horizontal="right"/>
    </xf>
    <xf numFmtId="31" fontId="19" fillId="7" borderId="1" xfId="0" applyNumberFormat="1" applyFont="1" applyFill="1" applyBorder="1" applyAlignment="1"/>
    <xf numFmtId="199" fontId="19" fillId="7" borderId="1" xfId="0" applyNumberFormat="1" applyFont="1" applyFill="1" applyBorder="1" applyAlignment="1">
      <alignment horizontal="left"/>
    </xf>
    <xf numFmtId="0" fontId="19" fillId="7" borderId="1" xfId="0" applyFont="1" applyFill="1" applyBorder="1" applyAlignment="1" applyProtection="1">
      <alignment horizontal="right"/>
      <protection locked="0"/>
    </xf>
    <xf numFmtId="0" fontId="19" fillId="7" borderId="0" xfId="0" applyFont="1" applyFill="1" applyBorder="1" applyAlignment="1"/>
    <xf numFmtId="31" fontId="19" fillId="7" borderId="1" xfId="0" applyNumberFormat="1" applyFont="1" applyFill="1" applyBorder="1" applyAlignment="1" applyProtection="1">
      <alignment horizontal="right"/>
    </xf>
    <xf numFmtId="0" fontId="19" fillId="7" borderId="1" xfId="0" applyFont="1" applyFill="1" applyBorder="1" applyAlignment="1">
      <alignment horizontal="center"/>
    </xf>
    <xf numFmtId="31" fontId="19" fillId="7" borderId="1" xfId="0" applyNumberFormat="1" applyFont="1" applyFill="1" applyBorder="1" applyAlignment="1">
      <alignment horizontal="right"/>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80" fillId="22" borderId="5" xfId="0" applyFont="1" applyFill="1" applyBorder="1" applyAlignment="1" applyProtection="1">
      <alignment horizontal="center"/>
      <protection locked="0"/>
    </xf>
    <xf numFmtId="0" fontId="80" fillId="22" borderId="3" xfId="0" applyFont="1" applyFill="1" applyBorder="1" applyAlignment="1" applyProtection="1">
      <alignment horizontal="center"/>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61</xdr:row>
      <xdr:rowOff>22860</xdr:rowOff>
    </xdr:from>
    <xdr:to>
      <xdr:col>11</xdr:col>
      <xdr:colOff>212388</xdr:colOff>
      <xdr:row>91</xdr:row>
      <xdr:rowOff>155508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2979420"/>
          <a:ext cx="7771428"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32736;&#24494;&#21271;&#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358411</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2004年9月30日</v>
      </c>
    </row>
    <row r="13" spans="1:2" s="1203" customFormat="1">
      <c r="A13" s="1201" t="s">
        <v>529</v>
      </c>
      <c r="B13" s="1202" t="str">
        <f>'预评函-1'!A18</f>
        <v>本次估价的“房地产价值”是指在正常市场情况下，在价值时点2004年9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79.7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5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6"/>
      <c r="B54" s="1554" t="s">
        <v>385</v>
      </c>
      <c r="C54" s="1551" t="s">
        <v>583</v>
      </c>
    </row>
    <row r="55" spans="1:4">
      <c r="A55" s="3656"/>
      <c r="B55" s="1554" t="s">
        <v>386</v>
      </c>
      <c r="C55" s="1551" t="s">
        <v>584</v>
      </c>
    </row>
    <row r="56" spans="1:4">
      <c r="A56" s="3656"/>
      <c r="B56" s="1554" t="s">
        <v>387</v>
      </c>
      <c r="C56" s="1551" t="s">
        <v>588</v>
      </c>
    </row>
    <row r="57" spans="1:4">
      <c r="A57" s="365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657" t="s">
        <v>2581</v>
      </c>
      <c r="J2" s="3657"/>
      <c r="K2" s="3657"/>
      <c r="L2" s="3657"/>
      <c r="M2" s="3657"/>
      <c r="N2" s="3657"/>
      <c r="O2" s="3657"/>
      <c r="P2" s="3657"/>
      <c r="Q2" s="3657"/>
      <c r="R2" s="3657"/>
    </row>
    <row r="3" spans="1:18">
      <c r="A3" s="3020" t="s">
        <v>2502</v>
      </c>
      <c r="B3" s="3021">
        <f>项目基本情况!D3</f>
        <v>38260</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22.23</v>
      </c>
      <c r="D5" s="3025">
        <f>IF(ISERROR(ROUND(POWER(1+E5,A5-C5)*(POWER(1+E5,C5)-1)/(POWER(1+E5,A5)-1),3)),0,ROUND(POWER(1+E5,A5-C5)*(POWER(1+E5,C5)-1)/(POWER(1+E5,A5)-1),4))</f>
        <v>0.7349</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32.24</v>
      </c>
      <c r="D6" s="3025">
        <f>IF(ISERROR(ROUND(POWER(1+E6,A6-C6)*(POWER(1+E6,C6)-1)/(POWER(1+E6,A6)-1),3)),0,ROUND(POWER(1+E6,A6-C6)*(POWER(1+E6,C6)-1)/(POWER(1+E6,A6)-1),4))</f>
        <v>0.83509999999999995</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52.25</v>
      </c>
      <c r="D7" s="3025">
        <f>IF(ISERROR(ROUND(POWER(1+E7,A7-C7)*(POWER(1+E7,C7)-1)/(POWER(1+E7,A7)-1),3)),0,ROUND(POWER(1+E7,A7-C7)*(POWER(1+E7,C7)-1)/(POWER(1+E7,A7)-1),4))</f>
        <v>0.93100000000000005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54" sqref="N5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666" t="str">
        <f>IF(B10="北京市","北京市",C10)&amp;F10&amp;IF(结果表!G1="在建","出让国有建设用地使用权及在建建筑物",IF(结果表!G1="土地","出让国有建设用地使用权",))&amp;B9&amp;"预评估"</f>
        <v>北京市房地产市场价值预评估</v>
      </c>
      <c r="C1" s="3667"/>
      <c r="D1" s="3667"/>
      <c r="E1" s="3667"/>
      <c r="F1" s="3667"/>
      <c r="G1" s="3667"/>
      <c r="H1" s="3667"/>
      <c r="I1" s="366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38260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669"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670"/>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64223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676"/>
      <c r="C16" s="3677"/>
      <c r="D16" s="3678"/>
      <c r="E16" s="2413" t="s">
        <v>2194</v>
      </c>
      <c r="F16" s="3679"/>
      <c r="G16" s="3680"/>
      <c r="H16" s="3680"/>
      <c r="I16" s="3681"/>
      <c r="J16" s="2439"/>
      <c r="K16" s="2617"/>
      <c r="L16" s="2451"/>
      <c r="M16" s="2451"/>
      <c r="N16" s="2509"/>
      <c r="O16" s="2451"/>
      <c r="P16" s="2509"/>
      <c r="Q16" s="2439"/>
      <c r="R16" s="2439"/>
    </row>
    <row r="17" spans="1:28">
      <c r="A17" s="313" t="s">
        <v>2195</v>
      </c>
      <c r="B17" s="302" t="s">
        <v>2196</v>
      </c>
      <c r="C17" s="8">
        <f>'数据-汇总表'!E3</f>
        <v>79.7</v>
      </c>
      <c r="D17" s="2322" t="s">
        <v>2197</v>
      </c>
      <c r="E17" s="3682" t="s">
        <v>2198</v>
      </c>
      <c r="F17" s="3683"/>
      <c r="G17" s="3683"/>
      <c r="H17" s="3683"/>
      <c r="I17" s="368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685" t="s">
        <v>2202</v>
      </c>
      <c r="F18" s="3686"/>
      <c r="G18" s="3686"/>
      <c r="H18" s="3686"/>
      <c r="I18" s="368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72" t="s">
        <v>2206</v>
      </c>
      <c r="C20" s="3673"/>
      <c r="D20" s="3674" t="s">
        <v>2207</v>
      </c>
      <c r="E20" s="3675"/>
      <c r="F20" s="2647" t="s">
        <v>1056</v>
      </c>
      <c r="G20" s="2664"/>
      <c r="H20" s="2664"/>
      <c r="I20" s="2664"/>
      <c r="J20" s="2439"/>
      <c r="K20" s="367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67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67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5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5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5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60"/>
      <c r="B30" s="302" t="s">
        <v>2218</v>
      </c>
      <c r="C30" s="3661"/>
      <c r="D30" s="3662"/>
      <c r="E30" s="2664"/>
      <c r="F30" s="2664"/>
      <c r="G30" s="2664"/>
      <c r="H30" s="2664"/>
      <c r="I30" s="2664"/>
      <c r="J30" s="2439"/>
      <c r="K30" s="2616"/>
      <c r="L30" s="2613"/>
      <c r="M30" s="2613"/>
      <c r="N30" s="2439"/>
      <c r="O30" s="2450"/>
      <c r="P30" s="2439"/>
      <c r="Q30" s="2439"/>
      <c r="R30" s="2439"/>
      <c r="S30" s="2439"/>
      <c r="T30" s="2439"/>
      <c r="U30" s="2439"/>
      <c r="V30" s="2439"/>
    </row>
    <row r="31" spans="1:28">
      <c r="A31" s="366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6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6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58" t="s">
        <v>2228</v>
      </c>
      <c r="T34" s="2428" t="str">
        <f>NUMBERSTRING(7-K34,1)&amp;"通"</f>
        <v>七通</v>
      </c>
      <c r="U34" s="2439"/>
      <c r="V34" s="2439"/>
    </row>
    <row r="35" spans="1:30">
      <c r="A35" s="2429"/>
      <c r="B35" s="3665" t="s">
        <v>2229</v>
      </c>
      <c r="C35" s="3665"/>
      <c r="D35" s="3665"/>
      <c r="E35" s="366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5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79.7</v>
      </c>
      <c r="H5" s="13">
        <f t="shared" ref="H5:AT5" si="0">SUM(H13:H656)</f>
        <v>79.7</v>
      </c>
      <c r="I5" s="13">
        <f t="shared" si="0"/>
        <v>79.7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79.7</v>
      </c>
      <c r="BA5" s="15">
        <f t="shared" si="1"/>
        <v>79.7</v>
      </c>
      <c r="BB5" s="15">
        <f t="shared" si="1"/>
        <v>79.7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79.7</v>
      </c>
      <c r="H13" s="17">
        <f>SUMIF(I$12:AB$12,"总值",I13:AB13)</f>
        <v>79.7</v>
      </c>
      <c r="I13" s="1626">
        <v>79.7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79.7</v>
      </c>
      <c r="BA13" s="13">
        <f>SUM(BB13:BK13)</f>
        <v>79.7</v>
      </c>
      <c r="BB13" s="13">
        <f>IF($D13="是",I13-J13,0)</f>
        <v>79.7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97" t="s">
        <v>1131</v>
      </c>
      <c r="B2" s="3697"/>
      <c r="C2" s="3697"/>
      <c r="D2" s="796" t="s">
        <v>1107</v>
      </c>
      <c r="E2" s="1639" t="s">
        <v>1108</v>
      </c>
      <c r="F2" s="2659"/>
      <c r="G2" s="2650"/>
      <c r="H2" s="2651"/>
      <c r="I2" s="2325" t="s">
        <v>1132</v>
      </c>
      <c r="J2" s="2659"/>
      <c r="K2" s="2659"/>
      <c r="L2" s="2659"/>
      <c r="M2" s="2659"/>
      <c r="N2" s="2661"/>
      <c r="O2" s="2659"/>
      <c r="P2" s="2659"/>
    </row>
    <row r="3" spans="1:16" ht="15" thickBot="1">
      <c r="A3" s="3698" t="s">
        <v>1105</v>
      </c>
      <c r="B3" s="3698"/>
      <c r="C3" s="3698"/>
      <c r="D3" s="43">
        <f>'数据-基础表'!AY6</f>
        <v>0</v>
      </c>
      <c r="E3" s="43">
        <f>'数据-基础表'!AZ5</f>
        <v>79.7</v>
      </c>
      <c r="F3" s="2659"/>
      <c r="G3" s="1145"/>
      <c r="H3" s="1026" t="s">
        <v>1106</v>
      </c>
      <c r="I3" s="855" t="e">
        <f>ROUND('数据-基础表'!B3/'数据-基础表'!A3,2)</f>
        <v>#DIV/0!</v>
      </c>
      <c r="J3" s="2659"/>
      <c r="K3" s="2659"/>
      <c r="L3" s="2659"/>
      <c r="M3" s="2659"/>
      <c r="N3" s="2661"/>
      <c r="O3" s="2659"/>
      <c r="P3" s="2659"/>
    </row>
    <row r="4" spans="1:16" ht="14.4">
      <c r="A4" s="3699"/>
      <c r="B4" s="3700"/>
      <c r="C4" s="370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702" t="s">
        <v>1110</v>
      </c>
      <c r="C5" s="3702"/>
      <c r="D5" s="45">
        <f>ROUND($D$3*E5/$E$3,2)</f>
        <v>0</v>
      </c>
      <c r="E5" s="46">
        <f>SUMIF('数据-基础表'!$11:$11,"住宅",'数据-基础表'!$5:$5)</f>
        <v>79.7</v>
      </c>
      <c r="F5" s="2659"/>
      <c r="G5" s="1145"/>
      <c r="H5" s="1026" t="s">
        <v>1106</v>
      </c>
      <c r="I5" s="855" t="e">
        <f>ROUND(E31/D31,2)</f>
        <v>#DIV/0!</v>
      </c>
      <c r="J5" s="2659"/>
      <c r="K5" s="2659"/>
      <c r="L5" s="2659"/>
      <c r="M5" s="2659"/>
      <c r="N5" s="2659"/>
      <c r="O5" s="2659"/>
      <c r="P5" s="2659"/>
    </row>
    <row r="6" spans="1:16" ht="15" thickBot="1">
      <c r="A6" s="1644"/>
      <c r="B6" s="3702" t="s">
        <v>1111</v>
      </c>
      <c r="C6" s="370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94"/>
      <c r="B7" s="3695"/>
      <c r="C7" s="3696"/>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79.7</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79.7</v>
      </c>
      <c r="F16" s="2659"/>
      <c r="G16" s="2660"/>
      <c r="H16" s="1648" t="s">
        <v>1135</v>
      </c>
      <c r="I16" s="1649"/>
      <c r="J16" s="1139"/>
      <c r="K16" s="3691" t="s">
        <v>1135</v>
      </c>
      <c r="L16" s="3692"/>
      <c r="M16" s="3692"/>
      <c r="N16" s="3692"/>
      <c r="O16" s="3692"/>
      <c r="P16" s="3693"/>
    </row>
    <row r="17" spans="1:19" ht="14.4">
      <c r="A17" s="1650" t="s">
        <v>1136</v>
      </c>
      <c r="B17" s="1651" t="s">
        <v>1137</v>
      </c>
      <c r="C17" s="1652" t="s">
        <v>1138</v>
      </c>
      <c r="D17" s="1653" t="s">
        <v>1126</v>
      </c>
      <c r="E17" s="1654" t="s">
        <v>1127</v>
      </c>
      <c r="F17" s="1655"/>
      <c r="G17" s="1656"/>
      <c r="H17" s="1657" t="s">
        <v>1139</v>
      </c>
      <c r="I17" s="1658" t="s">
        <v>1124</v>
      </c>
      <c r="J17" s="1139"/>
      <c r="K17" s="3688" t="s">
        <v>1140</v>
      </c>
      <c r="L17" s="3689"/>
      <c r="M17" s="3690"/>
      <c r="N17" s="3688" t="s">
        <v>1141</v>
      </c>
      <c r="O17" s="3689"/>
      <c r="P17" s="369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79.7</v>
      </c>
      <c r="F19" s="2795">
        <v>79.7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79.7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79.7</v>
      </c>
      <c r="F27" s="1140">
        <f>IF(SUM(F19:F26)=E8,SUM(F19:F26),"地上面积有误")</f>
        <v>79.7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79.7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79.7</v>
      </c>
      <c r="F31" s="677">
        <f>F27+F30</f>
        <v>79.7</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79.7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38260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64223</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79.7</v>
      </c>
      <c r="L6" s="733">
        <v>2500</v>
      </c>
      <c r="M6" s="67">
        <f t="shared" ref="M6:M14" si="0">ROUND(K6*L6/10000,0)</f>
        <v>20</v>
      </c>
      <c r="N6" s="3455">
        <v>0.75</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199250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79.7</v>
      </c>
      <c r="L16" s="93">
        <f>ROUND(M16*10000/SUM(K6:K14),0)</f>
        <v>2509</v>
      </c>
      <c r="M16" s="93">
        <f>SUM(M6:M14)</f>
        <v>20</v>
      </c>
      <c r="N16" s="94">
        <f>ROUND(SUMPRODUCT(M6:M14,N6:N14)/M16,3)</f>
        <v>0.75</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f>1-(2004-1989)/60</f>
        <v>0.75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1.9799999999999998E-2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5.4900000000000004E-2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703" t="s">
        <v>2286</v>
      </c>
      <c r="B1" s="3704"/>
      <c r="C1" s="3704"/>
      <c r="D1" s="3704"/>
      <c r="E1" s="3704"/>
      <c r="F1" s="3704"/>
      <c r="G1" s="370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79.7</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38260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41</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79.7</v>
      </c>
      <c r="C14" s="2518"/>
      <c r="D14" s="2518">
        <f ca="1">结果表!G19</f>
        <v>41</v>
      </c>
      <c r="E14" s="2518">
        <f ca="1">ROUND(D14*10000/B14,0)</f>
        <v>5144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6" sqref="H2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39" t="str">
        <f>项目基本情况!S2</f>
        <v>北京市房地产</v>
      </c>
      <c r="B2" s="3740"/>
      <c r="C2" s="3740"/>
      <c r="D2" s="3740"/>
      <c r="E2" s="3740"/>
      <c r="F2" s="3740"/>
      <c r="G2" s="3740"/>
      <c r="H2" s="3740"/>
      <c r="I2" s="3741"/>
    </row>
    <row r="3" spans="1:12" ht="13.2">
      <c r="A3" s="3743" t="s">
        <v>1264</v>
      </c>
      <c r="B3" s="3744"/>
      <c r="C3" s="3744"/>
      <c r="D3" s="3744"/>
      <c r="E3" s="3744"/>
      <c r="F3" s="3744"/>
      <c r="G3" s="3744"/>
      <c r="H3" s="3744"/>
      <c r="I3" s="3744"/>
    </row>
    <row r="4" spans="1:12" ht="14.4">
      <c r="A4" s="1754" t="s">
        <v>1265</v>
      </c>
      <c r="B4" s="1755" t="s">
        <v>1266</v>
      </c>
      <c r="C4" s="1756" t="s">
        <v>3420</v>
      </c>
      <c r="D4" s="1756" t="s">
        <v>3421</v>
      </c>
      <c r="E4" s="3745" t="s">
        <v>1267</v>
      </c>
      <c r="F4" s="3746"/>
      <c r="G4" s="3746"/>
      <c r="H4" s="3746"/>
      <c r="I4" s="374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19" t="s">
        <v>1268</v>
      </c>
      <c r="B5" s="3706">
        <v>25</v>
      </c>
      <c r="C5" s="3722">
        <v>10</v>
      </c>
      <c r="D5" s="3742">
        <f>10-C5</f>
        <v>0</v>
      </c>
      <c r="E5" s="131" t="s">
        <v>1269</v>
      </c>
      <c r="F5" s="1757"/>
      <c r="G5" s="1757"/>
      <c r="H5" s="1757"/>
      <c r="I5" s="1373"/>
    </row>
    <row r="6" spans="1:12" ht="13.2">
      <c r="A6" s="3719"/>
      <c r="B6" s="3706"/>
      <c r="C6" s="3723"/>
      <c r="D6" s="3742"/>
      <c r="E6" s="131" t="s">
        <v>1270</v>
      </c>
      <c r="F6" s="1757"/>
      <c r="G6" s="1757"/>
      <c r="H6" s="1757"/>
      <c r="I6" s="1373"/>
    </row>
    <row r="7" spans="1:12" ht="13.2">
      <c r="A7" s="3719"/>
      <c r="B7" s="3706"/>
      <c r="C7" s="3724"/>
      <c r="D7" s="3742"/>
      <c r="E7" s="131" t="s">
        <v>1271</v>
      </c>
      <c r="F7" s="1757"/>
      <c r="G7" s="1757"/>
      <c r="H7" s="1757"/>
      <c r="I7" s="1373"/>
    </row>
    <row r="8" spans="1:12" ht="13.2">
      <c r="A8" s="3719" t="s">
        <v>1272</v>
      </c>
      <c r="B8" s="3706">
        <v>15</v>
      </c>
      <c r="C8" s="3722"/>
      <c r="D8" s="3742"/>
      <c r="E8" s="131" t="s">
        <v>1273</v>
      </c>
      <c r="F8" s="1757"/>
      <c r="G8" s="1757"/>
      <c r="H8" s="1757"/>
      <c r="I8" s="1373"/>
    </row>
    <row r="9" spans="1:12" ht="13.2">
      <c r="A9" s="3719"/>
      <c r="B9" s="3706"/>
      <c r="C9" s="3724"/>
      <c r="D9" s="3742"/>
      <c r="E9" s="131" t="s">
        <v>1274</v>
      </c>
      <c r="F9" s="1757"/>
      <c r="G9" s="1757"/>
      <c r="H9" s="1757"/>
      <c r="I9" s="1373"/>
    </row>
    <row r="10" spans="1:12" ht="13.2">
      <c r="A10" s="3719" t="s">
        <v>1275</v>
      </c>
      <c r="B10" s="3706">
        <v>15</v>
      </c>
      <c r="C10" s="3722"/>
      <c r="D10" s="3742"/>
      <c r="E10" s="131" t="s">
        <v>1276</v>
      </c>
      <c r="F10" s="1757"/>
      <c r="G10" s="1757"/>
      <c r="H10" s="1757"/>
      <c r="I10" s="1373"/>
    </row>
    <row r="11" spans="1:12" ht="13.2">
      <c r="A11" s="3719"/>
      <c r="B11" s="3706"/>
      <c r="C11" s="3724"/>
      <c r="D11" s="3742"/>
      <c r="E11" s="131" t="s">
        <v>1277</v>
      </c>
      <c r="F11" s="1757"/>
      <c r="G11" s="1757"/>
      <c r="H11" s="1757"/>
      <c r="I11" s="1373"/>
    </row>
    <row r="12" spans="1:12" ht="13.2">
      <c r="A12" s="3719" t="s">
        <v>1278</v>
      </c>
      <c r="B12" s="3706">
        <v>15</v>
      </c>
      <c r="C12" s="3722"/>
      <c r="D12" s="3742"/>
      <c r="E12" s="131" t="s">
        <v>1279</v>
      </c>
      <c r="F12" s="1757"/>
      <c r="G12" s="1757"/>
      <c r="H12" s="1757"/>
      <c r="I12" s="1373"/>
    </row>
    <row r="13" spans="1:12" ht="13.2">
      <c r="A13" s="3719"/>
      <c r="B13" s="3706"/>
      <c r="C13" s="3724"/>
      <c r="D13" s="3742"/>
      <c r="E13" s="131" t="s">
        <v>1280</v>
      </c>
      <c r="F13" s="1757"/>
      <c r="G13" s="1757"/>
      <c r="H13" s="1757"/>
      <c r="I13" s="1373"/>
    </row>
    <row r="14" spans="1:12" ht="13.2">
      <c r="A14" s="3719" t="s">
        <v>1281</v>
      </c>
      <c r="B14" s="3706">
        <v>30</v>
      </c>
      <c r="C14" s="3722"/>
      <c r="D14" s="3742"/>
      <c r="E14" s="131" t="s">
        <v>1282</v>
      </c>
      <c r="F14" s="1757"/>
      <c r="G14" s="1757"/>
      <c r="H14" s="1757"/>
      <c r="I14" s="1373"/>
    </row>
    <row r="15" spans="1:12" ht="13.2">
      <c r="A15" s="3719"/>
      <c r="B15" s="3706"/>
      <c r="C15" s="3723"/>
      <c r="D15" s="3742"/>
      <c r="E15" s="131" t="s">
        <v>1283</v>
      </c>
      <c r="F15" s="1757"/>
      <c r="G15" s="1757"/>
      <c r="H15" s="1757"/>
      <c r="I15" s="1373"/>
    </row>
    <row r="16" spans="1:12" ht="13.2">
      <c r="A16" s="3719"/>
      <c r="B16" s="3706"/>
      <c r="C16" s="3724"/>
      <c r="D16" s="3742"/>
      <c r="E16" s="131" t="s">
        <v>1284</v>
      </c>
      <c r="F16" s="1757"/>
      <c r="G16" s="1757"/>
      <c r="H16" s="1757"/>
      <c r="I16" s="1373"/>
    </row>
    <row r="17" spans="1:36" ht="14.4">
      <c r="A17" s="1758" t="s">
        <v>1285</v>
      </c>
      <c r="B17" s="56"/>
      <c r="C17" s="132">
        <f>SUM(C5:C16)</f>
        <v>10</v>
      </c>
      <c r="D17" s="132">
        <f>SUM(D5:D16)</f>
        <v>0</v>
      </c>
      <c r="E17" s="129"/>
      <c r="F17" s="129"/>
      <c r="G17" s="129"/>
      <c r="H17" s="129"/>
      <c r="I17" s="129"/>
      <c r="K17" s="302"/>
      <c r="L17" s="302" t="s">
        <v>1286</v>
      </c>
      <c r="M17" s="302" t="s">
        <v>1287</v>
      </c>
    </row>
    <row r="18" spans="1:36" ht="31.95" customHeight="1" thickBot="1">
      <c r="A18" s="1759" t="s">
        <v>1288</v>
      </c>
      <c r="B18" s="1760"/>
      <c r="C18" s="133">
        <f>ROUND(C17/SUM(C17:D17),2)</f>
        <v>1</v>
      </c>
      <c r="D18" s="133">
        <f>1-C18</f>
        <v>0</v>
      </c>
      <c r="E18" s="3729" t="s">
        <v>2131</v>
      </c>
      <c r="F18" s="3730"/>
      <c r="G18" s="3730"/>
      <c r="H18" s="3730"/>
      <c r="I18" s="3730"/>
      <c r="K18" s="302" t="s">
        <v>1289</v>
      </c>
      <c r="L18" s="302">
        <f>IF(C1="",'数据-汇总表'!E3,SUMIF(项目类型,C1,'数据-汇总表'!E17:E26)+SUMIF(项目类型,C1,'数据-汇总表'!I17:I26))</f>
        <v>79.7</v>
      </c>
      <c r="M18" s="302">
        <f>IF(C1="",'数据-汇总表'!E3,SUMIF(项目类型,C1,'数据-汇总表'!E17:E26))</f>
        <v>79.7</v>
      </c>
    </row>
    <row r="19" spans="1:36" ht="14.4">
      <c r="A19" s="1761" t="s">
        <v>1290</v>
      </c>
      <c r="B19" s="1762" t="s">
        <v>1291</v>
      </c>
      <c r="C19" s="134">
        <f ca="1">SUMIF(INDIRECT("'"&amp;C4&amp;"'"&amp;"!A:A"),结果表!B19,INDIRECT("'"&amp;C4&amp;"'"&amp;"!B:B"))</f>
        <v>41.180999999999997</v>
      </c>
      <c r="D19" s="135">
        <f ca="1">SUMIF(INDIRECT("'"&amp;D4&amp;"'"&amp;"!A:A"),结果表!B19,INDIRECT("'"&amp;D4&amp;"'"&amp;"!B:B"))</f>
        <v>69.263300000000001</v>
      </c>
      <c r="E19" s="1761" t="s">
        <v>1292</v>
      </c>
      <c r="F19" s="1762" t="s">
        <v>1291</v>
      </c>
      <c r="G19" s="136">
        <f ca="1">ROUND(C19*$C$18+D19*$D$18,0)</f>
        <v>41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5167</v>
      </c>
      <c r="D20" s="138">
        <f ca="1">SUMIF(INDIRECT("'"&amp;D4&amp;"'"&amp;"!A:A"),结果表!B20,INDIRECT("'"&amp;D4&amp;"'"&amp;"!B:B"))</f>
        <v>8691</v>
      </c>
      <c r="E20" s="1764"/>
      <c r="F20" s="1026" t="s">
        <v>1295</v>
      </c>
      <c r="G20" s="139">
        <f ca="1">ROUND(C20*$C$18+D20*$D$18,0)</f>
        <v>5167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0.68192370267841973</v>
      </c>
      <c r="E22" s="129"/>
      <c r="F22" s="129"/>
      <c r="G22" s="129"/>
      <c r="H22" s="129"/>
      <c r="I22" s="129"/>
    </row>
    <row r="23" spans="1:36" ht="13.8" thickBot="1">
      <c r="A23" s="1747"/>
      <c r="B23" s="1747"/>
      <c r="C23" s="1747"/>
      <c r="D23" s="1747"/>
      <c r="E23" s="129"/>
      <c r="F23" s="129"/>
      <c r="G23" s="129"/>
      <c r="H23" s="129"/>
      <c r="I23" s="129"/>
    </row>
    <row r="24" spans="1:36" ht="14.4">
      <c r="A24" s="3713" t="s">
        <v>1299</v>
      </c>
      <c r="B24" s="1762" t="s">
        <v>1291</v>
      </c>
      <c r="C24" s="136">
        <f>IF(B30=0,0,D30)</f>
        <v>0</v>
      </c>
      <c r="D24" s="1769"/>
      <c r="E24" s="129"/>
      <c r="F24" s="129"/>
      <c r="G24" s="129"/>
      <c r="H24" s="129"/>
      <c r="I24" s="129"/>
    </row>
    <row r="25" spans="1:36" ht="14.4">
      <c r="A25" s="371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5167</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33" t="s">
        <v>1312</v>
      </c>
      <c r="B36" s="1787" t="s">
        <v>1313</v>
      </c>
      <c r="C36" s="145"/>
      <c r="D36" s="1788"/>
      <c r="E36" s="1789"/>
      <c r="F36" s="1790"/>
      <c r="G36" s="129"/>
      <c r="H36" s="129"/>
      <c r="I36" s="129"/>
    </row>
    <row r="37" spans="1:15" ht="15" thickBot="1">
      <c r="A37" s="3734"/>
      <c r="B37" s="1674" t="s">
        <v>1314</v>
      </c>
      <c r="C37" s="147"/>
      <c r="D37" s="1139"/>
      <c r="E37" s="1139"/>
      <c r="F37" s="1790"/>
      <c r="G37" s="129"/>
      <c r="H37" s="129"/>
      <c r="I37" s="129"/>
    </row>
    <row r="38" spans="1:15" ht="15" thickBot="1">
      <c r="A38" s="373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10" t="s">
        <v>1326</v>
      </c>
      <c r="B45" s="3711"/>
      <c r="C45" s="3712"/>
      <c r="D45" s="155" t="e">
        <f ca="1">ROUND(H101*F45,0)</f>
        <v>#REF!</v>
      </c>
      <c r="E45" s="156" t="s">
        <v>1327</v>
      </c>
      <c r="F45" s="157">
        <v>1</v>
      </c>
      <c r="G45" s="158" t="s">
        <v>1328</v>
      </c>
      <c r="H45" s="129"/>
      <c r="I45" s="129"/>
      <c r="J45" s="3788" t="s">
        <v>1329</v>
      </c>
      <c r="K45" s="3788"/>
      <c r="L45" s="3788"/>
      <c r="M45" s="3788"/>
      <c r="N45" s="3788"/>
      <c r="O45" s="3788"/>
    </row>
    <row r="46" spans="1:15" ht="14.25" customHeight="1">
      <c r="A46" s="3707" t="s">
        <v>1330</v>
      </c>
      <c r="B46" s="3708"/>
      <c r="C46" s="3708"/>
      <c r="D46" s="3708"/>
      <c r="E46" s="3708"/>
      <c r="F46" s="3708"/>
      <c r="G46" s="3709"/>
      <c r="H46" s="1806"/>
      <c r="I46" s="159"/>
      <c r="J46" s="2523">
        <v>1</v>
      </c>
      <c r="K46" s="3769" t="s">
        <v>1331</v>
      </c>
      <c r="L46" s="3769"/>
      <c r="M46" s="3789"/>
      <c r="N46" s="3789"/>
      <c r="O46" s="3789"/>
    </row>
    <row r="47" spans="1:15" ht="12" customHeight="1">
      <c r="A47" s="160" t="s">
        <v>1332</v>
      </c>
      <c r="B47" s="161"/>
      <c r="C47" s="162"/>
      <c r="D47" s="1087" t="s">
        <v>1333</v>
      </c>
      <c r="E47" s="302" t="s">
        <v>1334</v>
      </c>
      <c r="F47" s="163" t="s">
        <v>1335</v>
      </c>
      <c r="G47" s="2546" t="s">
        <v>1336</v>
      </c>
      <c r="H47" s="2547"/>
      <c r="I47" s="159"/>
      <c r="J47" s="2523">
        <v>2</v>
      </c>
      <c r="K47" s="3769" t="s">
        <v>1337</v>
      </c>
      <c r="L47" s="3769"/>
      <c r="M47" s="3790">
        <f>'数据-取费表'!B2</f>
        <v>38260</v>
      </c>
      <c r="N47" s="3790"/>
      <c r="O47" s="3790"/>
    </row>
    <row r="48" spans="1:15" ht="26.4">
      <c r="A48" s="3738" t="s">
        <v>1338</v>
      </c>
      <c r="B48" s="3721"/>
      <c r="C48" s="372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69" t="s">
        <v>1340</v>
      </c>
      <c r="L48" s="3769"/>
      <c r="M48" s="3791" t="e">
        <f ca="1">H101</f>
        <v>#REF!</v>
      </c>
      <c r="N48" s="3791"/>
      <c r="O48" s="3791"/>
    </row>
    <row r="49" spans="1:35" ht="25.5" customHeight="1">
      <c r="A49" s="2333" t="s">
        <v>1341</v>
      </c>
      <c r="B49" s="3705" t="s">
        <v>1342</v>
      </c>
      <c r="C49" s="3705"/>
      <c r="D49" s="1590">
        <v>0</v>
      </c>
      <c r="E49" s="324" t="s">
        <v>1343</v>
      </c>
      <c r="F49" s="2424" t="s">
        <v>28</v>
      </c>
      <c r="G49" s="3775"/>
      <c r="H49" s="2310" t="s">
        <v>2134</v>
      </c>
      <c r="I49" s="2311"/>
      <c r="J49" s="2523">
        <v>4</v>
      </c>
      <c r="K49" s="3769" t="str">
        <f>IF(项目基本情况!E8="房地产抵押价值","房地产抵押价值","抵押担保权已注销时的房地产抵押价值")</f>
        <v>抵押担保权已注销时的房地产抵押价值</v>
      </c>
      <c r="L49" s="3769"/>
      <c r="M49" s="3791" t="str">
        <f>IF(项目基本情况!E8="房地产抵押价值",H107,H109)</f>
        <v>——</v>
      </c>
      <c r="N49" s="3791"/>
      <c r="O49" s="3791"/>
    </row>
    <row r="50" spans="1:35" ht="25.5" customHeight="1">
      <c r="A50" s="2551"/>
      <c r="B50" s="3705" t="s">
        <v>1344</v>
      </c>
      <c r="C50" s="3705"/>
      <c r="D50" s="2552"/>
      <c r="E50" s="332"/>
      <c r="F50" s="2424"/>
      <c r="G50" s="3776"/>
      <c r="H50" s="2312" t="s">
        <v>2135</v>
      </c>
      <c r="I50" s="2311"/>
      <c r="J50" s="3788" t="s">
        <v>1345</v>
      </c>
      <c r="K50" s="3788"/>
      <c r="L50" s="3788"/>
      <c r="M50" s="3788"/>
      <c r="N50" s="3788"/>
      <c r="O50" s="3788"/>
    </row>
    <row r="51" spans="1:35" ht="20.399999999999999" customHeight="1">
      <c r="A51" s="2553"/>
      <c r="B51" s="3705" t="s">
        <v>1346</v>
      </c>
      <c r="C51" s="3705"/>
      <c r="D51" s="1087"/>
      <c r="E51" s="327"/>
      <c r="F51" s="2424"/>
      <c r="G51" s="3777"/>
      <c r="H51" s="2312" t="s">
        <v>2136</v>
      </c>
      <c r="I51" s="2311"/>
      <c r="J51" s="2524" t="s">
        <v>1347</v>
      </c>
      <c r="K51" s="3769" t="s">
        <v>1348</v>
      </c>
      <c r="L51" s="3769"/>
      <c r="M51" s="2524" t="s">
        <v>1349</v>
      </c>
      <c r="N51" s="2524" t="s">
        <v>1350</v>
      </c>
      <c r="O51" s="2524" t="s">
        <v>1351</v>
      </c>
    </row>
    <row r="52" spans="1:35" ht="24" customHeight="1">
      <c r="A52" s="2335" t="s">
        <v>1352</v>
      </c>
      <c r="B52" s="3705" t="s">
        <v>1353</v>
      </c>
      <c r="C52" s="3705"/>
      <c r="D52" s="1087" t="e">
        <f ca="1">ROUND(D45*'数据-取费表'!B41/(1+'数据-取费表'!C42),0)</f>
        <v>#REF!</v>
      </c>
      <c r="E52" s="2334" t="s">
        <v>1354</v>
      </c>
      <c r="F52" s="2554">
        <f>'数据-取费表'!B41</f>
        <v>5.6000000000000001E-2</v>
      </c>
      <c r="G52" s="2555"/>
      <c r="H52" s="2544"/>
      <c r="I52" s="1807"/>
      <c r="J52" s="2523">
        <v>1</v>
      </c>
      <c r="K52" s="3770" t="s">
        <v>1355</v>
      </c>
      <c r="L52" s="3770"/>
      <c r="M52" s="2525" t="b">
        <f>D48</f>
        <v>0</v>
      </c>
      <c r="N52" s="2523" t="str">
        <f>E48</f>
        <v>销售额×税（费）率</v>
      </c>
      <c r="O52" s="2526">
        <f>F48</f>
        <v>5.6000000000000001E-2</v>
      </c>
    </row>
    <row r="53" spans="1:35" ht="12" customHeight="1">
      <c r="A53" s="2335" t="s">
        <v>1356</v>
      </c>
      <c r="B53" s="3731" t="s">
        <v>2291</v>
      </c>
      <c r="C53" s="3732"/>
      <c r="D53" s="1087" t="e">
        <f ca="1">ROUND(D45*'数据-取费表'!B41/(1+'数据-取费表'!C42),0)</f>
        <v>#REF!</v>
      </c>
      <c r="E53" s="2334" t="s">
        <v>1354</v>
      </c>
      <c r="F53" s="2554">
        <f>'数据-取费表'!B41</f>
        <v>5.6000000000000001E-2</v>
      </c>
      <c r="G53" s="2555"/>
      <c r="H53" s="2544"/>
      <c r="I53" s="1807"/>
      <c r="J53" s="2523">
        <v>2</v>
      </c>
      <c r="K53" s="3770" t="s">
        <v>1357</v>
      </c>
      <c r="L53" s="3770"/>
      <c r="M53" s="2525" t="e">
        <f t="shared" ref="M53:O54" ca="1" si="0">D55</f>
        <v>#REF!</v>
      </c>
      <c r="N53" s="2523" t="str">
        <f t="shared" si="0"/>
        <v>销售额×税（费）率</v>
      </c>
      <c r="O53" s="2526" t="str">
        <f t="shared" si="0"/>
        <v>免征</v>
      </c>
    </row>
    <row r="54" spans="1:35" ht="12" customHeight="1">
      <c r="A54" s="2335" t="s">
        <v>1358</v>
      </c>
      <c r="B54" s="3731" t="s">
        <v>2292</v>
      </c>
      <c r="C54" s="3732"/>
      <c r="D54" s="1087" t="e">
        <f ca="1">C68</f>
        <v>#REF!</v>
      </c>
      <c r="E54" s="327" t="s">
        <v>1359</v>
      </c>
      <c r="F54" s="2554">
        <f>'数据-取费表'!B41</f>
        <v>5.6000000000000001E-2</v>
      </c>
      <c r="G54" s="2555"/>
      <c r="H54" s="2556"/>
      <c r="I54" s="1807"/>
      <c r="J54" s="2523">
        <v>3</v>
      </c>
      <c r="K54" s="3770" t="s">
        <v>1360</v>
      </c>
      <c r="L54" s="3770"/>
      <c r="M54" s="2525" t="e">
        <f t="shared" ca="1" si="0"/>
        <v>#REF!</v>
      </c>
      <c r="N54" s="2523" t="str">
        <f t="shared" si="0"/>
        <v>增值额×税（费）率</v>
      </c>
      <c r="O54" s="2527" t="str">
        <f t="shared" si="0"/>
        <v>免征</v>
      </c>
    </row>
    <row r="55" spans="1:35" ht="24" customHeight="1">
      <c r="A55" s="3720" t="s">
        <v>1361</v>
      </c>
      <c r="B55" s="3721"/>
      <c r="C55" s="3721"/>
      <c r="D55" s="2324" t="e">
        <f ca="1">IF(H55="个人住宅",0,ROUND(D45*I55,0))</f>
        <v>#REF!</v>
      </c>
      <c r="E55" s="2334" t="s">
        <v>1362</v>
      </c>
      <c r="F55" s="2554" t="str">
        <f>IF(H55="正常",I55,"免征")</f>
        <v>免征</v>
      </c>
      <c r="G55" s="2555"/>
      <c r="H55" s="2550"/>
      <c r="I55" s="165">
        <f>'数据-取费表'!B49</f>
        <v>5.0000000000000001E-4</v>
      </c>
      <c r="J55" s="2523">
        <f>IF(H59="非个人房产","",4)</f>
        <v>4</v>
      </c>
      <c r="K55" s="3770" t="str">
        <f>IF(H59="非个人房产","——","个人所得税")</f>
        <v>个人所得税</v>
      </c>
      <c r="L55" s="3770"/>
      <c r="M55" s="2528" t="e">
        <f ca="1">D59</f>
        <v>#REF!</v>
      </c>
      <c r="N55" s="2040" t="str">
        <f>E59</f>
        <v>差额计税</v>
      </c>
      <c r="O55" s="2529">
        <f>F59</f>
        <v>0.01</v>
      </c>
    </row>
    <row r="56" spans="1:35" ht="25.2">
      <c r="A56" s="3720" t="s">
        <v>1363</v>
      </c>
      <c r="B56" s="3721"/>
      <c r="C56" s="3721"/>
      <c r="D56" s="2324" t="e">
        <f ca="1">IF(H56="个人住宅",D57,D58)</f>
        <v>#REF!</v>
      </c>
      <c r="E56" s="2334" t="s">
        <v>1364</v>
      </c>
      <c r="F56" s="2554" t="str">
        <f>IF(H56="正常",F58,"免征")</f>
        <v>免征</v>
      </c>
      <c r="G56" s="2557" t="s">
        <v>1365</v>
      </c>
      <c r="H56" s="2558"/>
      <c r="I56" s="1808"/>
      <c r="J56" s="2523" t="str">
        <f>IF(项目基本情况!K6="上海银行",IF(J55="",4,J55+1),"")</f>
        <v/>
      </c>
      <c r="K56" s="3793" t="str">
        <f>IF(项目基本情况!K6="上海银行","其他处置费用","")</f>
        <v/>
      </c>
      <c r="L56" s="3794"/>
      <c r="M56" s="2525" t="str">
        <f>IF(项目基本情况!K6="上海银行",M69,"")</f>
        <v/>
      </c>
      <c r="N56" s="3793" t="str">
        <f>IF(项目基本情况!K6="上海银行","包含处置中涉及的律师、诉讼、拍卖、评估等费用","")</f>
        <v/>
      </c>
      <c r="O56" s="3796"/>
    </row>
    <row r="57" spans="1:35" ht="13.2">
      <c r="A57" s="2335" t="s">
        <v>1341</v>
      </c>
      <c r="B57" s="3731" t="s">
        <v>1366</v>
      </c>
      <c r="C57" s="3732"/>
      <c r="D57" s="1590">
        <v>0</v>
      </c>
      <c r="E57" s="324" t="s">
        <v>1343</v>
      </c>
      <c r="F57" s="302"/>
      <c r="G57" s="2555"/>
      <c r="H57" s="2559"/>
      <c r="I57" s="1808"/>
      <c r="J57" s="3770">
        <f>IF(AND(J55="",J56=""),4,IF(项目基本情况!K6="上海银行",结果表!J56+1,结果表!J55+1))</f>
        <v>5</v>
      </c>
      <c r="K57" s="3770" t="s">
        <v>1367</v>
      </c>
      <c r="L57" s="2530" t="s">
        <v>1368</v>
      </c>
      <c r="M57" s="2531"/>
      <c r="N57" s="2532">
        <f ca="1">SUMIF(M52:M56,"&lt;9e307")</f>
        <v>0</v>
      </c>
      <c r="O57" s="2533"/>
      <c r="P57" s="2690" t="e">
        <f ca="1">N57/M49</f>
        <v>#VALUE!</v>
      </c>
    </row>
    <row r="58" spans="1:35" ht="25.2">
      <c r="A58" s="2335" t="s">
        <v>1352</v>
      </c>
      <c r="B58" s="3731" t="s">
        <v>1369</v>
      </c>
      <c r="C58" s="3705"/>
      <c r="D58" s="2324" t="e">
        <f ca="1">IF(H58="转让取得",C81,C97)</f>
        <v>#REF!</v>
      </c>
      <c r="E58" s="2334" t="s">
        <v>1364</v>
      </c>
      <c r="F58" s="302" t="s">
        <v>28</v>
      </c>
      <c r="G58" s="2555"/>
      <c r="H58" s="2558"/>
      <c r="I58" s="1808"/>
      <c r="J58" s="3770"/>
      <c r="K58" s="3770"/>
      <c r="L58" s="2530" t="s">
        <v>1370</v>
      </c>
      <c r="M58" s="2534"/>
      <c r="N58" s="2535" t="str">
        <f ca="1">NUMBERSTRING(INT(N57*10000),2)&amp;"元整"</f>
        <v>零元整</v>
      </c>
      <c r="O58" s="2536"/>
    </row>
    <row r="59" spans="1:35" ht="24.6" thickBot="1">
      <c r="A59" s="3773" t="s">
        <v>1371</v>
      </c>
      <c r="B59" s="3774"/>
      <c r="C59" s="377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71">
        <f>J57+1</f>
        <v>6</v>
      </c>
      <c r="K59" s="3770" t="s">
        <v>1372</v>
      </c>
      <c r="L59" s="2523" t="s">
        <v>1368</v>
      </c>
      <c r="M59" s="2537"/>
      <c r="N59" s="2538" t="e">
        <f ca="1">M49-N57</f>
        <v>#VALUE!</v>
      </c>
      <c r="O59" s="2539"/>
    </row>
    <row r="60" spans="1:35" ht="12" customHeight="1">
      <c r="A60" s="1809"/>
      <c r="B60" s="1747"/>
      <c r="C60" s="1747"/>
      <c r="D60" s="1747"/>
      <c r="E60" s="1578"/>
      <c r="F60" s="1808"/>
      <c r="G60" s="1808"/>
      <c r="H60" s="1810"/>
      <c r="I60" s="129"/>
      <c r="J60" s="3772"/>
      <c r="K60" s="3770"/>
      <c r="L60" s="2530" t="s">
        <v>1370</v>
      </c>
      <c r="M60" s="2534"/>
      <c r="N60" s="2535" t="e">
        <f ca="1">NUMBERSTRING(INT(N59*10000),2)&amp;"元整"</f>
        <v>#VALUE!</v>
      </c>
      <c r="O60" s="2536"/>
    </row>
    <row r="61" spans="1:35" ht="13.8" thickBot="1">
      <c r="A61" s="3718" t="s">
        <v>1373</v>
      </c>
      <c r="B61" s="3718"/>
      <c r="C61" s="3718"/>
      <c r="D61" s="3718"/>
      <c r="E61" s="3718"/>
      <c r="F61" s="1808"/>
      <c r="G61" s="1808"/>
      <c r="H61" s="1810"/>
      <c r="I61" s="129"/>
      <c r="J61" s="2523">
        <f>J59+1</f>
        <v>7</v>
      </c>
      <c r="K61" s="3770" t="s">
        <v>1374</v>
      </c>
      <c r="L61" s="3770"/>
      <c r="M61" s="2540"/>
      <c r="N61" s="2541" t="e">
        <f ca="1">ROUND(N59*10000/'数据-汇总表'!E3,0)</f>
        <v>#VALUE!</v>
      </c>
      <c r="O61" s="2542"/>
    </row>
    <row r="62" spans="1:35" ht="13.2">
      <c r="A62" s="3736" t="s">
        <v>1375</v>
      </c>
      <c r="B62" s="373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9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9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9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9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9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9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9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57" t="s">
        <v>1394</v>
      </c>
      <c r="B70" s="3758"/>
      <c r="C70" s="3758"/>
      <c r="D70" s="3758"/>
      <c r="E70" s="3758"/>
      <c r="F70" s="3758"/>
      <c r="G70" s="3758"/>
      <c r="H70" s="375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36" t="s">
        <v>1375</v>
      </c>
      <c r="B71" s="373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31" t="s">
        <v>1402</v>
      </c>
      <c r="F76" s="3705"/>
      <c r="G76" s="3705"/>
      <c r="H76" s="375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15" t="s">
        <v>1406</v>
      </c>
      <c r="F78" s="3716"/>
      <c r="G78" s="3716"/>
      <c r="H78" s="37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57" t="s">
        <v>1410</v>
      </c>
      <c r="B83" s="3758"/>
      <c r="C83" s="3758"/>
      <c r="D83" s="3758"/>
      <c r="E83" s="3758"/>
      <c r="F83" s="3758"/>
      <c r="G83" s="3758"/>
      <c r="H83" s="375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36" t="s">
        <v>1375</v>
      </c>
      <c r="B84" s="373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97" t="s">
        <v>2129</v>
      </c>
      <c r="H90" s="379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15" t="s">
        <v>1419</v>
      </c>
      <c r="F91" s="3716"/>
      <c r="G91" s="37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15" t="s">
        <v>1422</v>
      </c>
      <c r="F92" s="3716"/>
      <c r="G92" s="3716"/>
      <c r="H92" s="372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15" t="s">
        <v>1406</v>
      </c>
      <c r="F93" s="3716"/>
      <c r="G93" s="3716"/>
      <c r="H93" s="37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26" t="s">
        <v>1426</v>
      </c>
      <c r="F94" s="3727"/>
      <c r="G94" s="3727"/>
      <c r="H94" s="372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9" t="s">
        <v>1428</v>
      </c>
      <c r="B100" s="3700"/>
      <c r="C100" s="3700"/>
      <c r="D100" s="3717"/>
      <c r="E100" s="3700" t="s">
        <v>1429</v>
      </c>
      <c r="F100" s="3700"/>
      <c r="G100" s="3700"/>
      <c r="H100" s="3717"/>
      <c r="I100" s="129"/>
    </row>
    <row r="101" spans="1:35" ht="18.75" customHeight="1">
      <c r="A101" s="3778" t="s">
        <v>1430</v>
      </c>
      <c r="B101" s="3779"/>
      <c r="C101" s="2585" t="str">
        <f>C4</f>
        <v>比较法-住宅</v>
      </c>
      <c r="D101" s="2586" t="str">
        <f>D4</f>
        <v>成本法 (元)</v>
      </c>
      <c r="E101" s="3792" t="s">
        <v>1431</v>
      </c>
      <c r="F101" s="3749"/>
      <c r="G101" s="1827" t="s">
        <v>1432</v>
      </c>
      <c r="H101" s="2595" t="e">
        <f ca="1">H118</f>
        <v>#REF!</v>
      </c>
      <c r="I101" s="129"/>
    </row>
    <row r="102" spans="1:35" ht="18.75" customHeight="1">
      <c r="A102" s="3751" t="s">
        <v>1433</v>
      </c>
      <c r="B102" s="2584" t="s">
        <v>1432</v>
      </c>
      <c r="C102" s="2585">
        <f ca="1">IF(D32="楼面单价",ROUND(C19,0),C19)</f>
        <v>41.180999999999997</v>
      </c>
      <c r="D102" s="2586">
        <f ca="1">IF(D32="楼面单价",ROUND(D19,0),D19)</f>
        <v>69.263300000000001</v>
      </c>
      <c r="E102" s="3792"/>
      <c r="F102" s="3749"/>
      <c r="G102" s="1827" t="s">
        <v>1434</v>
      </c>
      <c r="H102" s="2555" t="e">
        <f ca="1">I118</f>
        <v>#REF!</v>
      </c>
      <c r="I102" s="129"/>
    </row>
    <row r="103" spans="1:35" ht="42.75" customHeight="1">
      <c r="A103" s="3751"/>
      <c r="B103" s="2584" t="s">
        <v>1434</v>
      </c>
      <c r="C103" s="2587">
        <f ca="1">C20</f>
        <v>5167</v>
      </c>
      <c r="D103" s="2588">
        <f ca="1">D20</f>
        <v>8691</v>
      </c>
      <c r="E103" s="3786" t="s">
        <v>1435</v>
      </c>
      <c r="F103" s="3787"/>
      <c r="G103" s="1828" t="s">
        <v>1436</v>
      </c>
      <c r="H103" s="2595">
        <f>IF(D36="正常操作",H104+H105+H106,H105+H106)</f>
        <v>0</v>
      </c>
      <c r="I103" s="129"/>
    </row>
    <row r="104" spans="1:35" ht="18.75" customHeight="1">
      <c r="A104" s="375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5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48" t="str">
        <f>IF(项目基本情况!E8="已注销","——","3.房地产抵押价值")</f>
        <v>3.房地产抵押价值</v>
      </c>
      <c r="F107" s="3749"/>
      <c r="G107" s="1827" t="s">
        <v>1432</v>
      </c>
      <c r="H107" s="2595" t="e">
        <f ca="1">IF(E107="——","——",H101-H103)</f>
        <v>#REF!</v>
      </c>
      <c r="I107" s="129"/>
    </row>
    <row r="108" spans="1:35" ht="18.75" customHeight="1">
      <c r="A108" s="129"/>
      <c r="B108" s="129"/>
      <c r="C108" s="129"/>
      <c r="D108" s="129"/>
      <c r="E108" s="3748"/>
      <c r="F108" s="3749"/>
      <c r="G108" s="1827" t="s">
        <v>1434</v>
      </c>
      <c r="H108" s="2555">
        <f ca="1">IF(H107=H101,H102,ROUND(H107*10000/'数据-汇总表'!E3,0))</f>
        <v>0</v>
      </c>
      <c r="I108" s="129"/>
    </row>
    <row r="109" spans="1:35" ht="18.75" customHeight="1">
      <c r="A109" s="129"/>
      <c r="B109" s="129"/>
      <c r="C109" s="129"/>
      <c r="D109" s="129"/>
      <c r="E109" s="3748" t="str">
        <f>IF(项目基本情况!E8="已注销及未注销","4.抵押担保权已注销时的房地产抵押价值",IF(项目基本情况!E8="已注销","3.抵押担保权已注销时的房地产抵押价值","——"))</f>
        <v>——</v>
      </c>
      <c r="F109" s="3749"/>
      <c r="G109" s="1827" t="s">
        <v>1432</v>
      </c>
      <c r="H109" s="2598" t="str">
        <f>IF(E109="——","——",H101-H105-H106)</f>
        <v>——</v>
      </c>
      <c r="I109" s="129"/>
    </row>
    <row r="110" spans="1:35" ht="18.75" customHeight="1">
      <c r="A110" s="129"/>
      <c r="B110" s="129"/>
      <c r="C110" s="129"/>
      <c r="D110" s="129"/>
      <c r="E110" s="3748"/>
      <c r="F110" s="3749"/>
      <c r="G110" s="1827" t="s">
        <v>1434</v>
      </c>
      <c r="H110" s="2555" t="str">
        <f>IF(H109="——","——",ROUND(H109*10000/'数据-汇总表'!E3,0))</f>
        <v>——</v>
      </c>
      <c r="I110" s="129"/>
    </row>
    <row r="111" spans="1:35" ht="18.75" customHeight="1">
      <c r="A111" s="129"/>
      <c r="B111" s="129"/>
      <c r="C111" s="129"/>
      <c r="D111" s="129"/>
      <c r="E111" s="3780" t="str">
        <f>IF(项目基本情况!E9="抵押净值",IF(OR(项目基本情况!E8="已注销",项目基本情况!E8="房地产抵押价值"),"4.抵押净值","5.抵押净值"),"——")</f>
        <v>——</v>
      </c>
      <c r="F111" s="3750"/>
      <c r="G111" s="1827" t="s">
        <v>1432</v>
      </c>
      <c r="H111" s="2595" t="str">
        <f>IF(E111="——","——",N59)</f>
        <v>——</v>
      </c>
      <c r="I111" s="129"/>
    </row>
    <row r="112" spans="1:35" ht="18.75" customHeight="1" thickBot="1">
      <c r="A112" s="129"/>
      <c r="B112" s="129"/>
      <c r="C112" s="129"/>
      <c r="D112" s="129"/>
      <c r="E112" s="3781"/>
      <c r="F112" s="3782"/>
      <c r="G112" s="1830" t="s">
        <v>1434</v>
      </c>
      <c r="H112" s="2599" t="str">
        <f>IF(E111="——","——",N61)</f>
        <v>——</v>
      </c>
      <c r="I112" s="129"/>
    </row>
    <row r="113" spans="1:27" ht="18.75" customHeight="1">
      <c r="A113" s="129"/>
      <c r="B113" s="129"/>
      <c r="C113" s="129"/>
      <c r="D113" s="129"/>
      <c r="E113" s="3753" t="s">
        <v>1440</v>
      </c>
      <c r="F113" s="3753"/>
      <c r="G113" s="3753"/>
      <c r="H113" s="3753"/>
      <c r="I113" s="129"/>
    </row>
    <row r="114" spans="1:27" ht="3.75" customHeight="1">
      <c r="A114" s="1747"/>
      <c r="B114" s="1747"/>
      <c r="C114" s="1747"/>
      <c r="D114" s="1747"/>
      <c r="E114" s="1809"/>
      <c r="F114" s="1809"/>
      <c r="G114" s="1809"/>
      <c r="H114" s="1809"/>
      <c r="I114" s="1747"/>
    </row>
    <row r="115" spans="1:27" ht="18.75" customHeight="1">
      <c r="A115" s="3763" t="s">
        <v>1442</v>
      </c>
      <c r="B115" s="3764"/>
      <c r="C115" s="3764"/>
      <c r="D115" s="3764"/>
      <c r="E115" s="3764"/>
      <c r="F115" s="3764"/>
      <c r="G115" s="3764"/>
      <c r="H115" s="3764"/>
      <c r="I115" s="3765"/>
    </row>
    <row r="116" spans="1:27" ht="27" customHeight="1">
      <c r="A116" s="3719" t="s">
        <v>1443</v>
      </c>
      <c r="B116" s="3754" t="s">
        <v>1444</v>
      </c>
      <c r="C116" s="3754" t="s">
        <v>1445</v>
      </c>
      <c r="D116" s="3767" t="s">
        <v>1446</v>
      </c>
      <c r="E116" s="3768"/>
      <c r="F116" s="3762" t="s">
        <v>1447</v>
      </c>
      <c r="G116" s="3762"/>
      <c r="H116" s="3719" t="s">
        <v>1448</v>
      </c>
      <c r="I116" s="3719"/>
    </row>
    <row r="117" spans="1:27" ht="18.75" customHeight="1">
      <c r="A117" s="3719"/>
      <c r="B117" s="3755"/>
      <c r="C117" s="375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9" t="s">
        <v>1452</v>
      </c>
      <c r="B119" s="3719"/>
      <c r="C119" s="3719"/>
      <c r="D119" s="3759" t="e">
        <f ca="1">NUMBERSTRING(INT(D118*10000),2)&amp;"元整"</f>
        <v>#REF!</v>
      </c>
      <c r="E119" s="3761"/>
      <c r="F119" s="3759" t="e">
        <f ca="1">NUMBERSTRING(INT(F118*10000),2)&amp;"元整"</f>
        <v>#REF!</v>
      </c>
      <c r="G119" s="3761"/>
      <c r="H119" s="3759" t="e">
        <f ca="1">NUMBERSTRING(INT(H118*10000),2)&amp;"元整"</f>
        <v>#REF!</v>
      </c>
      <c r="I119" s="3761"/>
    </row>
    <row r="120" spans="1:27" ht="18.75" customHeight="1">
      <c r="A120" s="3783" t="str">
        <f>IF(项目基本情况!B9="房地产市场价值","",MID(E103,3,LEN(E103)-2))</f>
        <v/>
      </c>
      <c r="B120" s="3784"/>
      <c r="C120" s="3785"/>
      <c r="D120" s="3783">
        <f>H103</f>
        <v>0</v>
      </c>
      <c r="E120" s="3784"/>
      <c r="F120" s="3784"/>
      <c r="G120" s="3784"/>
      <c r="H120" s="3784"/>
      <c r="I120" s="378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59" t="s">
        <v>1452</v>
      </c>
      <c r="B121" s="3760"/>
      <c r="C121" s="3761"/>
      <c r="D121" s="3759" t="str">
        <f>IF(D120=0,"零元整",NUMBERSTRING(INT(D120*10000),2)&amp;"元整")</f>
        <v>零元整</v>
      </c>
      <c r="E121" s="3760"/>
      <c r="F121" s="3760"/>
      <c r="G121" s="3760"/>
      <c r="H121" s="3760"/>
      <c r="I121" s="3761"/>
      <c r="AA121" s="725"/>
    </row>
    <row r="122" spans="1:27" ht="18.75" customHeight="1">
      <c r="A122" s="3750" t="str">
        <f>IF(项目基本情况!B9="房地产市场价值","",MID(E107,3,LEN(E107)-2))</f>
        <v/>
      </c>
      <c r="B122" s="3750"/>
      <c r="C122" s="3750"/>
      <c r="D122" s="3783" t="e">
        <f ca="1">H107</f>
        <v>#REF!</v>
      </c>
      <c r="E122" s="3784"/>
      <c r="F122" s="3784"/>
      <c r="G122" s="3784"/>
      <c r="H122" s="3784"/>
      <c r="I122" s="3785"/>
      <c r="AA122" s="725"/>
    </row>
    <row r="123" spans="1:27" ht="18.75" customHeight="1">
      <c r="A123" s="3719" t="s">
        <v>1452</v>
      </c>
      <c r="B123" s="3719"/>
      <c r="C123" s="3719"/>
      <c r="D123" s="3759" t="e">
        <f ca="1">NUMBERSTRING(INT(D122*10000),2)&amp;"元整"</f>
        <v>#REF!</v>
      </c>
      <c r="E123" s="3760"/>
      <c r="F123" s="3760"/>
      <c r="G123" s="3760"/>
      <c r="H123" s="3760"/>
      <c r="I123" s="3761"/>
      <c r="AA123" s="725"/>
    </row>
    <row r="124" spans="1:27" ht="18.75" customHeight="1">
      <c r="A124" s="3750" t="str">
        <f>IF(项目基本情况!B9="房地产市场价值","",MID(E109,3,LEN(E109)-2))</f>
        <v/>
      </c>
      <c r="B124" s="3750"/>
      <c r="C124" s="3750"/>
      <c r="D124" s="3783" t="str">
        <f>H109</f>
        <v>——</v>
      </c>
      <c r="E124" s="3784"/>
      <c r="F124" s="3784"/>
      <c r="G124" s="3784"/>
      <c r="H124" s="3784"/>
      <c r="I124" s="3785"/>
      <c r="AA124" s="725"/>
    </row>
    <row r="125" spans="1:27" ht="18.75" customHeight="1">
      <c r="A125" s="3719" t="s">
        <v>1452</v>
      </c>
      <c r="B125" s="3719"/>
      <c r="C125" s="3719"/>
      <c r="D125" s="3759" t="e">
        <f>NUMBERSTRING(INT(D124*10000),2)&amp;"元整"</f>
        <v>#VALUE!</v>
      </c>
      <c r="E125" s="3760"/>
      <c r="F125" s="3760"/>
      <c r="G125" s="3760"/>
      <c r="H125" s="3760"/>
      <c r="I125" s="3761"/>
      <c r="AA125" s="725"/>
    </row>
    <row r="126" spans="1:27" ht="18.75" customHeight="1">
      <c r="A126" s="3750" t="str">
        <f>IF(项目基本情况!B9="房地产市场价值","",MID(E111,3,LEN(E111)-2))</f>
        <v/>
      </c>
      <c r="B126" s="3750"/>
      <c r="C126" s="3750"/>
      <c r="D126" s="3783" t="str">
        <f>H111</f>
        <v>——</v>
      </c>
      <c r="E126" s="3784"/>
      <c r="F126" s="3784"/>
      <c r="G126" s="3784"/>
      <c r="H126" s="3784"/>
      <c r="I126" s="3785"/>
      <c r="AA126" s="725"/>
    </row>
    <row r="127" spans="1:27" ht="18.75" customHeight="1">
      <c r="A127" s="3719" t="s">
        <v>1452</v>
      </c>
      <c r="B127" s="3719"/>
      <c r="C127" s="3719"/>
      <c r="D127" s="3759" t="e">
        <f>NUMBERSTRING(INT(D126*10000),2)&amp;"元整"</f>
        <v>#VALUE!</v>
      </c>
      <c r="E127" s="3760"/>
      <c r="F127" s="3760"/>
      <c r="G127" s="3760"/>
      <c r="H127" s="3760"/>
      <c r="I127" s="3761"/>
      <c r="AA127" s="725"/>
    </row>
    <row r="128" spans="1:27" ht="21.75" customHeight="1">
      <c r="A128" s="3766" t="s">
        <v>1453</v>
      </c>
      <c r="B128" s="3766"/>
      <c r="C128" s="3766"/>
      <c r="D128" s="3766"/>
      <c r="E128" s="3766"/>
      <c r="F128" s="3766"/>
      <c r="G128" s="3766"/>
      <c r="H128" s="3766"/>
      <c r="I128" s="37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3011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79.7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79.7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5.4900000000000004E-2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2</v>
      </c>
      <c r="D37" s="217">
        <f ca="1">D19</f>
        <v>79.7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5.4900000000000004E-2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99" t="s">
        <v>1544</v>
      </c>
    </row>
    <row r="43" spans="1:7" ht="13.5" customHeight="1">
      <c r="A43" s="780" t="s">
        <v>347</v>
      </c>
      <c r="B43" s="215" t="s">
        <v>1545</v>
      </c>
      <c r="C43" s="238">
        <f ca="1">ROUND(IF('数据-取费表'!B22&lt;=1,C39*F22*'数据-取费表'!B21/2,C39*(POWER((1+F22),'数据-取费表'!B21/2)-1)),0)</f>
        <v>0</v>
      </c>
      <c r="D43" s="238"/>
      <c r="E43" s="238"/>
      <c r="F43" s="239"/>
      <c r="G43" s="3800"/>
    </row>
    <row r="44" spans="1:7" ht="13.5" customHeight="1">
      <c r="A44" s="780" t="s">
        <v>348</v>
      </c>
      <c r="B44" s="215" t="s">
        <v>1546</v>
      </c>
      <c r="C44" s="238">
        <f ca="1">ROUND(IF('数据-取费表'!B22&lt;=1,C40*F22*'数据-取费表'!B21/2,C40*(POWER((1+F22),'数据-取费表'!B21/2)-1)),4)</f>
        <v>5.0000000000000001E-4</v>
      </c>
      <c r="D44" s="238"/>
      <c r="E44" s="238"/>
      <c r="F44" s="239"/>
      <c r="G44" s="3801"/>
    </row>
    <row r="45" spans="1:7" s="214" customFormat="1" ht="13.5" customHeight="1">
      <c r="A45" s="255" t="s">
        <v>1547</v>
      </c>
      <c r="B45" s="244" t="s">
        <v>1513</v>
      </c>
      <c r="C45" s="245">
        <f ca="1">C46</f>
        <v>2</v>
      </c>
      <c r="D45" s="235">
        <f ca="1">C47</f>
        <v>8.0000000000000004E-4</v>
      </c>
      <c r="E45" s="236" t="s">
        <v>1539</v>
      </c>
      <c r="F45" s="246">
        <f ca="1">F27</f>
        <v>0.08</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22</v>
      </c>
      <c r="D51" s="232"/>
      <c r="E51" s="232"/>
      <c r="F51" s="264"/>
      <c r="G51" s="234" t="s">
        <v>1560</v>
      </c>
    </row>
    <row r="52" spans="1:7" s="208" customFormat="1" ht="16.8" thickBot="1">
      <c r="A52" s="265" t="s">
        <v>1561</v>
      </c>
      <c r="B52" s="266"/>
      <c r="C52" s="267">
        <f ca="1">C31+C51</f>
        <v>24</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16" t="str">
        <f>项目基本情况!B1</f>
        <v>北京市房地产市场价值预评估</v>
      </c>
      <c r="C37" s="3616"/>
      <c r="D37" s="3616"/>
      <c r="E37" s="3616"/>
      <c r="F37" s="3616"/>
      <c r="G37" s="3616"/>
      <c r="H37" s="3616"/>
      <c r="I37" s="361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69.263300000000001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8691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369343</v>
      </c>
      <c r="D5" s="211" t="s">
        <v>1469</v>
      </c>
      <c r="E5" s="212" t="s">
        <v>1470</v>
      </c>
      <c r="F5" s="212" t="s">
        <v>1471</v>
      </c>
      <c r="G5" s="213"/>
    </row>
    <row r="6" spans="1:8" s="214" customFormat="1" ht="13.5" customHeight="1">
      <c r="A6" s="778" t="s">
        <v>1472</v>
      </c>
      <c r="B6" s="215" t="s">
        <v>1473</v>
      </c>
      <c r="C6" s="216">
        <f>'[2]2002基准地价'!$E$18</f>
        <v>358411</v>
      </c>
      <c r="D6" s="217"/>
      <c r="E6" s="218"/>
      <c r="F6" s="218"/>
      <c r="G6" s="219"/>
    </row>
    <row r="7" spans="1:8" s="214" customFormat="1" ht="13.5" customHeight="1">
      <c r="A7" s="778" t="s">
        <v>1474</v>
      </c>
      <c r="B7" s="215" t="s">
        <v>1475</v>
      </c>
      <c r="C7" s="220">
        <f>ROUND(C6*F7,0)</f>
        <v>10932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12752</v>
      </c>
      <c r="D9" s="845">
        <f ca="1">IF(B1="",'数据-汇总表'!E5,IF(INDIRECT("'数据-取费表'!c"&amp;$G$1)="住宅",INDIRECT("'数据-取费表'!k"&amp;$G$1),0))</f>
        <v>79.7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79.7</v>
      </c>
      <c r="E19" s="211">
        <f>'数据-取费表'!B31</f>
        <v>200</v>
      </c>
      <c r="F19" s="231"/>
      <c r="G19" s="1856" t="s">
        <v>3422</v>
      </c>
    </row>
    <row r="20" spans="1:7" s="214" customFormat="1" ht="13.5" customHeight="1">
      <c r="A20" s="255" t="s">
        <v>1574</v>
      </c>
      <c r="B20" s="210" t="s">
        <v>1575</v>
      </c>
      <c r="C20" s="232">
        <f>ROUND((C5+C19)*F20,0)</f>
        <v>3693</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41870</v>
      </c>
      <c r="D22" s="235">
        <f ca="1">C26</f>
        <v>5.0000000000000001E-4</v>
      </c>
      <c r="E22" s="236" t="s">
        <v>1579</v>
      </c>
      <c r="F22" s="237">
        <f ca="1">'数据-取费表'!B40</f>
        <v>5.4900000000000004E-2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41667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203</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29843</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29843</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476840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234120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199250</v>
      </c>
      <c r="D34" s="217"/>
      <c r="E34" s="220"/>
      <c r="F34" s="257"/>
      <c r="G34" s="219"/>
    </row>
    <row r="35" spans="1:7" ht="13.5" customHeight="1">
      <c r="A35" s="780" t="s">
        <v>351</v>
      </c>
      <c r="B35" s="215" t="s">
        <v>1527</v>
      </c>
      <c r="C35" s="220">
        <f ca="1">ROUND(C34*F35,0)</f>
        <v>5978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9963</v>
      </c>
      <c r="D36" s="220"/>
      <c r="E36" s="220"/>
      <c r="F36" s="259">
        <f>'数据-取费表'!B34</f>
        <v>0.05</v>
      </c>
      <c r="G36" s="260" t="s">
        <v>1530</v>
      </c>
    </row>
    <row r="37" spans="1:7" s="258" customFormat="1" ht="13.5" customHeight="1">
      <c r="A37" s="780" t="s">
        <v>353</v>
      </c>
      <c r="B37" s="215" t="s">
        <v>1531</v>
      </c>
      <c r="C37" s="249">
        <f ca="1">ROUND(E37*D37,0)</f>
        <v>15940</v>
      </c>
      <c r="D37" s="217">
        <f ca="1">D19</f>
        <v>79.7</v>
      </c>
      <c r="E37" s="249">
        <f>'数据-取费表'!B35</f>
        <v>200</v>
      </c>
      <c r="F37" s="259"/>
      <c r="G37" s="261"/>
    </row>
    <row r="38" spans="1:7" ht="13.5" customHeight="1">
      <c r="A38" s="780" t="s">
        <v>354</v>
      </c>
      <c r="B38" s="215" t="s">
        <v>1533</v>
      </c>
      <c r="C38" s="220">
        <f ca="1">ROUND(C34*F38,0)</f>
        <v>2989</v>
      </c>
      <c r="D38" s="220"/>
      <c r="E38" s="220"/>
      <c r="F38" s="259">
        <f>'数据-取费表'!B36</f>
        <v>1.4999999999999999E-2</v>
      </c>
      <c r="G38" s="219" t="s">
        <v>1528</v>
      </c>
    </row>
    <row r="39" spans="1:7" s="214" customFormat="1" ht="13.5" customHeight="1">
      <c r="A39" s="255" t="s">
        <v>1534</v>
      </c>
      <c r="B39" s="210" t="s">
        <v>1535</v>
      </c>
      <c r="C39" s="232">
        <f ca="1">ROUND(C33*F20,0)</f>
        <v>2341</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12982</v>
      </c>
      <c r="D41" s="235">
        <f ca="1">C44</f>
        <v>5.0000000000000001E-4</v>
      </c>
      <c r="E41" s="236" t="s">
        <v>1539</v>
      </c>
      <c r="F41" s="237">
        <f ca="1">F22</f>
        <v>5.4900000000000004E-2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12853</v>
      </c>
      <c r="D42" s="238"/>
      <c r="E42" s="238"/>
      <c r="F42" s="239"/>
      <c r="G42" s="3799" t="s">
        <v>1591</v>
      </c>
    </row>
    <row r="43" spans="1:7" ht="13.5" customHeight="1">
      <c r="A43" s="780" t="s">
        <v>347</v>
      </c>
      <c r="B43" s="215" t="s">
        <v>1545</v>
      </c>
      <c r="C43" s="238">
        <f ca="1">ROUND(IF('数据-取费表'!B22&lt;=1,C39*F22*'数据-取费表'!B20/2,C39*(POWER((1+F22),'数据-取费表'!B20/2)-1)),0)</f>
        <v>129</v>
      </c>
      <c r="D43" s="238"/>
      <c r="E43" s="238"/>
      <c r="F43" s="239"/>
      <c r="G43" s="3800"/>
    </row>
    <row r="44" spans="1:7" ht="13.5" customHeight="1">
      <c r="A44" s="780" t="s">
        <v>348</v>
      </c>
      <c r="B44" s="215" t="s">
        <v>1546</v>
      </c>
      <c r="C44" s="238">
        <f ca="1">ROUND(IF('数据-取费表'!B22&lt;=1,C40*F22*'数据-取费表'!B20/2,C40*(POWER((1+F22),'数据-取费表'!B20/2)-1)),4)</f>
        <v>5.0000000000000001E-4</v>
      </c>
      <c r="D44" s="238"/>
      <c r="E44" s="238"/>
      <c r="F44" s="239"/>
      <c r="G44" s="3801"/>
    </row>
    <row r="45" spans="1:7" s="214" customFormat="1" ht="13.5" customHeight="1">
      <c r="A45" s="255" t="s">
        <v>1547</v>
      </c>
      <c r="B45" s="244" t="s">
        <v>1513</v>
      </c>
      <c r="C45" s="245">
        <f ca="1">C46</f>
        <v>18917</v>
      </c>
      <c r="D45" s="235">
        <f ca="1">C47</f>
        <v>8.0000000000000004E-4</v>
      </c>
      <c r="E45" s="236" t="s">
        <v>1539</v>
      </c>
      <c r="F45" s="246">
        <f ca="1">F27</f>
        <v>0.08</v>
      </c>
      <c r="G45" s="247" t="s">
        <v>1548</v>
      </c>
    </row>
    <row r="46" spans="1:7" s="214" customFormat="1" ht="13.5" customHeight="1">
      <c r="A46" s="780" t="s">
        <v>346</v>
      </c>
      <c r="B46" s="248" t="s">
        <v>1549</v>
      </c>
      <c r="C46" s="249">
        <f ca="1">ROUND((C33+C39)*F27,0)</f>
        <v>18917</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287724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215793</v>
      </c>
      <c r="D51" s="232"/>
      <c r="E51" s="232"/>
      <c r="F51" s="264"/>
      <c r="G51" s="234" t="s">
        <v>1560</v>
      </c>
    </row>
    <row r="52" spans="1:7" s="208" customFormat="1" ht="16.8" thickBot="1">
      <c r="A52" s="265" t="s">
        <v>1561</v>
      </c>
      <c r="B52" s="266"/>
      <c r="C52" s="267">
        <f ca="1">C31+C51</f>
        <v>692633</v>
      </c>
      <c r="D52" s="266"/>
      <c r="E52" s="266"/>
      <c r="F52" s="266"/>
      <c r="G52" s="268"/>
    </row>
    <row r="55" spans="1:7" ht="15">
      <c r="B55" s="270" t="s">
        <v>1562</v>
      </c>
      <c r="C55" s="271"/>
    </row>
    <row r="56" spans="1:7">
      <c r="B56" s="273" t="s">
        <v>802</v>
      </c>
      <c r="C56" s="275">
        <f ca="1">1-C57</f>
        <v>0.68799999999999994</v>
      </c>
    </row>
    <row r="57" spans="1:7">
      <c r="B57" s="273" t="s">
        <v>803</v>
      </c>
      <c r="C57" s="274">
        <f ca="1">ROUND(C51/C52,3)</f>
        <v>0.312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-125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79.7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79.7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5.4900000000000004E-2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04" t="s">
        <v>694</v>
      </c>
      <c r="C6" s="1074">
        <f ca="1">ROUND(F6*F8*F7*(1-F9)/10000,0)</f>
        <v>0</v>
      </c>
      <c r="D6" s="155" t="s">
        <v>2109</v>
      </c>
      <c r="E6" s="302" t="s">
        <v>696</v>
      </c>
      <c r="F6" s="303">
        <f ca="1">INDIRECT("'数据-取费表'!u"&amp;$G$1)</f>
        <v>0</v>
      </c>
      <c r="G6" s="1384"/>
      <c r="H6" s="1069" t="s">
        <v>398</v>
      </c>
      <c r="I6" s="3804" t="s">
        <v>694</v>
      </c>
      <c r="J6" s="301">
        <f ca="1">ROUND(M6*M8*M7*(1-M9)/10000,0)</f>
        <v>0</v>
      </c>
      <c r="K6" s="155" t="s">
        <v>2108</v>
      </c>
      <c r="L6" s="302" t="s">
        <v>696</v>
      </c>
      <c r="M6" s="303">
        <f ca="1">INDIRECT("'数据-取费表'!z"&amp;$G$1)</f>
        <v>0</v>
      </c>
    </row>
    <row r="7" spans="1:37" ht="18" customHeight="1">
      <c r="A7" s="1073"/>
      <c r="B7" s="3805"/>
      <c r="C7" s="1075"/>
      <c r="D7" s="307"/>
      <c r="E7" s="1076" t="s">
        <v>697</v>
      </c>
      <c r="F7" s="303">
        <f ca="1">IF(INDIRECT("'数据-取费表'!ah"&amp;$G$1)="",INDIRECT("'数据-取费表'!k"&amp;$G$1),INDIRECT("'数据-取费表'!ah"&amp;$G$1))</f>
        <v>0</v>
      </c>
      <c r="G7" s="1384"/>
      <c r="H7" s="304"/>
      <c r="I7" s="3805"/>
      <c r="J7" s="306"/>
      <c r="K7" s="307"/>
      <c r="L7" s="302" t="s">
        <v>697</v>
      </c>
      <c r="M7" s="303">
        <f ca="1">F7</f>
        <v>0</v>
      </c>
    </row>
    <row r="8" spans="1:37" ht="18" customHeight="1">
      <c r="A8" s="304"/>
      <c r="B8" s="3805"/>
      <c r="C8" s="306"/>
      <c r="D8" s="307"/>
      <c r="E8" s="302" t="s">
        <v>698</v>
      </c>
      <c r="F8" s="303">
        <f ca="1">INDIRECT("'数据-取费表'!ai"&amp;$G$1)</f>
        <v>0</v>
      </c>
      <c r="G8" s="1384"/>
      <c r="H8" s="304"/>
      <c r="I8" s="3805"/>
      <c r="J8" s="306"/>
      <c r="K8" s="307"/>
      <c r="L8" s="302" t="s">
        <v>698</v>
      </c>
      <c r="M8" s="303">
        <f ca="1">INDIRECT("'数据-取费表'!ai"&amp;$G$1)</f>
        <v>0</v>
      </c>
    </row>
    <row r="9" spans="1:37" ht="18" customHeight="1">
      <c r="A9" s="304"/>
      <c r="B9" s="3806"/>
      <c r="C9" s="306"/>
      <c r="D9" s="307"/>
      <c r="E9" s="302" t="s">
        <v>699</v>
      </c>
      <c r="F9" s="312">
        <f ca="1">INDIRECT("'数据-取费表'!w"&amp;$G$1)</f>
        <v>0</v>
      </c>
      <c r="G9" s="1384"/>
      <c r="H9" s="304"/>
      <c r="I9" s="380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1.9799999999999998E-2</v>
      </c>
      <c r="G11" s="1384"/>
      <c r="H11" s="1077"/>
      <c r="I11" s="1367" t="s">
        <v>679</v>
      </c>
      <c r="J11" s="959"/>
      <c r="K11" s="684"/>
      <c r="L11" s="313" t="s">
        <v>702</v>
      </c>
      <c r="M11" s="862">
        <f ca="1">'数据-取费表'!B39</f>
        <v>1.9799999999999998E-2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5.4900000000000004E-2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02" t="s">
        <v>837</v>
      </c>
      <c r="L53" s="380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04" t="s">
        <v>694</v>
      </c>
      <c r="C6" s="1074">
        <f ca="1">ROUND(F6*F8*F7*(1-F9),0)</f>
        <v>0</v>
      </c>
      <c r="D6" s="155" t="s">
        <v>2106</v>
      </c>
      <c r="E6" s="302" t="s">
        <v>696</v>
      </c>
      <c r="F6" s="303">
        <f ca="1">INDIRECT("'数据-取费表'!u"&amp;$G$1)</f>
        <v>0</v>
      </c>
      <c r="G6" s="1384"/>
      <c r="H6" s="1069" t="s">
        <v>398</v>
      </c>
      <c r="I6" s="3804" t="s">
        <v>694</v>
      </c>
      <c r="J6" s="301">
        <f ca="1">ROUND(M6*M8*M7*(1-M9),0)</f>
        <v>0</v>
      </c>
      <c r="K6" s="1376" t="s">
        <v>2107</v>
      </c>
      <c r="L6" s="302" t="s">
        <v>696</v>
      </c>
      <c r="M6" s="303">
        <f ca="1">INDIRECT("'数据-取费表'!z"&amp;$G$1)</f>
        <v>0</v>
      </c>
    </row>
    <row r="7" spans="1:37" ht="18" customHeight="1">
      <c r="A7" s="1073"/>
      <c r="B7" s="3805"/>
      <c r="C7" s="1075"/>
      <c r="D7" s="307"/>
      <c r="E7" s="1076" t="s">
        <v>697</v>
      </c>
      <c r="F7" s="303">
        <f ca="1">IF(INDIRECT("'数据-取费表'!ah"&amp;$G$1)="",INDIRECT("'数据-取费表'!k"&amp;$G$1),INDIRECT("'数据-取费表'!ah"&amp;$G$1))</f>
        <v>0</v>
      </c>
      <c r="G7" s="1384"/>
      <c r="H7" s="304"/>
      <c r="I7" s="3805"/>
      <c r="J7" s="306"/>
      <c r="K7" s="307"/>
      <c r="L7" s="302" t="s">
        <v>697</v>
      </c>
      <c r="M7" s="303">
        <f ca="1">F7</f>
        <v>0</v>
      </c>
    </row>
    <row r="8" spans="1:37" ht="18" customHeight="1">
      <c r="A8" s="304"/>
      <c r="B8" s="3805"/>
      <c r="C8" s="306"/>
      <c r="D8" s="307"/>
      <c r="E8" s="302" t="s">
        <v>698</v>
      </c>
      <c r="F8" s="303">
        <f ca="1">INDIRECT("'数据-取费表'!ai"&amp;$G$1)</f>
        <v>0</v>
      </c>
      <c r="G8" s="1384"/>
      <c r="H8" s="304"/>
      <c r="I8" s="3805"/>
      <c r="J8" s="306"/>
      <c r="K8" s="307"/>
      <c r="L8" s="302" t="s">
        <v>698</v>
      </c>
      <c r="M8" s="303">
        <f ca="1">INDIRECT("'数据-取费表'!ai"&amp;$G$1)</f>
        <v>0</v>
      </c>
    </row>
    <row r="9" spans="1:37" ht="18" customHeight="1">
      <c r="A9" s="304"/>
      <c r="B9" s="3806"/>
      <c r="C9" s="306"/>
      <c r="D9" s="307"/>
      <c r="E9" s="302" t="s">
        <v>699</v>
      </c>
      <c r="F9" s="312">
        <f ca="1">INDIRECT("'数据-取费表'!w"&amp;$G$1)</f>
        <v>0</v>
      </c>
      <c r="G9" s="1384"/>
      <c r="H9" s="304"/>
      <c r="I9" s="380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1.9799999999999998E-2</v>
      </c>
      <c r="G11" s="1384"/>
      <c r="H11" s="1077"/>
      <c r="I11" s="1367" t="s">
        <v>891</v>
      </c>
      <c r="J11" s="959"/>
      <c r="K11" s="684"/>
      <c r="L11" s="313" t="s">
        <v>702</v>
      </c>
      <c r="M11" s="862">
        <f ca="1">'数据-取费表'!B39</f>
        <v>1.9799999999999998E-2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5.4900000000000004E-2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02" t="s">
        <v>837</v>
      </c>
      <c r="L53" s="3803"/>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813" t="s">
        <v>2318</v>
      </c>
      <c r="K2" s="3814"/>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815" t="s">
        <v>2328</v>
      </c>
      <c r="K3" s="3816"/>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815" t="s">
        <v>2330</v>
      </c>
      <c r="K4" s="3816"/>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821" t="s">
        <v>2334</v>
      </c>
      <c r="B6" s="3822"/>
      <c r="C6" s="3823"/>
      <c r="D6" s="2870"/>
      <c r="E6" s="2871"/>
      <c r="F6" s="2872"/>
      <c r="G6" s="2873"/>
      <c r="H6" s="2848"/>
      <c r="I6" s="2849"/>
      <c r="J6" s="3807">
        <v>1</v>
      </c>
      <c r="K6" s="3808"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807"/>
      <c r="K7" s="3809"/>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824" t="s">
        <v>2348</v>
      </c>
      <c r="C8" s="3825"/>
      <c r="D8" s="2889" t="s">
        <v>2349</v>
      </c>
      <c r="E8" s="2890" t="s">
        <v>2350</v>
      </c>
      <c r="F8" s="2891" t="s">
        <v>2351</v>
      </c>
      <c r="G8" s="2892"/>
      <c r="H8" s="2848"/>
      <c r="I8" s="2849"/>
      <c r="J8" s="3807"/>
      <c r="K8" s="3809"/>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824" t="s">
        <v>2354</v>
      </c>
      <c r="C9" s="3825"/>
      <c r="D9" s="2889">
        <f>ROUND(D6*E9,0)</f>
        <v>0</v>
      </c>
      <c r="E9" s="2893"/>
      <c r="F9" s="2894" t="s">
        <v>2355</v>
      </c>
      <c r="G9" s="2873"/>
      <c r="H9" s="2848"/>
      <c r="I9" s="2849"/>
      <c r="J9" s="3807"/>
      <c r="K9" s="3809"/>
      <c r="L9" s="2883" t="s">
        <v>2356</v>
      </c>
      <c r="M9" s="2884"/>
      <c r="N9" s="2860"/>
      <c r="O9" s="2885"/>
      <c r="P9" s="2885"/>
      <c r="Q9" s="2886">
        <v>365</v>
      </c>
      <c r="R9" s="2887">
        <f t="shared" si="0"/>
        <v>0</v>
      </c>
      <c r="S9" s="2841"/>
      <c r="T9" s="2841"/>
      <c r="U9" s="2841"/>
      <c r="V9" s="2849"/>
    </row>
    <row r="10" spans="1:22" s="2853" customFormat="1" ht="13.2" customHeight="1">
      <c r="A10" s="2888">
        <v>2</v>
      </c>
      <c r="B10" s="3824" t="s">
        <v>2357</v>
      </c>
      <c r="C10" s="3825"/>
      <c r="D10" s="2889">
        <f>ROUND(D6*E10,0)</f>
        <v>0</v>
      </c>
      <c r="E10" s="2893"/>
      <c r="F10" s="2894" t="s">
        <v>2358</v>
      </c>
      <c r="G10" s="2873"/>
      <c r="H10" s="2848"/>
      <c r="I10" s="2849"/>
      <c r="J10" s="3807"/>
      <c r="K10" s="3809"/>
      <c r="L10" s="2883" t="s">
        <v>2359</v>
      </c>
      <c r="M10" s="2884"/>
      <c r="N10" s="2860"/>
      <c r="O10" s="2885"/>
      <c r="P10" s="2885"/>
      <c r="Q10" s="2886">
        <v>365</v>
      </c>
      <c r="R10" s="2887">
        <f t="shared" si="0"/>
        <v>0</v>
      </c>
      <c r="S10" s="2841"/>
      <c r="T10" s="2841"/>
      <c r="U10" s="2841"/>
      <c r="V10" s="2849"/>
    </row>
    <row r="11" spans="1:22" s="2853" customFormat="1" ht="13.2" customHeight="1">
      <c r="A11" s="2888">
        <v>3</v>
      </c>
      <c r="B11" s="3824" t="s">
        <v>2360</v>
      </c>
      <c r="C11" s="3825"/>
      <c r="D11" s="2889">
        <f>D12+D14+D15+D16</f>
        <v>0</v>
      </c>
      <c r="E11" s="2895" t="e">
        <f>D11/D6</f>
        <v>#DIV/0!</v>
      </c>
      <c r="F11" s="2891"/>
      <c r="G11" s="2892"/>
      <c r="H11" s="2848"/>
      <c r="I11" s="2849"/>
      <c r="J11" s="3807"/>
      <c r="K11" s="3809"/>
      <c r="L11" s="2883" t="s">
        <v>2361</v>
      </c>
      <c r="M11" s="2884"/>
      <c r="N11" s="2860"/>
      <c r="O11" s="2885"/>
      <c r="P11" s="2885"/>
      <c r="Q11" s="2886">
        <v>365</v>
      </c>
      <c r="R11" s="2887">
        <f t="shared" si="0"/>
        <v>0</v>
      </c>
      <c r="S11" s="2841"/>
      <c r="T11" s="2841"/>
      <c r="U11" s="2841"/>
      <c r="V11" s="2849"/>
    </row>
    <row r="12" spans="1:22" s="2853" customFormat="1" ht="13.2" customHeight="1">
      <c r="A12" s="2896" t="s">
        <v>2362</v>
      </c>
      <c r="B12" s="3817" t="s">
        <v>2363</v>
      </c>
      <c r="C12" s="3818"/>
      <c r="D12" s="2897">
        <f>ROUND(D13*1.2%*(1-30%),0)</f>
        <v>0</v>
      </c>
      <c r="E12" s="2898">
        <v>1.2E-2</v>
      </c>
      <c r="F12" s="2891" t="s">
        <v>2364</v>
      </c>
      <c r="G12" s="2892"/>
      <c r="H12" s="2848"/>
      <c r="I12" s="2849"/>
      <c r="J12" s="3807"/>
      <c r="K12" s="3809"/>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807"/>
      <c r="K13" s="3809"/>
      <c r="L13" s="2883" t="s">
        <v>2367</v>
      </c>
      <c r="M13" s="2884"/>
      <c r="N13" s="2860"/>
      <c r="O13" s="2885"/>
      <c r="P13" s="2885"/>
      <c r="Q13" s="2886">
        <v>365</v>
      </c>
      <c r="R13" s="2887">
        <f t="shared" si="0"/>
        <v>0</v>
      </c>
      <c r="S13" s="2841"/>
      <c r="T13" s="2841"/>
      <c r="U13" s="2841"/>
      <c r="V13" s="2849"/>
    </row>
    <row r="14" spans="1:22" s="2853" customFormat="1" ht="13.2" customHeight="1">
      <c r="A14" s="2896" t="s">
        <v>2368</v>
      </c>
      <c r="B14" s="3817" t="s">
        <v>2369</v>
      </c>
      <c r="C14" s="3818"/>
      <c r="D14" s="2897">
        <f>ROUND(E14*B5/10000,0)</f>
        <v>0</v>
      </c>
      <c r="E14" s="2886"/>
      <c r="F14" s="2891" t="s">
        <v>2370</v>
      </c>
      <c r="G14" s="2892"/>
      <c r="H14" s="2848"/>
      <c r="I14" s="2849"/>
      <c r="J14" s="3807"/>
      <c r="K14" s="3810"/>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817" t="s">
        <v>2373</v>
      </c>
      <c r="C15" s="3818"/>
      <c r="D15" s="2897">
        <f>ROUND(D6*E15,0)</f>
        <v>0</v>
      </c>
      <c r="E15" s="2898">
        <v>5.5E-2</v>
      </c>
      <c r="F15" s="2891" t="s">
        <v>2374</v>
      </c>
      <c r="G15" s="2873"/>
      <c r="H15" s="2848"/>
      <c r="I15" s="2849"/>
      <c r="J15" s="3807">
        <v>2</v>
      </c>
      <c r="K15" s="3808"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817" t="s">
        <v>2382</v>
      </c>
      <c r="C16" s="3818"/>
      <c r="D16" s="2908">
        <f>D6*E16</f>
        <v>0</v>
      </c>
      <c r="E16" s="2909"/>
      <c r="F16" s="2894" t="s">
        <v>2383</v>
      </c>
      <c r="G16" s="2873"/>
      <c r="H16" s="2848"/>
      <c r="I16" s="2849"/>
      <c r="J16" s="3807"/>
      <c r="K16" s="3809"/>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819" t="s">
        <v>2385</v>
      </c>
      <c r="C17" s="3820"/>
      <c r="D17" s="2911">
        <f>ROUND(D6*E17,0)</f>
        <v>0</v>
      </c>
      <c r="E17" s="2912"/>
      <c r="F17" s="2913" t="s">
        <v>2386</v>
      </c>
      <c r="G17" s="2873"/>
      <c r="H17" s="2848"/>
      <c r="I17" s="2849"/>
      <c r="J17" s="3807"/>
      <c r="K17" s="3809"/>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807"/>
      <c r="K18" s="3809"/>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807"/>
      <c r="K19" s="3810"/>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07">
        <v>3</v>
      </c>
      <c r="K20" s="3808"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807"/>
      <c r="K21" s="3809"/>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807"/>
      <c r="K22" s="3809"/>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807"/>
      <c r="K23" s="3809"/>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807"/>
      <c r="K24" s="3810"/>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811">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81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813" t="s">
        <v>2318</v>
      </c>
      <c r="K32" s="3814"/>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815" t="s">
        <v>2328</v>
      </c>
      <c r="K33" s="3816"/>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815" t="s">
        <v>2330</v>
      </c>
      <c r="K34" s="381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807">
        <v>1</v>
      </c>
      <c r="K36" s="3808"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807"/>
      <c r="K37" s="3809"/>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07"/>
      <c r="K38" s="3809"/>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807"/>
      <c r="K39" s="3809"/>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807"/>
      <c r="K40" s="3810"/>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811">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81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26" t="s">
        <v>1654</v>
      </c>
      <c r="C5" s="3827"/>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90" zoomScaleNormal="60" zoomScaleSheetLayoutView="90" workbookViewId="0">
      <selection activeCell="F92" sqref="F9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41.180999999999997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5167</v>
      </c>
      <c r="C3" s="354" t="s">
        <v>1665</v>
      </c>
      <c r="D3" s="353">
        <f>IF(D1="",'数据-汇总表'!E3,SUMIF('数据-汇总表'!$C19:$C33,D1,'数据-汇总表'!$E19:$E33))</f>
        <v>79.7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46" t="s">
        <v>1667</v>
      </c>
      <c r="D4" s="3847"/>
      <c r="E4" s="3848" t="s">
        <v>1668</v>
      </c>
      <c r="F4" s="3849"/>
      <c r="G4" s="3846" t="s">
        <v>1669</v>
      </c>
      <c r="H4" s="3847"/>
      <c r="I4" s="3846" t="s">
        <v>1670</v>
      </c>
      <c r="J4" s="3847"/>
      <c r="K4" s="1889" t="s">
        <v>1671</v>
      </c>
      <c r="L4" s="2715"/>
      <c r="M4" s="2716"/>
      <c r="N4" s="2716"/>
      <c r="O4" s="2716"/>
      <c r="P4" s="3850" t="s">
        <v>1672</v>
      </c>
      <c r="Q4" s="3851"/>
      <c r="R4" s="3856" t="s">
        <v>1668</v>
      </c>
      <c r="S4" s="3857"/>
      <c r="T4" s="3856" t="s">
        <v>1669</v>
      </c>
      <c r="U4" s="3857"/>
      <c r="V4" s="3862" t="s">
        <v>1670</v>
      </c>
      <c r="W4" s="3862"/>
      <c r="X4" s="1355"/>
      <c r="Y4" s="3856" t="s">
        <v>1672</v>
      </c>
      <c r="Z4" s="3857"/>
      <c r="AA4" s="3843" t="s">
        <v>1668</v>
      </c>
      <c r="AB4" s="3843" t="s">
        <v>1669</v>
      </c>
      <c r="AC4" s="3843" t="s">
        <v>1670</v>
      </c>
    </row>
    <row r="5" spans="1:29" ht="39.75" customHeight="1">
      <c r="A5" s="358"/>
      <c r="B5" s="359"/>
      <c r="C5" s="3870" t="s">
        <v>3480</v>
      </c>
      <c r="D5" s="3871"/>
      <c r="E5" s="3874" t="str">
        <f>Sheet1!F3</f>
        <v>翠微东里</v>
      </c>
      <c r="F5" s="3875"/>
      <c r="G5" s="3865" t="str">
        <f>Sheet1!F9</f>
        <v>西翠路西侧澳林住宅小区（紫金长安）</v>
      </c>
      <c r="H5" s="3866"/>
      <c r="I5" s="3865" t="str">
        <f>Sheet1!F52</f>
        <v>增光路44号冠德住宅楼</v>
      </c>
      <c r="J5" s="3866"/>
      <c r="K5" s="1890"/>
      <c r="L5" s="2715"/>
      <c r="M5" s="2716"/>
      <c r="N5" s="2716"/>
      <c r="O5" s="2716"/>
      <c r="P5" s="3852"/>
      <c r="Q5" s="3853"/>
      <c r="R5" s="3858"/>
      <c r="S5" s="3859"/>
      <c r="T5" s="3858"/>
      <c r="U5" s="3859"/>
      <c r="V5" s="3862"/>
      <c r="W5" s="3862"/>
      <c r="X5" s="1355"/>
      <c r="Y5" s="3858"/>
      <c r="Z5" s="3859"/>
      <c r="AA5" s="3844"/>
      <c r="AB5" s="3844"/>
      <c r="AC5" s="3844"/>
    </row>
    <row r="6" spans="1:29" ht="15" thickBot="1">
      <c r="A6" s="360"/>
      <c r="B6" s="361"/>
      <c r="C6" s="3863"/>
      <c r="D6" s="3864"/>
      <c r="E6" s="3872"/>
      <c r="F6" s="3873"/>
      <c r="G6" s="3863"/>
      <c r="H6" s="3864"/>
      <c r="I6" s="3863" t="s">
        <v>4050</v>
      </c>
      <c r="J6" s="3864"/>
      <c r="K6" s="1890" t="s">
        <v>1678</v>
      </c>
      <c r="L6" s="2715"/>
      <c r="M6" s="2716"/>
      <c r="N6" s="2716"/>
      <c r="O6" s="2716"/>
      <c r="P6" s="3854"/>
      <c r="Q6" s="3855"/>
      <c r="R6" s="3858"/>
      <c r="S6" s="3859"/>
      <c r="T6" s="3860"/>
      <c r="U6" s="3861"/>
      <c r="V6" s="3862"/>
      <c r="W6" s="3862"/>
      <c r="X6" s="1355"/>
      <c r="Y6" s="3860"/>
      <c r="Z6" s="3861"/>
      <c r="AA6" s="3845"/>
      <c r="AB6" s="3845"/>
      <c r="AC6" s="3845"/>
    </row>
    <row r="7" spans="1:29" s="108" customFormat="1" ht="15" thickBot="1">
      <c r="A7" s="362" t="s">
        <v>1679</v>
      </c>
      <c r="B7" s="363"/>
      <c r="C7" s="364">
        <f>'数据-取费表'!B2</f>
        <v>38260</v>
      </c>
      <c r="D7" s="365">
        <v>100</v>
      </c>
      <c r="E7" s="366">
        <v>38047</v>
      </c>
      <c r="F7" s="367">
        <f>SUMIF(58:58,YEAR(E7)&amp;"-"&amp;MONTH(E7),59:59)</f>
        <v>99.6</v>
      </c>
      <c r="G7" s="366">
        <v>38169</v>
      </c>
      <c r="H7" s="365">
        <f>SUMIF(58:58,YEAR(G7)&amp;"-"&amp;MONTH(G7),59:59)</f>
        <v>99.8</v>
      </c>
      <c r="I7" s="366">
        <v>38078</v>
      </c>
      <c r="J7" s="365">
        <f>SUMIF(58:58,YEAR(I7)&amp;"-"&amp;MONTH(I7),59:59)</f>
        <v>99.6</v>
      </c>
      <c r="K7" s="1891"/>
      <c r="L7" s="2717"/>
      <c r="M7" s="2718"/>
      <c r="N7" s="2718"/>
      <c r="O7" s="2718"/>
      <c r="P7" s="3867" t="s">
        <v>1680</v>
      </c>
      <c r="Q7" s="3869"/>
      <c r="R7" s="701" t="s">
        <v>20</v>
      </c>
      <c r="S7" s="702">
        <f t="shared" ref="S7:S15" si="0">F7</f>
        <v>99.6</v>
      </c>
      <c r="T7" s="701" t="s">
        <v>20</v>
      </c>
      <c r="U7" s="702">
        <f t="shared" ref="U7:U15" si="1">H7</f>
        <v>99.8</v>
      </c>
      <c r="V7" s="701" t="s">
        <v>20</v>
      </c>
      <c r="W7" s="702">
        <f t="shared" ref="W7:W15" si="2">J7</f>
        <v>99.6</v>
      </c>
      <c r="X7" s="703"/>
      <c r="Y7" s="3867" t="s">
        <v>1680</v>
      </c>
      <c r="Z7" s="3868"/>
      <c r="AA7" s="704">
        <f>D7/F7</f>
        <v>1.0040160642570282</v>
      </c>
      <c r="AB7" s="704">
        <f>D7/H7</f>
        <v>1.0020040080160322</v>
      </c>
      <c r="AC7" s="704">
        <f>D7/J7</f>
        <v>1.0040160642570282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867" t="s">
        <v>1683</v>
      </c>
      <c r="Q8" s="3868"/>
      <c r="R8" s="701" t="s">
        <v>20</v>
      </c>
      <c r="S8" s="702">
        <f t="shared" si="0"/>
        <v>100</v>
      </c>
      <c r="T8" s="701" t="s">
        <v>20</v>
      </c>
      <c r="U8" s="702">
        <f t="shared" si="1"/>
        <v>100</v>
      </c>
      <c r="V8" s="701" t="s">
        <v>20</v>
      </c>
      <c r="W8" s="702">
        <f t="shared" si="2"/>
        <v>100</v>
      </c>
      <c r="X8" s="703"/>
      <c r="Y8" s="3867" t="s">
        <v>1683</v>
      </c>
      <c r="Z8" s="3868"/>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842" t="s">
        <v>1686</v>
      </c>
      <c r="Q9" s="1343" t="str">
        <f t="shared" ref="Q9:Q15" si="6">B9</f>
        <v>用途</v>
      </c>
      <c r="R9" s="701" t="s">
        <v>14</v>
      </c>
      <c r="S9" s="702">
        <f t="shared" si="0"/>
        <v>100</v>
      </c>
      <c r="T9" s="701" t="s">
        <v>14</v>
      </c>
      <c r="U9" s="702">
        <f t="shared" si="1"/>
        <v>100</v>
      </c>
      <c r="V9" s="701" t="s">
        <v>14</v>
      </c>
      <c r="W9" s="702">
        <f t="shared" si="2"/>
        <v>100</v>
      </c>
      <c r="X9" s="703"/>
      <c r="Y9" s="370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42"/>
      <c r="Q10" s="1343" t="str">
        <f t="shared" si="6"/>
        <v>土地使用年限（年）</v>
      </c>
      <c r="R10" s="701" t="s">
        <v>14</v>
      </c>
      <c r="S10" s="702">
        <f t="shared" si="0"/>
        <v>100</v>
      </c>
      <c r="T10" s="701" t="s">
        <v>14</v>
      </c>
      <c r="U10" s="702">
        <f t="shared" si="1"/>
        <v>100</v>
      </c>
      <c r="V10" s="701" t="s">
        <v>14</v>
      </c>
      <c r="W10" s="702">
        <f t="shared" si="2"/>
        <v>100</v>
      </c>
      <c r="X10" s="703"/>
      <c r="Y10" s="370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42"/>
      <c r="Q11" s="1343" t="str">
        <f t="shared" si="6"/>
        <v>容积率</v>
      </c>
      <c r="R11" s="701" t="s">
        <v>18</v>
      </c>
      <c r="S11" s="702">
        <f t="shared" si="0"/>
        <v>100</v>
      </c>
      <c r="T11" s="701" t="s">
        <v>18</v>
      </c>
      <c r="U11" s="702">
        <f t="shared" si="1"/>
        <v>100</v>
      </c>
      <c r="V11" s="701" t="s">
        <v>18</v>
      </c>
      <c r="W11" s="702">
        <f t="shared" si="2"/>
        <v>100</v>
      </c>
      <c r="X11" s="703"/>
      <c r="Y11" s="3706"/>
      <c r="Z11" s="52" t="str">
        <f t="shared" si="7"/>
        <v>容积率</v>
      </c>
      <c r="AA11" s="704">
        <f t="shared" si="3"/>
        <v>1</v>
      </c>
      <c r="AB11" s="704">
        <f t="shared" si="4"/>
        <v>1</v>
      </c>
      <c r="AC11" s="704">
        <f t="shared" si="5"/>
        <v>1</v>
      </c>
    </row>
    <row r="12" spans="1:29" s="108" customFormat="1" ht="15">
      <c r="A12" s="382"/>
      <c r="B12" s="1893">
        <v>111</v>
      </c>
      <c r="C12" s="3615" t="s">
        <v>4051</v>
      </c>
      <c r="D12" s="384">
        <v>100</v>
      </c>
      <c r="E12" s="3615" t="s">
        <v>4051</v>
      </c>
      <c r="F12" s="376">
        <f>SUMIF(70:70,E12,71:71)-SUMIF(70:70,C12,71:71)+100</f>
        <v>100</v>
      </c>
      <c r="G12" s="3615" t="s">
        <v>4052</v>
      </c>
      <c r="H12" s="127">
        <f>SUMIF(70:70,G12,71:71)-SUMIF(70:70,C12,71:71)+100</f>
        <v>105</v>
      </c>
      <c r="I12" s="3615" t="s">
        <v>4052</v>
      </c>
      <c r="J12" s="127">
        <f>SUMIF(70:70,I12,71:71)-SUMIF(70:70,C12,71:71)+100</f>
        <v>105</v>
      </c>
      <c r="K12" s="1894"/>
      <c r="L12" s="2717"/>
      <c r="M12" s="2718"/>
      <c r="N12" s="2718"/>
      <c r="O12" s="2718"/>
      <c r="P12" s="3842"/>
      <c r="Q12" s="1343">
        <f t="shared" si="6"/>
        <v>111</v>
      </c>
      <c r="R12" s="701" t="s">
        <v>18</v>
      </c>
      <c r="S12" s="702">
        <f t="shared" si="0"/>
        <v>100</v>
      </c>
      <c r="T12" s="701" t="s">
        <v>18</v>
      </c>
      <c r="U12" s="702">
        <f t="shared" si="1"/>
        <v>105</v>
      </c>
      <c r="V12" s="701" t="s">
        <v>18</v>
      </c>
      <c r="W12" s="702">
        <f t="shared" si="2"/>
        <v>105</v>
      </c>
      <c r="X12" s="703"/>
      <c r="Y12" s="3706"/>
      <c r="Z12" s="52">
        <f t="shared" si="7"/>
        <v>111</v>
      </c>
      <c r="AA12" s="704">
        <f>D12/F12</f>
        <v>1</v>
      </c>
      <c r="AB12" s="704">
        <f>D12/H12</f>
        <v>0.95238095238095233</v>
      </c>
      <c r="AC12" s="704">
        <f>D12/J12</f>
        <v>0.95238095238095233</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42"/>
      <c r="Q13" s="1343">
        <f t="shared" si="6"/>
        <v>111</v>
      </c>
      <c r="R13" s="701" t="s">
        <v>18</v>
      </c>
      <c r="S13" s="702">
        <f t="shared" si="0"/>
        <v>100</v>
      </c>
      <c r="T13" s="701" t="s">
        <v>18</v>
      </c>
      <c r="U13" s="702">
        <f t="shared" si="1"/>
        <v>100</v>
      </c>
      <c r="V13" s="701" t="s">
        <v>18</v>
      </c>
      <c r="W13" s="702">
        <f t="shared" si="2"/>
        <v>100</v>
      </c>
      <c r="X13" s="703"/>
      <c r="Y13" s="370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42"/>
      <c r="Q14" s="1343">
        <f t="shared" si="6"/>
        <v>111</v>
      </c>
      <c r="R14" s="701" t="s">
        <v>18</v>
      </c>
      <c r="S14" s="702">
        <f t="shared" si="0"/>
        <v>100</v>
      </c>
      <c r="T14" s="701" t="s">
        <v>18</v>
      </c>
      <c r="U14" s="702">
        <f t="shared" si="1"/>
        <v>100</v>
      </c>
      <c r="V14" s="701" t="s">
        <v>18</v>
      </c>
      <c r="W14" s="702">
        <f t="shared" si="2"/>
        <v>100</v>
      </c>
      <c r="X14" s="703"/>
      <c r="Y14" s="3706"/>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40" t="s">
        <v>1691</v>
      </c>
      <c r="Q15" s="1352" t="str">
        <f t="shared" si="6"/>
        <v>居住社区成熟度</v>
      </c>
      <c r="R15" s="705" t="s">
        <v>18</v>
      </c>
      <c r="S15" s="706">
        <f t="shared" si="0"/>
        <v>100</v>
      </c>
      <c r="T15" s="705" t="s">
        <v>18</v>
      </c>
      <c r="U15" s="706">
        <f t="shared" si="1"/>
        <v>100</v>
      </c>
      <c r="V15" s="705" t="s">
        <v>18</v>
      </c>
      <c r="W15" s="706">
        <f t="shared" si="2"/>
        <v>100</v>
      </c>
      <c r="X15" s="1355"/>
      <c r="Y15" s="383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41"/>
      <c r="Q16" s="1352"/>
      <c r="R16" s="705"/>
      <c r="S16" s="706"/>
      <c r="T16" s="705"/>
      <c r="U16" s="706"/>
      <c r="V16" s="705"/>
      <c r="W16" s="706"/>
      <c r="X16" s="1355"/>
      <c r="Y16" s="3834"/>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841"/>
      <c r="Q17" s="1352" t="str">
        <f>B17</f>
        <v>交通便捷度</v>
      </c>
      <c r="R17" s="705" t="s">
        <v>18</v>
      </c>
      <c r="S17" s="706">
        <f>F17</f>
        <v>100</v>
      </c>
      <c r="T17" s="705" t="s">
        <v>18</v>
      </c>
      <c r="U17" s="706">
        <f>H17</f>
        <v>100</v>
      </c>
      <c r="V17" s="705" t="s">
        <v>18</v>
      </c>
      <c r="W17" s="706">
        <f>J17</f>
        <v>100</v>
      </c>
      <c r="X17" s="1355"/>
      <c r="Y17" s="3834"/>
      <c r="Z17" s="1356" t="str">
        <f>Q17</f>
        <v>交通便捷度</v>
      </c>
      <c r="AA17" s="1353">
        <f t="shared" si="3"/>
        <v>1</v>
      </c>
      <c r="AB17" s="1353">
        <f t="shared" si="4"/>
        <v>1</v>
      </c>
      <c r="AC17" s="1353">
        <f t="shared" si="5"/>
        <v>1</v>
      </c>
    </row>
    <row r="18" spans="1:29" ht="15">
      <c r="A18" s="379"/>
      <c r="B18" s="407"/>
      <c r="C18" s="1901" t="s">
        <v>4048</v>
      </c>
      <c r="D18" s="401"/>
      <c r="E18" s="1902" t="s">
        <v>4048</v>
      </c>
      <c r="F18" s="401"/>
      <c r="G18" s="1903" t="s">
        <v>4048</v>
      </c>
      <c r="H18" s="399"/>
      <c r="I18" s="1903" t="s">
        <v>4048</v>
      </c>
      <c r="J18" s="399"/>
      <c r="K18" s="1899"/>
      <c r="L18" s="2722"/>
      <c r="M18" s="2716"/>
      <c r="N18" s="2716"/>
      <c r="O18" s="2716"/>
      <c r="P18" s="3841"/>
      <c r="Q18" s="1352"/>
      <c r="R18" s="705"/>
      <c r="S18" s="706"/>
      <c r="T18" s="705"/>
      <c r="U18" s="706"/>
      <c r="V18" s="705"/>
      <c r="W18" s="706"/>
      <c r="X18" s="1355"/>
      <c r="Y18" s="3834"/>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41"/>
      <c r="Q19" s="1352" t="str">
        <f>B19</f>
        <v>公共配套设施</v>
      </c>
      <c r="R19" s="705" t="s">
        <v>18</v>
      </c>
      <c r="S19" s="706">
        <f>F19</f>
        <v>100</v>
      </c>
      <c r="T19" s="705" t="s">
        <v>18</v>
      </c>
      <c r="U19" s="706">
        <f>H19</f>
        <v>100</v>
      </c>
      <c r="V19" s="705" t="s">
        <v>18</v>
      </c>
      <c r="W19" s="706">
        <f>J19</f>
        <v>100</v>
      </c>
      <c r="X19" s="1355"/>
      <c r="Y19" s="383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41"/>
      <c r="Q20" s="1352"/>
      <c r="R20" s="705"/>
      <c r="S20" s="706"/>
      <c r="T20" s="705"/>
      <c r="U20" s="706"/>
      <c r="V20" s="705"/>
      <c r="W20" s="706"/>
      <c r="X20" s="1355"/>
      <c r="Y20" s="383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41"/>
      <c r="Q21" s="1352" t="str">
        <f>B21</f>
        <v>基础设施水平</v>
      </c>
      <c r="R21" s="705" t="s">
        <v>14</v>
      </c>
      <c r="S21" s="706">
        <f>F21</f>
        <v>100</v>
      </c>
      <c r="T21" s="705" t="s">
        <v>14</v>
      </c>
      <c r="U21" s="706">
        <f>H21</f>
        <v>100</v>
      </c>
      <c r="V21" s="705" t="s">
        <v>14</v>
      </c>
      <c r="W21" s="706">
        <f>J21</f>
        <v>100</v>
      </c>
      <c r="X21" s="1355"/>
      <c r="Y21" s="38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41"/>
      <c r="Q22" s="1352"/>
      <c r="R22" s="705"/>
      <c r="S22" s="706"/>
      <c r="T22" s="705"/>
      <c r="U22" s="706"/>
      <c r="V22" s="705"/>
      <c r="W22" s="706"/>
      <c r="X22" s="1355"/>
      <c r="Y22" s="3834"/>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41"/>
      <c r="Q23" s="1352" t="str">
        <f>B23</f>
        <v>自然及人文环境</v>
      </c>
      <c r="R23" s="705" t="s">
        <v>18</v>
      </c>
      <c r="S23" s="706">
        <f>F23</f>
        <v>100</v>
      </c>
      <c r="T23" s="705" t="s">
        <v>18</v>
      </c>
      <c r="U23" s="706">
        <f>H23</f>
        <v>100</v>
      </c>
      <c r="V23" s="705" t="s">
        <v>18</v>
      </c>
      <c r="W23" s="706">
        <f>J23</f>
        <v>100</v>
      </c>
      <c r="X23" s="1355"/>
      <c r="Y23" s="383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41"/>
      <c r="Q24" s="1352"/>
      <c r="R24" s="705"/>
      <c r="S24" s="706"/>
      <c r="T24" s="705"/>
      <c r="U24" s="706"/>
      <c r="V24" s="705"/>
      <c r="W24" s="706"/>
      <c r="X24" s="1355"/>
      <c r="Y24" s="383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34"/>
      <c r="Z25" s="1356" t="str">
        <f>Q25</f>
        <v>楼层-1</v>
      </c>
      <c r="AA25" s="1353">
        <f t="shared" ref="AA25:AA46" si="15">D25/F25</f>
        <v>1</v>
      </c>
      <c r="AB25" s="1353">
        <f t="shared" ref="AB25:AB46" si="16">D25/H25</f>
        <v>1</v>
      </c>
      <c r="AC25" s="1353">
        <f t="shared" ref="AC25:AC46" si="17">D25/J25</f>
        <v>1</v>
      </c>
    </row>
    <row r="26" spans="1:29" s="3547" customFormat="1" ht="15">
      <c r="A26" s="3532"/>
      <c r="B26" s="3533" t="s">
        <v>1693</v>
      </c>
      <c r="C26" s="3534" t="s">
        <v>3474</v>
      </c>
      <c r="D26" s="3535">
        <v>100</v>
      </c>
      <c r="E26" s="3536" t="s">
        <v>3474</v>
      </c>
      <c r="F26" s="3535">
        <f>SUMIF(88:88,E26,89:89)-SUMIF(88:88,C26,89:89)+100</f>
        <v>100</v>
      </c>
      <c r="G26" s="3537" t="s">
        <v>3474</v>
      </c>
      <c r="H26" s="3535">
        <f>SUMIF(88:88,G26,89:89)-SUMIF(88:88,C26,89:89)+100</f>
        <v>100</v>
      </c>
      <c r="I26" s="3537" t="s">
        <v>3474</v>
      </c>
      <c r="J26" s="3535">
        <f>SUMIF(88:88,I26,89:89)-SUMIF(88:88,C26,89:89)+100</f>
        <v>100</v>
      </c>
      <c r="K26" s="3538">
        <v>1</v>
      </c>
      <c r="L26" s="3539"/>
      <c r="M26" s="3540"/>
      <c r="N26" s="3540"/>
      <c r="O26" s="3540"/>
      <c r="P26" s="3841"/>
      <c r="Q26" s="3541" t="str">
        <f t="shared" si="11"/>
        <v>朝向</v>
      </c>
      <c r="R26" s="3542" t="s">
        <v>18</v>
      </c>
      <c r="S26" s="3543">
        <f t="shared" si="12"/>
        <v>100</v>
      </c>
      <c r="T26" s="3542" t="s">
        <v>18</v>
      </c>
      <c r="U26" s="3543">
        <f t="shared" si="13"/>
        <v>100</v>
      </c>
      <c r="V26" s="3542" t="s">
        <v>18</v>
      </c>
      <c r="W26" s="3543">
        <f t="shared" si="14"/>
        <v>100</v>
      </c>
      <c r="X26" s="3544"/>
      <c r="Y26" s="3834"/>
      <c r="Z26" s="3545" t="str">
        <f>Q26</f>
        <v>朝向</v>
      </c>
      <c r="AA26" s="3546">
        <f t="shared" si="15"/>
        <v>1</v>
      </c>
      <c r="AB26" s="3546">
        <f t="shared" si="16"/>
        <v>1</v>
      </c>
      <c r="AC26" s="3546">
        <f t="shared" si="17"/>
        <v>1</v>
      </c>
    </row>
    <row r="27" spans="1:29" s="108" customFormat="1" ht="15">
      <c r="A27" s="382"/>
      <c r="B27" s="3450" t="s">
        <v>3398</v>
      </c>
      <c r="C27" s="416" t="s">
        <v>3479</v>
      </c>
      <c r="D27" s="413">
        <v>100</v>
      </c>
      <c r="E27" s="383" t="s">
        <v>4054</v>
      </c>
      <c r="F27" s="413">
        <f>SUMIF(90:90,E27,91:91)-SUMIF(90:90,C27,91:91)+100</f>
        <v>103</v>
      </c>
      <c r="G27" s="414" t="s">
        <v>4053</v>
      </c>
      <c r="H27" s="413">
        <f>SUMIF(90:90,G27,91:91)-SUMIF(90:90,C27,91:91)+100</f>
        <v>100</v>
      </c>
      <c r="I27" s="414" t="s">
        <v>4049</v>
      </c>
      <c r="J27" s="413">
        <f>SUMIF(90:90,I27,91:91)-SUMIF(90:90,C27,91:91)+100</f>
        <v>97</v>
      </c>
      <c r="K27" s="1894"/>
      <c r="L27" s="2717"/>
      <c r="M27" s="2718"/>
      <c r="N27" s="2718"/>
      <c r="O27" s="2718"/>
      <c r="P27" s="3841"/>
      <c r="Q27" s="1343" t="str">
        <f t="shared" si="11"/>
        <v>楼层</v>
      </c>
      <c r="R27" s="701" t="s">
        <v>18</v>
      </c>
      <c r="S27" s="702">
        <f t="shared" si="12"/>
        <v>103</v>
      </c>
      <c r="T27" s="701" t="s">
        <v>18</v>
      </c>
      <c r="U27" s="702">
        <f t="shared" si="13"/>
        <v>100</v>
      </c>
      <c r="V27" s="701" t="s">
        <v>18</v>
      </c>
      <c r="W27" s="702">
        <f t="shared" si="14"/>
        <v>97</v>
      </c>
      <c r="X27" s="703"/>
      <c r="Y27" s="3834"/>
      <c r="Z27" s="52" t="str">
        <f>Q27</f>
        <v>楼层</v>
      </c>
      <c r="AA27" s="1353">
        <f t="shared" si="15"/>
        <v>0.970873786407767</v>
      </c>
      <c r="AB27" s="1353">
        <f t="shared" si="16"/>
        <v>1</v>
      </c>
      <c r="AC27" s="1353">
        <f t="shared" si="17"/>
        <v>1.0309278350515463</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41"/>
      <c r="Q28" s="1352">
        <f t="shared" si="11"/>
        <v>111</v>
      </c>
      <c r="R28" s="705" t="s">
        <v>18</v>
      </c>
      <c r="S28" s="706">
        <f t="shared" si="12"/>
        <v>100</v>
      </c>
      <c r="T28" s="705" t="s">
        <v>18</v>
      </c>
      <c r="U28" s="706">
        <f t="shared" si="13"/>
        <v>100</v>
      </c>
      <c r="V28" s="705" t="s">
        <v>18</v>
      </c>
      <c r="W28" s="706">
        <f t="shared" si="14"/>
        <v>100</v>
      </c>
      <c r="X28" s="1355"/>
      <c r="Y28" s="383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41"/>
      <c r="Q29" s="1352">
        <f t="shared" si="11"/>
        <v>111</v>
      </c>
      <c r="R29" s="705" t="s">
        <v>18</v>
      </c>
      <c r="S29" s="706">
        <f t="shared" si="12"/>
        <v>100</v>
      </c>
      <c r="T29" s="705" t="s">
        <v>18</v>
      </c>
      <c r="U29" s="706">
        <f t="shared" si="13"/>
        <v>100</v>
      </c>
      <c r="V29" s="705" t="s">
        <v>18</v>
      </c>
      <c r="W29" s="706">
        <f t="shared" si="14"/>
        <v>100</v>
      </c>
      <c r="X29" s="1355"/>
      <c r="Y29" s="383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41"/>
      <c r="Q30" s="1352">
        <f t="shared" si="11"/>
        <v>111</v>
      </c>
      <c r="R30" s="705" t="s">
        <v>18</v>
      </c>
      <c r="S30" s="706">
        <f t="shared" si="12"/>
        <v>100</v>
      </c>
      <c r="T30" s="705" t="s">
        <v>18</v>
      </c>
      <c r="U30" s="706">
        <f t="shared" si="13"/>
        <v>100</v>
      </c>
      <c r="V30" s="705" t="s">
        <v>18</v>
      </c>
      <c r="W30" s="706">
        <f t="shared" si="14"/>
        <v>100</v>
      </c>
      <c r="X30" s="1355"/>
      <c r="Y30" s="3834"/>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41"/>
      <c r="Q31" s="1352">
        <f t="shared" si="11"/>
        <v>111</v>
      </c>
      <c r="R31" s="705" t="s">
        <v>18</v>
      </c>
      <c r="S31" s="706">
        <f t="shared" si="12"/>
        <v>100</v>
      </c>
      <c r="T31" s="705" t="s">
        <v>18</v>
      </c>
      <c r="U31" s="706">
        <f t="shared" si="13"/>
        <v>100</v>
      </c>
      <c r="V31" s="705" t="s">
        <v>18</v>
      </c>
      <c r="W31" s="706">
        <f t="shared" si="14"/>
        <v>100</v>
      </c>
      <c r="X31" s="1355"/>
      <c r="Y31" s="3834"/>
      <c r="Z31" s="1356">
        <f t="shared" si="18"/>
        <v>111</v>
      </c>
      <c r="AA31" s="1353">
        <f t="shared" si="15"/>
        <v>1</v>
      </c>
      <c r="AB31" s="1353">
        <f t="shared" si="16"/>
        <v>1</v>
      </c>
      <c r="AC31" s="1353">
        <f t="shared" si="17"/>
        <v>1</v>
      </c>
    </row>
    <row r="32" spans="1:29" ht="15">
      <c r="A32" s="391" t="s">
        <v>1694</v>
      </c>
      <c r="B32" s="63" t="s">
        <v>1695</v>
      </c>
      <c r="C32" s="1910" t="s">
        <v>3426</v>
      </c>
      <c r="D32" s="418">
        <v>100</v>
      </c>
      <c r="E32" s="1911" t="s">
        <v>3426</v>
      </c>
      <c r="F32" s="412">
        <f>SUMIF(100:100,E32,101:101)-SUMIF(100:100,C32,101:101)+100</f>
        <v>100</v>
      </c>
      <c r="G32" s="1910" t="s">
        <v>3475</v>
      </c>
      <c r="H32" s="418">
        <f>SUMIF(100:100,G32,101:101)-SUMIF(100:100,C32,101:101)+100</f>
        <v>106</v>
      </c>
      <c r="I32" s="1911" t="s">
        <v>3475</v>
      </c>
      <c r="J32" s="386">
        <f>SUMIF(100:100,I32,101:101)-SUMIF(100:100,C32,101:101)+100</f>
        <v>106</v>
      </c>
      <c r="K32" s="377">
        <v>3</v>
      </c>
      <c r="L32" s="2722"/>
      <c r="M32" s="2716"/>
      <c r="N32" s="2716"/>
      <c r="O32" s="2716"/>
      <c r="P32" s="3835" t="s">
        <v>1696</v>
      </c>
      <c r="Q32" s="1352" t="str">
        <f t="shared" si="11"/>
        <v>建筑类型</v>
      </c>
      <c r="R32" s="705" t="s">
        <v>18</v>
      </c>
      <c r="S32" s="706">
        <f t="shared" si="12"/>
        <v>100</v>
      </c>
      <c r="T32" s="705" t="s">
        <v>18</v>
      </c>
      <c r="U32" s="706">
        <f t="shared" si="13"/>
        <v>106</v>
      </c>
      <c r="V32" s="705" t="s">
        <v>18</v>
      </c>
      <c r="W32" s="706">
        <f t="shared" si="14"/>
        <v>106</v>
      </c>
      <c r="X32" s="1355"/>
      <c r="Y32" s="3838" t="s">
        <v>1696</v>
      </c>
      <c r="Z32" s="1356" t="str">
        <f t="shared" si="18"/>
        <v>建筑类型</v>
      </c>
      <c r="AA32" s="1353">
        <f t="shared" si="15"/>
        <v>1</v>
      </c>
      <c r="AB32" s="1353">
        <f t="shared" si="16"/>
        <v>0.94339622641509435</v>
      </c>
      <c r="AC32" s="1353">
        <f t="shared" si="17"/>
        <v>0.94339622641509435</v>
      </c>
    </row>
    <row r="33" spans="1:29" s="422" customFormat="1" ht="15">
      <c r="A33" s="419"/>
      <c r="B33" s="375" t="s">
        <v>1697</v>
      </c>
      <c r="C33" s="420">
        <f>'数据-汇总表'!F19</f>
        <v>79.7</v>
      </c>
      <c r="D33" s="127">
        <v>100</v>
      </c>
      <c r="E33" s="381">
        <f>Sheet1!L3</f>
        <v>82</v>
      </c>
      <c r="F33" s="376">
        <f>LOOKUP(E33,103:103,104:104)-LOOKUP(C33,103:103,104:104)+100</f>
        <v>100</v>
      </c>
      <c r="G33" s="380">
        <f>Sheet1!L9</f>
        <v>102.31</v>
      </c>
      <c r="H33" s="127">
        <f>LOOKUP(G33,103:103,104:104)-LOOKUP(C33,103:103,104:104)+100</f>
        <v>99</v>
      </c>
      <c r="I33" s="381">
        <f>Sheet1!L52</f>
        <v>68.31</v>
      </c>
      <c r="J33" s="386">
        <f>LOOKUP(I33,103:103,104:104)-LOOKUP(C33,103:103,104:104)+100</f>
        <v>100</v>
      </c>
      <c r="K33" s="1894"/>
      <c r="L33" s="2721"/>
      <c r="M33" s="2723"/>
      <c r="N33" s="2723"/>
      <c r="O33" s="2723"/>
      <c r="P33" s="3836"/>
      <c r="Q33" s="707" t="str">
        <f t="shared" si="11"/>
        <v>项目建筑规模</v>
      </c>
      <c r="R33" s="708" t="s">
        <v>18</v>
      </c>
      <c r="S33" s="709">
        <f t="shared" si="12"/>
        <v>100</v>
      </c>
      <c r="T33" s="708" t="s">
        <v>18</v>
      </c>
      <c r="U33" s="709">
        <f t="shared" si="13"/>
        <v>99</v>
      </c>
      <c r="V33" s="708" t="s">
        <v>18</v>
      </c>
      <c r="W33" s="709">
        <f t="shared" si="14"/>
        <v>100</v>
      </c>
      <c r="X33" s="710"/>
      <c r="Y33" s="3838"/>
      <c r="Z33" s="711" t="str">
        <f t="shared" si="18"/>
        <v>项目建筑规模</v>
      </c>
      <c r="AA33" s="1353">
        <f t="shared" si="15"/>
        <v>1</v>
      </c>
      <c r="AB33" s="1353">
        <f t="shared" si="16"/>
        <v>1.0101010101010102</v>
      </c>
      <c r="AC33" s="1353">
        <f t="shared" si="17"/>
        <v>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836"/>
      <c r="Q34" s="1352" t="str">
        <f t="shared" si="11"/>
        <v>建筑结构</v>
      </c>
      <c r="R34" s="705" t="s">
        <v>18</v>
      </c>
      <c r="S34" s="706">
        <f t="shared" si="12"/>
        <v>100</v>
      </c>
      <c r="T34" s="705" t="s">
        <v>18</v>
      </c>
      <c r="U34" s="706">
        <f t="shared" si="13"/>
        <v>100</v>
      </c>
      <c r="V34" s="705" t="s">
        <v>18</v>
      </c>
      <c r="W34" s="706">
        <f t="shared" si="14"/>
        <v>100</v>
      </c>
      <c r="X34" s="1355"/>
      <c r="Y34" s="383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36"/>
      <c r="Q35" s="1352" t="str">
        <f t="shared" si="11"/>
        <v>建筑品质</v>
      </c>
      <c r="R35" s="705" t="s">
        <v>18</v>
      </c>
      <c r="S35" s="706">
        <f t="shared" si="12"/>
        <v>100</v>
      </c>
      <c r="T35" s="705" t="s">
        <v>18</v>
      </c>
      <c r="U35" s="706">
        <f t="shared" si="13"/>
        <v>100</v>
      </c>
      <c r="V35" s="705" t="s">
        <v>18</v>
      </c>
      <c r="W35" s="706">
        <f t="shared" si="14"/>
        <v>100</v>
      </c>
      <c r="X35" s="1355"/>
      <c r="Y35" s="3838"/>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836"/>
      <c r="Q36" s="1352" t="str">
        <f t="shared" si="11"/>
        <v>公共部分装修</v>
      </c>
      <c r="R36" s="705" t="s">
        <v>18</v>
      </c>
      <c r="S36" s="706">
        <f t="shared" si="12"/>
        <v>100</v>
      </c>
      <c r="T36" s="705" t="s">
        <v>18</v>
      </c>
      <c r="U36" s="706">
        <f t="shared" si="13"/>
        <v>100</v>
      </c>
      <c r="V36" s="705" t="s">
        <v>18</v>
      </c>
      <c r="W36" s="706">
        <f t="shared" si="14"/>
        <v>100</v>
      </c>
      <c r="X36" s="1355"/>
      <c r="Y36" s="3838"/>
      <c r="Z36" s="1356" t="str">
        <f t="shared" si="18"/>
        <v>公共部分装修</v>
      </c>
      <c r="AA36" s="1353">
        <f t="shared" si="15"/>
        <v>1</v>
      </c>
      <c r="AB36" s="1353">
        <f t="shared" si="16"/>
        <v>1</v>
      </c>
      <c r="AC36" s="1353">
        <f t="shared" si="17"/>
        <v>1</v>
      </c>
    </row>
    <row r="37" spans="1:29" s="108" customFormat="1" ht="15">
      <c r="A37" s="424"/>
      <c r="B37" s="375" t="s">
        <v>1701</v>
      </c>
      <c r="C37" s="3457">
        <f>'数据-取费表'!N6</f>
        <v>0.75</v>
      </c>
      <c r="D37" s="3456">
        <v>100</v>
      </c>
      <c r="E37" s="3457">
        <v>0.72</v>
      </c>
      <c r="F37" s="3458">
        <f>LOOKUP(E37,112:112,113:113)-LOOKUP(C37,112:112,113:113)+100</f>
        <v>100</v>
      </c>
      <c r="G37" s="3459">
        <v>0.98</v>
      </c>
      <c r="H37" s="3456">
        <f>LOOKUP(G37,112:112,113:113)-LOOKUP(C37,112:112,113:113)+100</f>
        <v>106</v>
      </c>
      <c r="I37" s="3460">
        <v>0.98</v>
      </c>
      <c r="J37" s="127">
        <f>LOOKUP(I37,112:112,113:113)-LOOKUP(C37,112:112,113:113)+100</f>
        <v>106</v>
      </c>
      <c r="K37" s="377">
        <v>3</v>
      </c>
      <c r="L37" s="2717"/>
      <c r="M37" s="2718"/>
      <c r="N37" s="2718"/>
      <c r="O37" s="2718"/>
      <c r="P37" s="3836"/>
      <c r="Q37" s="1343" t="str">
        <f t="shared" si="11"/>
        <v>成新度</v>
      </c>
      <c r="R37" s="701" t="s">
        <v>18</v>
      </c>
      <c r="S37" s="702">
        <f t="shared" si="12"/>
        <v>100</v>
      </c>
      <c r="T37" s="701" t="s">
        <v>18</v>
      </c>
      <c r="U37" s="702">
        <f t="shared" si="13"/>
        <v>106</v>
      </c>
      <c r="V37" s="701" t="s">
        <v>18</v>
      </c>
      <c r="W37" s="702">
        <f t="shared" si="14"/>
        <v>106</v>
      </c>
      <c r="X37" s="703"/>
      <c r="Y37" s="3838"/>
      <c r="Z37" s="52" t="str">
        <f t="shared" si="18"/>
        <v>成新度</v>
      </c>
      <c r="AA37" s="704">
        <f t="shared" si="15"/>
        <v>1</v>
      </c>
      <c r="AB37" s="704">
        <f t="shared" si="16"/>
        <v>0.94339622641509435</v>
      </c>
      <c r="AC37" s="704">
        <f t="shared" si="17"/>
        <v>0.94339622641509435</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836" t="s">
        <v>1696</v>
      </c>
      <c r="Q38" s="1352" t="str">
        <f t="shared" si="11"/>
        <v>物业管理</v>
      </c>
      <c r="R38" s="705" t="s">
        <v>18</v>
      </c>
      <c r="S38" s="706">
        <f t="shared" si="12"/>
        <v>100</v>
      </c>
      <c r="T38" s="705" t="s">
        <v>18</v>
      </c>
      <c r="U38" s="706">
        <f t="shared" si="13"/>
        <v>100</v>
      </c>
      <c r="V38" s="705" t="s">
        <v>18</v>
      </c>
      <c r="W38" s="706">
        <f t="shared" si="14"/>
        <v>100</v>
      </c>
      <c r="X38" s="1355"/>
      <c r="Y38" s="3838" t="s">
        <v>1696</v>
      </c>
      <c r="Z38" s="1356" t="str">
        <f t="shared" si="18"/>
        <v>物业管理</v>
      </c>
      <c r="AA38" s="1353">
        <f t="shared" si="15"/>
        <v>1</v>
      </c>
      <c r="AB38" s="1353">
        <f t="shared" si="16"/>
        <v>1</v>
      </c>
      <c r="AC38" s="1353">
        <f t="shared" si="17"/>
        <v>1</v>
      </c>
    </row>
    <row r="39" spans="1:29" ht="15">
      <c r="A39" s="423"/>
      <c r="B39" s="375" t="s">
        <v>1703</v>
      </c>
      <c r="C39" s="1906" t="s">
        <v>3476</v>
      </c>
      <c r="D39" s="386">
        <v>100</v>
      </c>
      <c r="E39" s="1907" t="s">
        <v>3476</v>
      </c>
      <c r="F39" s="412">
        <f>SUMIF(116:116,E39,117:117)-SUMIF(116:116,C39,117:117)+100</f>
        <v>100</v>
      </c>
      <c r="G39" s="1906" t="s">
        <v>3476</v>
      </c>
      <c r="H39" s="386">
        <f>SUMIF(116:116,G39,117:117)-SUMIF(116:116,C39,117:117)+100</f>
        <v>100</v>
      </c>
      <c r="I39" s="1907" t="s">
        <v>3476</v>
      </c>
      <c r="J39" s="386">
        <f>SUMIF(116:116,I39,117:117)-SUMIF(116:116,C39,117:117)+100</f>
        <v>100</v>
      </c>
      <c r="K39" s="377"/>
      <c r="L39" s="2722"/>
      <c r="M39" s="2716"/>
      <c r="N39" s="2716"/>
      <c r="O39" s="2716"/>
      <c r="P39" s="3836"/>
      <c r="Q39" s="1352" t="str">
        <f t="shared" si="11"/>
        <v>市政基础设施</v>
      </c>
      <c r="R39" s="705" t="s">
        <v>18</v>
      </c>
      <c r="S39" s="706">
        <f t="shared" si="12"/>
        <v>100</v>
      </c>
      <c r="T39" s="705" t="s">
        <v>18</v>
      </c>
      <c r="U39" s="706">
        <f t="shared" si="13"/>
        <v>100</v>
      </c>
      <c r="V39" s="705" t="s">
        <v>18</v>
      </c>
      <c r="W39" s="706">
        <f t="shared" si="14"/>
        <v>100</v>
      </c>
      <c r="X39" s="1355"/>
      <c r="Y39" s="3838"/>
      <c r="Z39" s="1356" t="str">
        <f t="shared" si="18"/>
        <v>市政基础设施</v>
      </c>
      <c r="AA39" s="1353">
        <f t="shared" si="15"/>
        <v>1</v>
      </c>
      <c r="AB39" s="1353">
        <f t="shared" si="16"/>
        <v>1</v>
      </c>
      <c r="AC39" s="1353">
        <f t="shared" si="17"/>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836"/>
      <c r="Q40" s="1352" t="str">
        <f t="shared" si="11"/>
        <v>房型</v>
      </c>
      <c r="R40" s="705" t="s">
        <v>18</v>
      </c>
      <c r="S40" s="706">
        <f t="shared" si="12"/>
        <v>100</v>
      </c>
      <c r="T40" s="705" t="s">
        <v>18</v>
      </c>
      <c r="U40" s="706">
        <f t="shared" si="13"/>
        <v>100</v>
      </c>
      <c r="V40" s="705" t="s">
        <v>18</v>
      </c>
      <c r="W40" s="706">
        <f t="shared" si="14"/>
        <v>100</v>
      </c>
      <c r="X40" s="1355"/>
      <c r="Y40" s="3838"/>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36"/>
      <c r="Q41" s="707" t="str">
        <f t="shared" si="11"/>
        <v>单套/主力户型建筑面积</v>
      </c>
      <c r="R41" s="708" t="s">
        <v>18</v>
      </c>
      <c r="S41" s="709">
        <f t="shared" si="12"/>
        <v>100</v>
      </c>
      <c r="T41" s="708" t="s">
        <v>18</v>
      </c>
      <c r="U41" s="709">
        <f t="shared" si="13"/>
        <v>100</v>
      </c>
      <c r="V41" s="708" t="s">
        <v>18</v>
      </c>
      <c r="W41" s="709">
        <f t="shared" si="14"/>
        <v>100</v>
      </c>
      <c r="X41" s="710"/>
      <c r="Y41" s="3838"/>
      <c r="Z41" s="711" t="str">
        <f t="shared" si="18"/>
        <v>单套/主力户型建筑面积</v>
      </c>
      <c r="AA41" s="1353">
        <f t="shared" si="15"/>
        <v>1</v>
      </c>
      <c r="AB41" s="1353">
        <f t="shared" si="16"/>
        <v>1</v>
      </c>
      <c r="AC41" s="1353">
        <f t="shared" si="17"/>
        <v>1</v>
      </c>
    </row>
    <row r="42" spans="1:29" ht="15">
      <c r="A42" s="423"/>
      <c r="B42" s="375" t="s">
        <v>1706</v>
      </c>
      <c r="C42" s="1906" t="s">
        <v>3477</v>
      </c>
      <c r="D42" s="386">
        <v>100</v>
      </c>
      <c r="E42" s="1907" t="s">
        <v>3477</v>
      </c>
      <c r="F42" s="412">
        <f>SUMIF(122:122,E42,123:123)-SUMIF(122:122,C42,123:123)+100</f>
        <v>100</v>
      </c>
      <c r="G42" s="1906" t="s">
        <v>3477</v>
      </c>
      <c r="H42" s="386">
        <f>SUMIF(122:122,G42,123:123)-SUMIF(122:122,C42,123:123)+100</f>
        <v>100</v>
      </c>
      <c r="I42" s="1907" t="s">
        <v>3477</v>
      </c>
      <c r="J42" s="386">
        <f>SUMIF(122:122,I42,123:123)-SUMIF(122:122,C42,123:123)+100</f>
        <v>100</v>
      </c>
      <c r="K42" s="377"/>
      <c r="L42" s="2722"/>
      <c r="M42" s="2716"/>
      <c r="N42" s="2716"/>
      <c r="O42" s="2716"/>
      <c r="P42" s="3836"/>
      <c r="Q42" s="1352" t="str">
        <f t="shared" si="11"/>
        <v>内部装修</v>
      </c>
      <c r="R42" s="705" t="s">
        <v>18</v>
      </c>
      <c r="S42" s="706">
        <f t="shared" si="12"/>
        <v>100</v>
      </c>
      <c r="T42" s="705" t="s">
        <v>18</v>
      </c>
      <c r="U42" s="706">
        <f t="shared" si="13"/>
        <v>100</v>
      </c>
      <c r="V42" s="705" t="s">
        <v>18</v>
      </c>
      <c r="W42" s="706">
        <f t="shared" si="14"/>
        <v>100</v>
      </c>
      <c r="X42" s="1355"/>
      <c r="Y42" s="3838"/>
      <c r="Z42" s="1356" t="str">
        <f t="shared" si="18"/>
        <v>内部装修</v>
      </c>
      <c r="AA42" s="1353">
        <f t="shared" si="15"/>
        <v>1</v>
      </c>
      <c r="AB42" s="1353">
        <f t="shared" si="16"/>
        <v>1</v>
      </c>
      <c r="AC42" s="1353">
        <f t="shared" si="17"/>
        <v>1</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836"/>
      <c r="Q43" s="1352" t="str">
        <f t="shared" si="11"/>
        <v>内部装修维护情况</v>
      </c>
      <c r="R43" s="705" t="s">
        <v>18</v>
      </c>
      <c r="S43" s="706">
        <f t="shared" si="12"/>
        <v>100</v>
      </c>
      <c r="T43" s="705" t="s">
        <v>18</v>
      </c>
      <c r="U43" s="706">
        <f t="shared" si="13"/>
        <v>100</v>
      </c>
      <c r="V43" s="705" t="s">
        <v>18</v>
      </c>
      <c r="W43" s="706">
        <f t="shared" si="14"/>
        <v>100</v>
      </c>
      <c r="X43" s="1355"/>
      <c r="Y43" s="3838"/>
      <c r="Z43" s="1356" t="str">
        <f t="shared" si="18"/>
        <v>内部装修维护情况</v>
      </c>
      <c r="AA43" s="1353">
        <f t="shared" si="15"/>
        <v>1</v>
      </c>
      <c r="AB43" s="1353">
        <f t="shared" si="16"/>
        <v>1</v>
      </c>
      <c r="AC43" s="1353">
        <f t="shared" si="17"/>
        <v>1</v>
      </c>
    </row>
    <row r="44" spans="1:29" s="108" customFormat="1" ht="15">
      <c r="A44" s="424"/>
      <c r="B44" s="3450">
        <v>111</v>
      </c>
      <c r="C44" s="3531"/>
      <c r="D44" s="127">
        <v>100</v>
      </c>
      <c r="E44" s="420"/>
      <c r="F44" s="376">
        <f>SUMIF(126:126,E44,127:127)-SUMIF(126:126,C44,127:127)+100</f>
        <v>100</v>
      </c>
      <c r="G44" s="3531"/>
      <c r="H44" s="127">
        <f>SUMIF(126:126,G44,127:127)-SUMIF(126:126,C44,127:127)+100</f>
        <v>100</v>
      </c>
      <c r="I44" s="3531"/>
      <c r="J44" s="127">
        <f>SUMIF(126:126,I44,127:127)-SUMIF(126:126,C44,127:127)+100</f>
        <v>100</v>
      </c>
      <c r="K44" s="1894"/>
      <c r="L44" s="2717"/>
      <c r="M44" s="2718"/>
      <c r="N44" s="2718"/>
      <c r="O44" s="2718"/>
      <c r="P44" s="3836"/>
      <c r="Q44" s="1343">
        <f t="shared" si="11"/>
        <v>111</v>
      </c>
      <c r="R44" s="701" t="s">
        <v>18</v>
      </c>
      <c r="S44" s="702">
        <f t="shared" si="12"/>
        <v>100</v>
      </c>
      <c r="T44" s="701" t="s">
        <v>18</v>
      </c>
      <c r="U44" s="702">
        <f t="shared" si="13"/>
        <v>100</v>
      </c>
      <c r="V44" s="701" t="s">
        <v>18</v>
      </c>
      <c r="W44" s="702">
        <f t="shared" si="14"/>
        <v>100</v>
      </c>
      <c r="X44" s="703"/>
      <c r="Y44" s="383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36"/>
      <c r="Q45" s="1352">
        <f t="shared" si="11"/>
        <v>111</v>
      </c>
      <c r="R45" s="705" t="s">
        <v>18</v>
      </c>
      <c r="S45" s="706">
        <f t="shared" si="12"/>
        <v>100</v>
      </c>
      <c r="T45" s="705" t="s">
        <v>18</v>
      </c>
      <c r="U45" s="706">
        <f t="shared" si="13"/>
        <v>100</v>
      </c>
      <c r="V45" s="705" t="s">
        <v>18</v>
      </c>
      <c r="W45" s="706">
        <f t="shared" si="14"/>
        <v>100</v>
      </c>
      <c r="X45" s="1355"/>
      <c r="Y45" s="3838"/>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37"/>
      <c r="Q46" s="1352">
        <f t="shared" si="11"/>
        <v>111</v>
      </c>
      <c r="R46" s="705" t="s">
        <v>17</v>
      </c>
      <c r="S46" s="706">
        <f t="shared" si="12"/>
        <v>100</v>
      </c>
      <c r="T46" s="705" t="s">
        <v>17</v>
      </c>
      <c r="U46" s="706">
        <f t="shared" si="13"/>
        <v>100</v>
      </c>
      <c r="V46" s="705" t="s">
        <v>17</v>
      </c>
      <c r="W46" s="706">
        <f t="shared" si="14"/>
        <v>100</v>
      </c>
      <c r="X46" s="1355"/>
      <c r="Y46" s="3839"/>
      <c r="Z46" s="1356">
        <f t="shared" si="18"/>
        <v>111</v>
      </c>
      <c r="AA46" s="1353">
        <f t="shared" si="15"/>
        <v>1</v>
      </c>
      <c r="AB46" s="1353">
        <f t="shared" si="16"/>
        <v>1</v>
      </c>
      <c r="AC46" s="1353">
        <f t="shared" si="17"/>
        <v>1</v>
      </c>
    </row>
    <row r="47" spans="1:29" ht="14.4">
      <c r="A47" s="430" t="s">
        <v>1708</v>
      </c>
      <c r="B47" s="431"/>
      <c r="C47" s="1154" t="s">
        <v>16</v>
      </c>
      <c r="D47" s="1155"/>
      <c r="E47" s="1156">
        <f>Sheet1!R3</f>
        <v>5488</v>
      </c>
      <c r="F47" s="1157"/>
      <c r="G47" s="1158">
        <f>Sheet1!R9</f>
        <v>6177</v>
      </c>
      <c r="H47" s="1159"/>
      <c r="I47" s="3530">
        <f>Sheet1!R52</f>
        <v>5530</v>
      </c>
      <c r="J47" s="1159"/>
      <c r="K47" s="1914"/>
      <c r="L47" s="2724"/>
      <c r="M47" s="2725"/>
      <c r="N47" s="2716"/>
      <c r="O47" s="2725"/>
      <c r="P47" s="3831" t="str">
        <f>A47</f>
        <v>成交单价（元/平方米）</v>
      </c>
      <c r="Q47" s="3831"/>
      <c r="R47" s="3832">
        <f>E47</f>
        <v>5488</v>
      </c>
      <c r="S47" s="3832"/>
      <c r="T47" s="3832">
        <f>G47</f>
        <v>6177</v>
      </c>
      <c r="U47" s="3832"/>
      <c r="V47" s="3832">
        <f>I47</f>
        <v>5530</v>
      </c>
      <c r="W47" s="3832"/>
      <c r="X47" s="690"/>
      <c r="Y47" s="712"/>
      <c r="Z47" s="690"/>
      <c r="AA47" s="690"/>
      <c r="AB47" s="690"/>
      <c r="AC47" s="690"/>
    </row>
    <row r="48" spans="1:29" ht="15" thickBot="1">
      <c r="A48" s="437" t="s">
        <v>1709</v>
      </c>
      <c r="B48" s="438"/>
      <c r="C48" s="1160">
        <f>R49</f>
        <v>5167</v>
      </c>
      <c r="D48" s="2317" t="s">
        <v>2138</v>
      </c>
      <c r="E48" s="1161">
        <f>R48</f>
        <v>5350</v>
      </c>
      <c r="F48" s="2318"/>
      <c r="G48" s="1160">
        <f>T48</f>
        <v>5299</v>
      </c>
      <c r="H48" s="2318"/>
      <c r="I48" s="1161">
        <f>V48</f>
        <v>4852</v>
      </c>
      <c r="J48" s="2318"/>
      <c r="K48" s="2319">
        <f>F48+H48+J48</f>
        <v>0</v>
      </c>
      <c r="L48" s="2724"/>
      <c r="M48" s="2725"/>
      <c r="N48" s="2725"/>
      <c r="O48" s="2725"/>
      <c r="P48" s="3831" t="str">
        <f>A48</f>
        <v>比较价值（元/平方米）</v>
      </c>
      <c r="Q48" s="3831"/>
      <c r="R48" s="3832">
        <f>IF(F1="售价",ROUND(PRODUCT(R47,AA7:AA46),0),ROUND(PRODUCT(R47,AA7:AA46),1))</f>
        <v>5350</v>
      </c>
      <c r="S48" s="3832"/>
      <c r="T48" s="3832">
        <f>IF(F1="售价",ROUND(PRODUCT(T47,AB7:AB46),0),ROUND(PRODUCT(T47,AB7:AB46),1))</f>
        <v>5299</v>
      </c>
      <c r="U48" s="3832"/>
      <c r="V48" s="3832">
        <f>IF(F1="售价",ROUND(PRODUCT(V47,AC7:AC46),0),ROUND(PRODUCT(V47,AC7:AC46),1))</f>
        <v>4852</v>
      </c>
      <c r="W48" s="3832"/>
      <c r="X48" s="690"/>
      <c r="Y48" s="690"/>
      <c r="Z48" s="690"/>
      <c r="AA48" s="690"/>
      <c r="AB48" s="690"/>
      <c r="AC48" s="690"/>
    </row>
    <row r="49" spans="1:29" ht="15" thickBot="1">
      <c r="A49" s="441" t="s">
        <v>1710</v>
      </c>
      <c r="B49" s="442"/>
      <c r="C49" s="1162">
        <f>R49</f>
        <v>5167</v>
      </c>
      <c r="D49" s="1163"/>
      <c r="E49" s="1163"/>
      <c r="F49" s="1163"/>
      <c r="G49" s="1163"/>
      <c r="H49" s="1163"/>
      <c r="I49" s="1163"/>
      <c r="J49" s="1163"/>
      <c r="K49" s="1915"/>
      <c r="L49" s="2724"/>
      <c r="M49" s="2725"/>
      <c r="N49" s="2725"/>
      <c r="O49" s="2725"/>
      <c r="P49" s="3828" t="str">
        <f>A49</f>
        <v>估价对象XX用房的比较价值（楼面单价，元/平方米）</v>
      </c>
      <c r="Q49" s="3829"/>
      <c r="R49" s="3830">
        <f>IF(F1="售价",ROUND(IF(D48="简单平均",AVERAGE(R48:V48),R48*F48+T48*H48+V48*J48),0),ROUND(IF(D48="简单平均",AVERAGE(R48:V48),R48*F48+T48*H48+V48*J48),1))</f>
        <v>5167</v>
      </c>
      <c r="S49" s="3830"/>
      <c r="T49" s="3830"/>
      <c r="U49" s="3830"/>
      <c r="V49" s="3830"/>
      <c r="W49" s="38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2.5794392523364573E-2</v>
      </c>
      <c r="F52" s="449" t="str">
        <f>IF(OR(E52&gt;=0.3,E52&lt;=-0.3),"超过30%","")</f>
        <v/>
      </c>
      <c r="G52" s="448">
        <f>IF(G47&lt;G48,G48/G47-1,G47/G48-1)</f>
        <v>0.16569163993206271</v>
      </c>
      <c r="H52" s="449" t="str">
        <f>IF(OR(G52&gt;=0.3,G52&lt;=-0.3),"超过30%","")</f>
        <v/>
      </c>
      <c r="I52" s="448">
        <f>IF(I47&lt;I48,I48/I47-1,I47/I48-1)</f>
        <v>0.13973619126133552</v>
      </c>
      <c r="J52" s="449" t="str">
        <f>IF(OR(I52&gt;=0.3,I52&lt;=-0.3),"超过30%","")</f>
        <v/>
      </c>
      <c r="K52" s="2730"/>
      <c r="L52" s="2726"/>
      <c r="M52" s="2725"/>
      <c r="N52" s="2725"/>
      <c r="O52" s="2725"/>
    </row>
    <row r="53" spans="1:29" ht="13.5" customHeight="1">
      <c r="A53" s="2725"/>
      <c r="B53" s="2725"/>
      <c r="C53" s="446" t="s">
        <v>1712</v>
      </c>
      <c r="D53" s="450"/>
      <c r="E53" s="448">
        <f>IF(E48&lt;G48,G48/E48-1,E48/G48-1)</f>
        <v>9.6244574448010045E-3</v>
      </c>
      <c r="F53" s="449" t="str">
        <f>IF(OR(E53&gt;=0.2,E53&lt;=-0.2),"超过20%","")</f>
        <v/>
      </c>
      <c r="G53" s="448">
        <f>IF(G48&lt;I48,I48/G48-1,G48/I48-1)</f>
        <v>9.2126957955482203E-2</v>
      </c>
      <c r="H53" s="449" t="str">
        <f>IF(OR(G53&gt;=0.2,G53&lt;=-0.2),"超过20%","")</f>
        <v/>
      </c>
      <c r="I53" s="448">
        <f>IF(I48&lt;E48,E48/I48-1,I48/E48-1)</f>
        <v>0.10263808738664459</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0.12554664723032061</v>
      </c>
      <c r="F54" s="449" t="str">
        <f>IF(OR(E54&gt;=0.3,E54&lt;=-0.3),"超过30%","")</f>
        <v/>
      </c>
      <c r="G54" s="448">
        <f>IF(G47&lt;I47,I47/G47-1,G47/I47-1)</f>
        <v>0.11699819168173597</v>
      </c>
      <c r="H54" s="449" t="str">
        <f>IF(OR(G54&gt;=0.3,G54&lt;=-0.3),"超过30%","")</f>
        <v/>
      </c>
      <c r="I54" s="448">
        <f>IF(I47&lt;E47,E47/I47-1,I47/E47-1)</f>
        <v>7.6530612244898322E-3</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2004-9</v>
      </c>
      <c r="D58" s="1185">
        <f>EDATE(C58,-1)</f>
        <v>38200</v>
      </c>
      <c r="E58" s="1185">
        <f>EDATE(D58,-1)</f>
        <v>38169</v>
      </c>
      <c r="F58" s="1185">
        <f t="shared" ref="F58:O58" si="19">EDATE(E58,-1)</f>
        <v>38139</v>
      </c>
      <c r="G58" s="1185">
        <f t="shared" si="19"/>
        <v>38108</v>
      </c>
      <c r="H58" s="1185">
        <f t="shared" si="19"/>
        <v>38078</v>
      </c>
      <c r="I58" s="1185">
        <f t="shared" si="19"/>
        <v>38047</v>
      </c>
      <c r="J58" s="1185">
        <f t="shared" si="19"/>
        <v>38018</v>
      </c>
      <c r="K58" s="1185">
        <f t="shared" si="19"/>
        <v>37987</v>
      </c>
      <c r="L58" s="1185">
        <f t="shared" si="19"/>
        <v>37956</v>
      </c>
      <c r="M58" s="1185">
        <f t="shared" si="19"/>
        <v>37926</v>
      </c>
      <c r="N58" s="1185">
        <f t="shared" si="19"/>
        <v>37895</v>
      </c>
      <c r="O58" s="1185">
        <f t="shared" si="19"/>
        <v>37865</v>
      </c>
      <c r="P58" s="1181"/>
    </row>
    <row r="59" spans="1:29" s="108" customFormat="1">
      <c r="A59" s="458"/>
      <c r="B59" s="1919"/>
      <c r="C59" s="1183">
        <v>100</v>
      </c>
      <c r="D59" s="460">
        <v>99.8</v>
      </c>
      <c r="E59" s="461">
        <f>D59</f>
        <v>99.8</v>
      </c>
      <c r="F59" s="461">
        <f>D59</f>
        <v>99.8</v>
      </c>
      <c r="G59" s="461">
        <v>99.6</v>
      </c>
      <c r="H59" s="461">
        <f>G59</f>
        <v>99.6</v>
      </c>
      <c r="I59" s="461">
        <f>G59</f>
        <v>99.6</v>
      </c>
      <c r="J59" s="461">
        <v>99.4</v>
      </c>
      <c r="K59" s="461">
        <f>J59</f>
        <v>99.4</v>
      </c>
      <c r="L59" s="461">
        <f>J59</f>
        <v>99.4</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529" t="s">
        <v>3473</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4051</v>
      </c>
      <c r="D70" s="3451" t="s">
        <v>4052</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3412</v>
      </c>
      <c r="D88" s="3451" t="s">
        <v>3414</v>
      </c>
      <c r="E88" s="3451" t="s">
        <v>3417</v>
      </c>
      <c r="F88" s="3454" t="s">
        <v>3418</v>
      </c>
      <c r="G88" s="3451" t="s">
        <v>3419</v>
      </c>
      <c r="H88" s="503"/>
      <c r="I88" s="503"/>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503" t="str">
        <f>C27</f>
        <v>16/24</v>
      </c>
      <c r="D90" s="503" t="str">
        <f>E27</f>
        <v>15/18</v>
      </c>
      <c r="E90" s="3461" t="str">
        <f>G27</f>
        <v>9/15</v>
      </c>
      <c r="F90" s="3461" t="str">
        <f>I27</f>
        <v>2/16</v>
      </c>
      <c r="G90" s="503"/>
      <c r="H90" s="504"/>
      <c r="I90" s="504"/>
      <c r="J90" s="504"/>
      <c r="K90" s="504"/>
      <c r="L90" s="505"/>
      <c r="M90" s="506"/>
      <c r="N90" s="935"/>
      <c r="O90" s="935"/>
      <c r="P90" s="1923"/>
      <c r="Q90" s="508"/>
    </row>
    <row r="91" spans="1:17" s="422" customFormat="1" ht="14.4" thickBot="1">
      <c r="A91" s="502"/>
      <c r="B91" s="492"/>
      <c r="C91" s="509">
        <v>100</v>
      </c>
      <c r="D91" s="509">
        <v>103</v>
      </c>
      <c r="E91" s="509">
        <v>100</v>
      </c>
      <c r="F91" s="509">
        <v>97</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3406</v>
      </c>
      <c r="D100" s="3453" t="s">
        <v>3423</v>
      </c>
      <c r="E100" s="3453" t="s">
        <v>3424</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1737</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103</v>
      </c>
      <c r="E113" s="493">
        <f>D113+$K37</f>
        <v>106</v>
      </c>
      <c r="F113" s="493">
        <f>E113+$K37</f>
        <v>109</v>
      </c>
      <c r="G113" s="493">
        <f>F113+$K37</f>
        <v>112</v>
      </c>
      <c r="H113" s="493">
        <f>G113+$K37</f>
        <v>115</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3407</v>
      </c>
      <c r="D116" s="3451" t="s">
        <v>3425</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3478</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f>C44</f>
        <v>0</v>
      </c>
      <c r="D126" s="3451" t="s">
        <v>4047</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S61"/>
  <sheetViews>
    <sheetView topLeftCell="B1" workbookViewId="0">
      <selection activeCell="N65" sqref="N65"/>
    </sheetView>
  </sheetViews>
  <sheetFormatPr defaultRowHeight="14.4"/>
  <cols>
    <col min="1" max="1" width="21.33203125" customWidth="1"/>
    <col min="36" max="36" width="17.21875" customWidth="1"/>
    <col min="59" max="59" width="17.77734375" customWidth="1"/>
  </cols>
  <sheetData>
    <row r="1" spans="1:253" s="3476" customFormat="1" ht="12">
      <c r="A1" s="3462"/>
      <c r="B1" s="3463"/>
      <c r="C1" s="3462"/>
      <c r="D1" s="3462"/>
      <c r="E1" s="3462"/>
      <c r="F1" s="3462"/>
      <c r="G1" s="3462"/>
      <c r="H1" s="3462"/>
      <c r="I1" s="3462"/>
      <c r="J1" s="3462"/>
      <c r="K1" s="3463"/>
      <c r="L1" s="3464"/>
      <c r="M1" s="3463"/>
      <c r="N1" s="3463"/>
      <c r="O1" s="3463"/>
      <c r="P1" s="3463"/>
      <c r="Q1" s="3465"/>
      <c r="R1" s="3464"/>
      <c r="S1" s="3464"/>
      <c r="T1" s="3466"/>
      <c r="U1" s="3465"/>
      <c r="V1" s="3463" t="s">
        <v>3427</v>
      </c>
      <c r="W1" s="3463"/>
      <c r="X1" s="3466"/>
      <c r="Y1" s="3463"/>
      <c r="Z1" s="3463" t="s">
        <v>3428</v>
      </c>
      <c r="AA1" s="3463"/>
      <c r="AB1" s="3463"/>
      <c r="AC1" s="3463"/>
      <c r="AD1" s="3463"/>
      <c r="AE1" s="3463"/>
      <c r="AF1" s="3463"/>
      <c r="AG1" s="3463"/>
      <c r="AH1" s="3463"/>
      <c r="AI1" s="3463"/>
      <c r="AJ1" s="3467"/>
      <c r="AK1" s="3463"/>
      <c r="AL1" s="3876" t="s">
        <v>3481</v>
      </c>
      <c r="AM1" s="3877"/>
      <c r="AN1" s="3548" t="s">
        <v>3482</v>
      </c>
      <c r="AO1" s="3548" t="s">
        <v>3483</v>
      </c>
      <c r="AP1" s="3548"/>
      <c r="AQ1" s="3548"/>
      <c r="AR1" s="3468"/>
      <c r="AS1" s="3468" t="s">
        <v>3484</v>
      </c>
      <c r="AT1" s="3468"/>
      <c r="AU1" s="3468"/>
      <c r="AV1" s="3548"/>
      <c r="AW1" s="3469"/>
      <c r="AX1" s="3469"/>
      <c r="AY1" s="3470"/>
      <c r="AZ1" s="3469"/>
      <c r="BA1" s="3469"/>
      <c r="BB1" s="3470"/>
      <c r="BC1" s="3469"/>
      <c r="BD1" s="3471"/>
      <c r="BE1" s="3469"/>
      <c r="BF1" s="3472"/>
      <c r="BG1" s="3473"/>
      <c r="BH1" s="3469"/>
      <c r="BI1" s="3469"/>
      <c r="BJ1" s="3474" t="s">
        <v>3485</v>
      </c>
      <c r="BK1" s="3474" t="s">
        <v>3486</v>
      </c>
      <c r="BL1" s="3463"/>
      <c r="BM1" s="3475"/>
      <c r="BN1" s="3475"/>
      <c r="BO1" s="3475"/>
      <c r="BP1" s="3475"/>
      <c r="BQ1" s="3468"/>
      <c r="BR1" s="3468"/>
    </row>
    <row r="2" spans="1:253" s="3488" customFormat="1" ht="15.6">
      <c r="A2" s="3477" t="s">
        <v>3487</v>
      </c>
      <c r="B2" s="3548" t="s">
        <v>3429</v>
      </c>
      <c r="C2" s="3477" t="s">
        <v>3430</v>
      </c>
      <c r="D2" s="3477" t="s">
        <v>3431</v>
      </c>
      <c r="E2" s="3477" t="s">
        <v>3432</v>
      </c>
      <c r="F2" s="3477" t="s">
        <v>3488</v>
      </c>
      <c r="G2" s="3477" t="s">
        <v>3489</v>
      </c>
      <c r="H2" s="3477" t="s">
        <v>3490</v>
      </c>
      <c r="I2" s="3477" t="s">
        <v>3491</v>
      </c>
      <c r="J2" s="3477" t="s">
        <v>3492</v>
      </c>
      <c r="K2" s="3548" t="s">
        <v>3433</v>
      </c>
      <c r="L2" s="3478" t="s">
        <v>3434</v>
      </c>
      <c r="M2" s="3548" t="s">
        <v>3493</v>
      </c>
      <c r="N2" s="3548" t="s">
        <v>3494</v>
      </c>
      <c r="O2" s="3548" t="s">
        <v>3495</v>
      </c>
      <c r="P2" s="3548" t="s">
        <v>3496</v>
      </c>
      <c r="Q2" s="3479" t="s">
        <v>3497</v>
      </c>
      <c r="R2" s="3478" t="s">
        <v>3498</v>
      </c>
      <c r="S2" s="3478" t="s">
        <v>3435</v>
      </c>
      <c r="T2" s="3480" t="s">
        <v>3436</v>
      </c>
      <c r="U2" s="3479" t="s">
        <v>3499</v>
      </c>
      <c r="V2" s="3548" t="s">
        <v>3437</v>
      </c>
      <c r="W2" s="3548" t="s">
        <v>3438</v>
      </c>
      <c r="X2" s="3480" t="s">
        <v>3439</v>
      </c>
      <c r="Y2" s="3548" t="s">
        <v>3500</v>
      </c>
      <c r="Z2" s="3548" t="s">
        <v>3501</v>
      </c>
      <c r="AA2" s="3548" t="s">
        <v>3502</v>
      </c>
      <c r="AB2" s="3548" t="s">
        <v>3440</v>
      </c>
      <c r="AC2" s="3548" t="s">
        <v>3503</v>
      </c>
      <c r="AD2" s="3548" t="s">
        <v>3441</v>
      </c>
      <c r="AE2" s="3548" t="s">
        <v>3442</v>
      </c>
      <c r="AF2" s="3548" t="s">
        <v>3443</v>
      </c>
      <c r="AG2" s="3548" t="s">
        <v>3444</v>
      </c>
      <c r="AH2" s="3548" t="s">
        <v>3445</v>
      </c>
      <c r="AI2" s="3548" t="s">
        <v>3504</v>
      </c>
      <c r="AJ2" s="3481" t="s">
        <v>3505</v>
      </c>
      <c r="AK2" s="3548" t="s">
        <v>3506</v>
      </c>
      <c r="AL2" s="3548" t="s">
        <v>3507</v>
      </c>
      <c r="AM2" s="3548" t="s">
        <v>3508</v>
      </c>
      <c r="AN2" s="3548" t="s">
        <v>3509</v>
      </c>
      <c r="AO2" s="3548" t="s">
        <v>3510</v>
      </c>
      <c r="AP2" s="3548" t="s">
        <v>3511</v>
      </c>
      <c r="AQ2" s="3548" t="s">
        <v>3512</v>
      </c>
      <c r="AR2" s="3468" t="s">
        <v>3513</v>
      </c>
      <c r="AS2" s="3468" t="s">
        <v>3514</v>
      </c>
      <c r="AT2" s="3468" t="s">
        <v>3515</v>
      </c>
      <c r="AU2" s="3468" t="s">
        <v>3516</v>
      </c>
      <c r="AV2" s="3548" t="s">
        <v>3517</v>
      </c>
      <c r="AW2" s="3482" t="s">
        <v>3518</v>
      </c>
      <c r="AX2" s="3483" t="s">
        <v>3519</v>
      </c>
      <c r="AY2" s="3484" t="s">
        <v>3520</v>
      </c>
      <c r="AZ2" s="3482" t="s">
        <v>3521</v>
      </c>
      <c r="BA2" s="3482" t="s">
        <v>3522</v>
      </c>
      <c r="BB2" s="3484" t="s">
        <v>3523</v>
      </c>
      <c r="BC2" s="3482" t="s">
        <v>3524</v>
      </c>
      <c r="BD2" s="3485" t="s">
        <v>3525</v>
      </c>
      <c r="BE2" s="3482" t="s">
        <v>3526</v>
      </c>
      <c r="BF2" s="3486" t="s">
        <v>3527</v>
      </c>
      <c r="BG2" s="3487" t="s">
        <v>3528</v>
      </c>
      <c r="BH2" s="3487" t="s">
        <v>3529</v>
      </c>
      <c r="BI2" s="3487" t="s">
        <v>3530</v>
      </c>
      <c r="BJ2" s="3474" t="s">
        <v>3531</v>
      </c>
      <c r="BK2" s="3474" t="s">
        <v>3532</v>
      </c>
      <c r="BL2" s="3468" t="s">
        <v>3533</v>
      </c>
      <c r="BM2" s="3475" t="s">
        <v>3534</v>
      </c>
      <c r="BN2" s="3475" t="s">
        <v>3535</v>
      </c>
      <c r="BO2" s="3475" t="s">
        <v>3536</v>
      </c>
      <c r="BP2" s="3475"/>
      <c r="BQ2" s="3468" t="s">
        <v>3537</v>
      </c>
      <c r="BR2" s="3468" t="s">
        <v>3538</v>
      </c>
    </row>
    <row r="3" spans="1:253" s="3581" customFormat="1" ht="12">
      <c r="A3" s="3561" t="s">
        <v>4042</v>
      </c>
      <c r="B3" s="3561" t="s">
        <v>3539</v>
      </c>
      <c r="C3" s="3562" t="s">
        <v>3540</v>
      </c>
      <c r="D3" s="3562" t="s">
        <v>3541</v>
      </c>
      <c r="E3" s="3561" t="s">
        <v>3542</v>
      </c>
      <c r="F3" s="3563" t="s">
        <v>4041</v>
      </c>
      <c r="G3" s="3561"/>
      <c r="H3" s="3561" t="s">
        <v>3543</v>
      </c>
      <c r="I3" s="3561"/>
      <c r="J3" s="3562" t="s">
        <v>3544</v>
      </c>
      <c r="K3" s="3561" t="s">
        <v>3545</v>
      </c>
      <c r="L3" s="3564">
        <v>82</v>
      </c>
      <c r="M3" s="3561">
        <v>15</v>
      </c>
      <c r="N3" s="3561" t="s">
        <v>3546</v>
      </c>
      <c r="O3" s="3561"/>
      <c r="P3" s="3561" t="s">
        <v>3458</v>
      </c>
      <c r="Q3" s="3565">
        <v>450000</v>
      </c>
      <c r="R3" s="3564">
        <v>5488</v>
      </c>
      <c r="S3" s="3564">
        <v>43.46</v>
      </c>
      <c r="T3" s="3566">
        <v>434600</v>
      </c>
      <c r="U3" s="3565">
        <v>5300</v>
      </c>
      <c r="V3" s="3567">
        <v>0.2</v>
      </c>
      <c r="W3" s="3568">
        <v>34.76</v>
      </c>
      <c r="X3" s="3569">
        <v>347600</v>
      </c>
      <c r="Y3" s="3570">
        <v>2004</v>
      </c>
      <c r="Z3" s="3570">
        <v>3</v>
      </c>
      <c r="AA3" s="3570">
        <v>16</v>
      </c>
      <c r="AB3" s="3571">
        <v>2170</v>
      </c>
      <c r="AC3" s="3561" t="s">
        <v>3547</v>
      </c>
      <c r="AD3" s="3571"/>
      <c r="AE3" s="3561" t="s">
        <v>3446</v>
      </c>
      <c r="AF3" s="3561" t="s">
        <v>3471</v>
      </c>
      <c r="AG3" s="3561" t="s">
        <v>3447</v>
      </c>
      <c r="AH3" s="3571"/>
      <c r="AI3" s="3561" t="s">
        <v>3448</v>
      </c>
      <c r="AJ3" s="3572"/>
      <c r="AK3" s="3573" t="s">
        <v>3548</v>
      </c>
      <c r="AL3" s="3570">
        <v>67641700</v>
      </c>
      <c r="AM3" s="3570"/>
      <c r="AN3" s="3570" t="s">
        <v>3549</v>
      </c>
      <c r="AO3" s="3570"/>
      <c r="AP3" s="3570" t="s">
        <v>3550</v>
      </c>
      <c r="AQ3" s="3570" t="s">
        <v>3551</v>
      </c>
      <c r="AR3" s="3570">
        <v>2004</v>
      </c>
      <c r="AS3" s="3570">
        <v>3</v>
      </c>
      <c r="AT3" s="3570">
        <v>9</v>
      </c>
      <c r="AU3" s="3570"/>
      <c r="AV3" s="3570"/>
      <c r="AW3" s="3570"/>
      <c r="AX3" s="3570"/>
      <c r="AY3" s="3574"/>
      <c r="AZ3" s="3570"/>
      <c r="BA3" s="3570"/>
      <c r="BB3" s="3574"/>
      <c r="BC3" s="3570"/>
      <c r="BD3" s="3575"/>
      <c r="BE3" s="3570"/>
      <c r="BF3" s="3576"/>
      <c r="BG3" s="3577"/>
      <c r="BH3" s="3570"/>
      <c r="BI3" s="3578" t="s">
        <v>3552</v>
      </c>
      <c r="BJ3" s="3579"/>
      <c r="BK3" s="3579"/>
      <c r="BL3" s="3561"/>
      <c r="BM3" s="3570"/>
      <c r="BN3" s="3570"/>
      <c r="BO3" s="3570"/>
      <c r="BP3" s="3570"/>
      <c r="BQ3" s="3570" t="e">
        <v>#DIV/0!</v>
      </c>
      <c r="BR3" s="3570" t="e">
        <v>#DIV/0!</v>
      </c>
      <c r="BS3" s="3580"/>
      <c r="BT3" s="3580" t="s">
        <v>4046</v>
      </c>
      <c r="BU3" s="3580"/>
    </row>
    <row r="4" spans="1:253" s="3611" customFormat="1" ht="12">
      <c r="A4" s="3598" t="s">
        <v>4043</v>
      </c>
      <c r="B4" s="3598" t="s">
        <v>3556</v>
      </c>
      <c r="C4" s="3599" t="s">
        <v>3557</v>
      </c>
      <c r="D4" s="3600">
        <v>13693360870</v>
      </c>
      <c r="E4" s="3598" t="s">
        <v>3558</v>
      </c>
      <c r="F4" s="3598" t="s">
        <v>4045</v>
      </c>
      <c r="G4" s="3598"/>
      <c r="H4" s="3601" t="s">
        <v>3559</v>
      </c>
      <c r="I4" s="3600" t="s">
        <v>3560</v>
      </c>
      <c r="J4" s="3601" t="s">
        <v>3561</v>
      </c>
      <c r="K4" s="3598" t="s">
        <v>3562</v>
      </c>
      <c r="L4" s="3602">
        <v>91.77</v>
      </c>
      <c r="M4" s="3601">
        <v>17</v>
      </c>
      <c r="N4" s="3598" t="s">
        <v>3563</v>
      </c>
      <c r="O4" s="3598">
        <v>72.34</v>
      </c>
      <c r="P4" s="3598" t="s">
        <v>3458</v>
      </c>
      <c r="Q4" s="3603">
        <v>559797</v>
      </c>
      <c r="R4" s="3602">
        <v>6100</v>
      </c>
      <c r="S4" s="3602">
        <v>55.42</v>
      </c>
      <c r="T4" s="3604">
        <v>554200</v>
      </c>
      <c r="U4" s="3603">
        <v>6040</v>
      </c>
      <c r="V4" s="3605">
        <v>0.05</v>
      </c>
      <c r="W4" s="3606">
        <v>52.64</v>
      </c>
      <c r="X4" s="3607">
        <v>526400</v>
      </c>
      <c r="Y4" s="3598">
        <v>2004</v>
      </c>
      <c r="Z4" s="3598">
        <v>4</v>
      </c>
      <c r="AA4" s="3598">
        <v>1</v>
      </c>
      <c r="AB4" s="3597">
        <v>2770</v>
      </c>
      <c r="AC4" s="3598" t="s">
        <v>3564</v>
      </c>
      <c r="AD4" s="3598"/>
      <c r="AE4" s="3598" t="s">
        <v>3446</v>
      </c>
      <c r="AF4" s="3598" t="s">
        <v>3471</v>
      </c>
      <c r="AG4" s="3598" t="s">
        <v>3447</v>
      </c>
      <c r="AH4" s="3598"/>
      <c r="AI4" s="3598" t="s">
        <v>3448</v>
      </c>
      <c r="AJ4" s="3612"/>
      <c r="AK4" s="3609">
        <v>4</v>
      </c>
      <c r="AL4" s="3598">
        <v>67641700</v>
      </c>
      <c r="AM4" s="3598"/>
      <c r="AN4" s="3598" t="s">
        <v>3565</v>
      </c>
      <c r="AO4" s="3598"/>
      <c r="AP4" s="3598" t="s">
        <v>3450</v>
      </c>
      <c r="AQ4" s="3598" t="s">
        <v>3451</v>
      </c>
      <c r="AR4" s="3598"/>
      <c r="AS4" s="3598"/>
      <c r="AT4" s="3598"/>
      <c r="AU4" s="3598"/>
      <c r="AV4" s="3598"/>
      <c r="AW4" s="3598" t="s">
        <v>3452</v>
      </c>
      <c r="AX4" s="3598"/>
      <c r="AY4" s="3613">
        <v>287914</v>
      </c>
      <c r="AZ4" s="3598" t="s">
        <v>3562</v>
      </c>
      <c r="BA4" s="3598" t="s">
        <v>3566</v>
      </c>
      <c r="BB4" s="3598" t="s">
        <v>3567</v>
      </c>
      <c r="BC4" s="3598" t="s">
        <v>3568</v>
      </c>
      <c r="BD4" s="3598">
        <v>100086</v>
      </c>
      <c r="BE4" s="3598">
        <v>62550762</v>
      </c>
      <c r="BF4" s="3598">
        <v>3</v>
      </c>
      <c r="BG4" s="3614">
        <v>38058</v>
      </c>
      <c r="BH4" s="3598"/>
      <c r="BI4" s="3613" t="s">
        <v>3569</v>
      </c>
      <c r="BJ4" s="3608">
        <v>38076</v>
      </c>
      <c r="BK4" s="3608"/>
      <c r="BL4" s="3598" t="s">
        <v>3454</v>
      </c>
      <c r="BM4" s="3598"/>
      <c r="BN4" s="3598"/>
      <c r="BO4" s="3598"/>
      <c r="BP4" s="3598"/>
      <c r="BQ4" s="3610">
        <v>7662</v>
      </c>
      <c r="BR4" s="3610">
        <v>7738</v>
      </c>
    </row>
    <row r="5" spans="1:253" s="3509" customFormat="1" ht="12">
      <c r="A5" s="3489" t="s">
        <v>3570</v>
      </c>
      <c r="B5" s="3490" t="s">
        <v>3571</v>
      </c>
      <c r="C5" s="3491" t="s">
        <v>3572</v>
      </c>
      <c r="D5" s="3493">
        <v>13901078967</v>
      </c>
      <c r="E5" s="3490" t="s">
        <v>3558</v>
      </c>
      <c r="F5" s="3490" t="s">
        <v>3573</v>
      </c>
      <c r="G5" s="3490"/>
      <c r="H5" s="3513" t="s">
        <v>3574</v>
      </c>
      <c r="I5" s="3490" t="s">
        <v>3575</v>
      </c>
      <c r="J5" s="3513" t="s">
        <v>3576</v>
      </c>
      <c r="K5" s="3490" t="s">
        <v>3577</v>
      </c>
      <c r="L5" s="3492">
        <v>158.38</v>
      </c>
      <c r="M5" s="3513">
        <v>17</v>
      </c>
      <c r="N5" s="3493" t="s">
        <v>3578</v>
      </c>
      <c r="O5" s="3490">
        <v>133.04</v>
      </c>
      <c r="P5" s="3490" t="s">
        <v>3458</v>
      </c>
      <c r="Q5" s="3494">
        <v>1146000</v>
      </c>
      <c r="R5" s="3492">
        <v>7236</v>
      </c>
      <c r="S5" s="3492">
        <v>113.7</v>
      </c>
      <c r="T5" s="3517">
        <v>1137000</v>
      </c>
      <c r="U5" s="3494">
        <v>7179</v>
      </c>
      <c r="V5" s="3514">
        <v>0.1</v>
      </c>
      <c r="W5" s="3497">
        <v>102.33</v>
      </c>
      <c r="X5" s="3521">
        <v>1023300</v>
      </c>
      <c r="Y5" s="3499">
        <v>2004</v>
      </c>
      <c r="Z5" s="3499">
        <v>4</v>
      </c>
      <c r="AA5" s="3490">
        <v>9</v>
      </c>
      <c r="AB5" s="3553">
        <v>5340</v>
      </c>
      <c r="AC5" s="3490" t="s">
        <v>3579</v>
      </c>
      <c r="AD5" s="3490"/>
      <c r="AE5" s="3490" t="s">
        <v>3446</v>
      </c>
      <c r="AF5" s="3490" t="s">
        <v>3580</v>
      </c>
      <c r="AG5" s="3490" t="s">
        <v>3447</v>
      </c>
      <c r="AH5" s="3490" t="s">
        <v>3581</v>
      </c>
      <c r="AI5" s="3490" t="s">
        <v>3448</v>
      </c>
      <c r="AJ5" s="3515">
        <v>38107</v>
      </c>
      <c r="AK5" s="3501">
        <v>4</v>
      </c>
      <c r="AL5" s="3499">
        <v>67641700</v>
      </c>
      <c r="AM5" s="3499"/>
      <c r="AN5" s="3502" t="s">
        <v>3449</v>
      </c>
      <c r="AO5" s="3499"/>
      <c r="AP5" s="3490" t="s">
        <v>3450</v>
      </c>
      <c r="AQ5" s="3490" t="s">
        <v>3451</v>
      </c>
      <c r="AR5" s="3490"/>
      <c r="AS5" s="3490"/>
      <c r="AT5" s="3490"/>
      <c r="AU5" s="3490"/>
      <c r="AV5" s="3490" t="s">
        <v>3453</v>
      </c>
      <c r="AW5" s="3490" t="s">
        <v>3452</v>
      </c>
      <c r="AX5" s="3490" t="s">
        <v>3453</v>
      </c>
      <c r="AY5" s="3502">
        <v>637907</v>
      </c>
      <c r="AZ5" s="3490" t="s">
        <v>3577</v>
      </c>
      <c r="BA5" s="3490" t="s">
        <v>3582</v>
      </c>
      <c r="BB5" s="3490" t="s">
        <v>3583</v>
      </c>
      <c r="BC5" s="3490" t="s">
        <v>3584</v>
      </c>
      <c r="BD5" s="3490">
        <v>102602</v>
      </c>
      <c r="BE5" s="3490">
        <v>68725998</v>
      </c>
      <c r="BF5" s="3490">
        <v>2.8</v>
      </c>
      <c r="BG5" s="3515">
        <v>38059</v>
      </c>
      <c r="BH5" s="3490"/>
      <c r="BI5" s="3502" t="s">
        <v>3450</v>
      </c>
      <c r="BJ5" s="3507">
        <v>38084</v>
      </c>
      <c r="BK5" s="3507"/>
      <c r="BL5" s="3490" t="s">
        <v>3454</v>
      </c>
      <c r="BM5" s="3490"/>
      <c r="BN5" s="3490"/>
      <c r="BO5" s="3490"/>
      <c r="BP5" s="3490"/>
      <c r="BQ5" s="3499">
        <v>8546</v>
      </c>
      <c r="BR5" s="3499">
        <v>8614</v>
      </c>
    </row>
    <row r="6" spans="1:253" s="3510" customFormat="1" ht="12">
      <c r="A6" s="3489" t="s">
        <v>3587</v>
      </c>
      <c r="B6" s="3490" t="s">
        <v>3588</v>
      </c>
      <c r="C6" s="3491" t="s">
        <v>3589</v>
      </c>
      <c r="D6" s="3491">
        <v>13521002868</v>
      </c>
      <c r="E6" s="3490" t="s">
        <v>3558</v>
      </c>
      <c r="F6" s="3490" t="s">
        <v>3590</v>
      </c>
      <c r="G6" s="3490"/>
      <c r="H6" s="3490" t="s">
        <v>3591</v>
      </c>
      <c r="I6" s="3490" t="s">
        <v>3592</v>
      </c>
      <c r="J6" s="3491" t="s">
        <v>3593</v>
      </c>
      <c r="K6" s="3490" t="s">
        <v>3594</v>
      </c>
      <c r="L6" s="3492">
        <v>101.39</v>
      </c>
      <c r="M6" s="3490">
        <v>3</v>
      </c>
      <c r="N6" s="3490" t="s">
        <v>3595</v>
      </c>
      <c r="O6" s="3490">
        <v>83.37</v>
      </c>
      <c r="P6" s="3490" t="s">
        <v>3458</v>
      </c>
      <c r="Q6" s="3494">
        <v>665828</v>
      </c>
      <c r="R6" s="3490">
        <v>6567</v>
      </c>
      <c r="S6" s="3519">
        <v>65.959999999999994</v>
      </c>
      <c r="T6" s="3517">
        <v>659600</v>
      </c>
      <c r="U6" s="3490">
        <v>6506</v>
      </c>
      <c r="V6" s="3514">
        <v>0.1</v>
      </c>
      <c r="W6" s="3497">
        <v>59.36</v>
      </c>
      <c r="X6" s="3549">
        <v>593600</v>
      </c>
      <c r="Y6" s="3499">
        <v>2004</v>
      </c>
      <c r="Z6" s="3499">
        <v>7</v>
      </c>
      <c r="AA6" s="3499">
        <v>5</v>
      </c>
      <c r="AB6" s="3490">
        <v>3295</v>
      </c>
      <c r="AC6" s="3490" t="s">
        <v>3596</v>
      </c>
      <c r="AD6" s="3489"/>
      <c r="AE6" s="3499" t="s">
        <v>3446</v>
      </c>
      <c r="AF6" s="3490" t="s">
        <v>3597</v>
      </c>
      <c r="AG6" s="3500" t="s">
        <v>3447</v>
      </c>
      <c r="AH6" s="3489"/>
      <c r="AI6" s="3490" t="s">
        <v>3448</v>
      </c>
      <c r="AJ6" s="3522">
        <v>38472</v>
      </c>
      <c r="AK6" s="3551">
        <v>7</v>
      </c>
      <c r="AL6" s="3499">
        <v>67641700</v>
      </c>
      <c r="AM6" s="3499"/>
      <c r="AN6" s="3499" t="s">
        <v>3449</v>
      </c>
      <c r="AO6" s="3499" t="s">
        <v>3453</v>
      </c>
      <c r="AP6" s="3499" t="s">
        <v>3450</v>
      </c>
      <c r="AQ6" s="3499" t="s">
        <v>3451</v>
      </c>
      <c r="AR6" s="3499"/>
      <c r="AS6" s="3499"/>
      <c r="AT6" s="3499"/>
      <c r="AU6" s="3499"/>
      <c r="AV6" s="3499"/>
      <c r="AW6" s="3499" t="s">
        <v>3452</v>
      </c>
      <c r="AX6" s="3499" t="s">
        <v>3598</v>
      </c>
      <c r="AY6" s="3503" t="s">
        <v>3599</v>
      </c>
      <c r="AZ6" s="3499" t="s">
        <v>3594</v>
      </c>
      <c r="BA6" s="3499" t="s">
        <v>3600</v>
      </c>
      <c r="BB6" s="3503" t="s">
        <v>3601</v>
      </c>
      <c r="BC6" s="3499" t="s">
        <v>3602</v>
      </c>
      <c r="BD6" s="3504">
        <v>100036</v>
      </c>
      <c r="BE6" s="3499">
        <v>68241941</v>
      </c>
      <c r="BF6" s="3505">
        <v>2.9</v>
      </c>
      <c r="BG6" s="3508">
        <v>38141</v>
      </c>
      <c r="BH6" s="3499"/>
      <c r="BI6" s="3499" t="s">
        <v>3450</v>
      </c>
      <c r="BJ6" s="3512">
        <v>38156</v>
      </c>
      <c r="BK6" s="3512"/>
      <c r="BL6" s="3490" t="s">
        <v>3454</v>
      </c>
      <c r="BM6" s="3499"/>
      <c r="BN6" s="3499"/>
      <c r="BO6" s="3499"/>
      <c r="BP6" s="3499"/>
      <c r="BQ6" s="3499">
        <v>7912</v>
      </c>
      <c r="BR6" s="3499">
        <v>7986</v>
      </c>
      <c r="BS6" s="3509"/>
      <c r="BT6" s="3509"/>
      <c r="BU6" s="3509"/>
    </row>
    <row r="7" spans="1:253" s="3510" customFormat="1" ht="12">
      <c r="A7" s="3489" t="s">
        <v>3603</v>
      </c>
      <c r="B7" s="3490" t="s">
        <v>3604</v>
      </c>
      <c r="C7" s="3491" t="s">
        <v>3605</v>
      </c>
      <c r="D7" s="3491">
        <v>13651210056</v>
      </c>
      <c r="E7" s="3490" t="s">
        <v>3558</v>
      </c>
      <c r="F7" s="3490" t="s">
        <v>3590</v>
      </c>
      <c r="G7" s="3490"/>
      <c r="H7" s="3490" t="s">
        <v>3591</v>
      </c>
      <c r="I7" s="3490" t="s">
        <v>3606</v>
      </c>
      <c r="J7" s="3491" t="s">
        <v>3607</v>
      </c>
      <c r="K7" s="3490" t="s">
        <v>3594</v>
      </c>
      <c r="L7" s="3492">
        <v>102</v>
      </c>
      <c r="M7" s="3490">
        <v>6</v>
      </c>
      <c r="N7" s="3490" t="s">
        <v>3595</v>
      </c>
      <c r="O7" s="3490">
        <v>83.87</v>
      </c>
      <c r="P7" s="3490" t="s">
        <v>3458</v>
      </c>
      <c r="Q7" s="3494">
        <v>694547</v>
      </c>
      <c r="R7" s="3490">
        <v>6809</v>
      </c>
      <c r="S7" s="3519">
        <v>68.849999999999994</v>
      </c>
      <c r="T7" s="3517">
        <v>688500</v>
      </c>
      <c r="U7" s="3490">
        <v>6750</v>
      </c>
      <c r="V7" s="3514">
        <v>0.1</v>
      </c>
      <c r="W7" s="3497">
        <v>61.96</v>
      </c>
      <c r="X7" s="3549">
        <v>619600</v>
      </c>
      <c r="Y7" s="3499">
        <v>2004</v>
      </c>
      <c r="Z7" s="3499">
        <v>7</v>
      </c>
      <c r="AA7" s="3499">
        <v>5</v>
      </c>
      <c r="AB7" s="3490">
        <v>3440</v>
      </c>
      <c r="AC7" s="3490" t="s">
        <v>3608</v>
      </c>
      <c r="AD7" s="3489"/>
      <c r="AE7" s="3499" t="s">
        <v>3446</v>
      </c>
      <c r="AF7" s="3490" t="s">
        <v>3597</v>
      </c>
      <c r="AG7" s="3500" t="s">
        <v>3447</v>
      </c>
      <c r="AH7" s="3489"/>
      <c r="AI7" s="3490" t="s">
        <v>3448</v>
      </c>
      <c r="AJ7" s="3522">
        <v>38472</v>
      </c>
      <c r="AK7" s="3551">
        <v>7</v>
      </c>
      <c r="AL7" s="3499">
        <v>67641700</v>
      </c>
      <c r="AM7" s="3499"/>
      <c r="AN7" s="3499" t="s">
        <v>3449</v>
      </c>
      <c r="AO7" s="3499" t="s">
        <v>3453</v>
      </c>
      <c r="AP7" s="3499" t="s">
        <v>3450</v>
      </c>
      <c r="AQ7" s="3499" t="s">
        <v>3451</v>
      </c>
      <c r="AR7" s="3499"/>
      <c r="AS7" s="3499"/>
      <c r="AT7" s="3499"/>
      <c r="AU7" s="3499"/>
      <c r="AV7" s="3499"/>
      <c r="AW7" s="3499" t="s">
        <v>3452</v>
      </c>
      <c r="AX7" s="3499" t="s">
        <v>3598</v>
      </c>
      <c r="AY7" s="3503" t="s">
        <v>3609</v>
      </c>
      <c r="AZ7" s="3499" t="s">
        <v>3594</v>
      </c>
      <c r="BA7" s="3499" t="s">
        <v>3600</v>
      </c>
      <c r="BB7" s="3503" t="s">
        <v>3601</v>
      </c>
      <c r="BC7" s="3499" t="s">
        <v>3602</v>
      </c>
      <c r="BD7" s="3504">
        <v>100036</v>
      </c>
      <c r="BE7" s="3499">
        <v>68241941</v>
      </c>
      <c r="BF7" s="3505">
        <v>2.9</v>
      </c>
      <c r="BG7" s="3508">
        <v>38143</v>
      </c>
      <c r="BH7" s="3499"/>
      <c r="BI7" s="3499" t="s">
        <v>3450</v>
      </c>
      <c r="BJ7" s="3512">
        <v>38162</v>
      </c>
      <c r="BK7" s="3512"/>
      <c r="BL7" s="3490" t="s">
        <v>3454</v>
      </c>
      <c r="BM7" s="3499"/>
      <c r="BN7" s="3499"/>
      <c r="BO7" s="3499"/>
      <c r="BP7" s="3499"/>
      <c r="BQ7" s="3499">
        <v>8209</v>
      </c>
      <c r="BR7" s="3499">
        <v>8281</v>
      </c>
      <c r="BS7" s="3509"/>
      <c r="BT7" s="3509"/>
      <c r="BU7" s="3509"/>
    </row>
    <row r="8" spans="1:253" s="3509" customFormat="1" ht="12">
      <c r="A8" s="3489" t="s">
        <v>3610</v>
      </c>
      <c r="B8" s="3490" t="s">
        <v>3611</v>
      </c>
      <c r="C8" s="3491" t="s">
        <v>3612</v>
      </c>
      <c r="D8" s="3493" t="s">
        <v>3613</v>
      </c>
      <c r="E8" s="3490" t="s">
        <v>3553</v>
      </c>
      <c r="F8" s="3490" t="s">
        <v>3614</v>
      </c>
      <c r="G8" s="3490"/>
      <c r="H8" s="3493" t="s">
        <v>3615</v>
      </c>
      <c r="I8" s="3493" t="s">
        <v>3554</v>
      </c>
      <c r="J8" s="3513" t="s">
        <v>3616</v>
      </c>
      <c r="K8" s="3490" t="s">
        <v>3617</v>
      </c>
      <c r="L8" s="3492">
        <v>102</v>
      </c>
      <c r="M8" s="3513">
        <v>2</v>
      </c>
      <c r="N8" s="3493" t="s">
        <v>3618</v>
      </c>
      <c r="O8" s="3490">
        <v>83.87</v>
      </c>
      <c r="P8" s="3490" t="s">
        <v>3458</v>
      </c>
      <c r="Q8" s="3494">
        <v>691623</v>
      </c>
      <c r="R8" s="3490">
        <v>6781</v>
      </c>
      <c r="S8" s="3519">
        <v>68.540000000000006</v>
      </c>
      <c r="T8" s="3495">
        <v>685400.00000000012</v>
      </c>
      <c r="U8" s="3490">
        <v>6720</v>
      </c>
      <c r="V8" s="3514">
        <v>0.1</v>
      </c>
      <c r="W8" s="3497">
        <v>61.68</v>
      </c>
      <c r="X8" s="3498">
        <v>616800</v>
      </c>
      <c r="Y8" s="3490">
        <v>2004</v>
      </c>
      <c r="Z8" s="3499">
        <v>7</v>
      </c>
      <c r="AA8" s="3490">
        <v>5</v>
      </c>
      <c r="AB8" s="3490">
        <v>1500</v>
      </c>
      <c r="AC8" s="3490" t="s">
        <v>3465</v>
      </c>
      <c r="AD8" s="3490"/>
      <c r="AE8" s="3490" t="s">
        <v>3446</v>
      </c>
      <c r="AF8" s="3490" t="s">
        <v>3619</v>
      </c>
      <c r="AG8" s="3490" t="s">
        <v>3447</v>
      </c>
      <c r="AH8" s="3490"/>
      <c r="AI8" s="3490" t="s">
        <v>3448</v>
      </c>
      <c r="AJ8" s="3507">
        <v>38472</v>
      </c>
      <c r="AK8" s="3501">
        <v>7</v>
      </c>
      <c r="AL8" s="3499">
        <v>67641700</v>
      </c>
      <c r="AM8" s="3499"/>
      <c r="AN8" s="3502" t="s">
        <v>3620</v>
      </c>
      <c r="AO8" s="3490" t="s">
        <v>3453</v>
      </c>
      <c r="AP8" s="3490" t="s">
        <v>3450</v>
      </c>
      <c r="AQ8" s="3490" t="s">
        <v>3451</v>
      </c>
      <c r="AR8" s="3490"/>
      <c r="AS8" s="3490"/>
      <c r="AT8" s="3490"/>
      <c r="AU8" s="3490"/>
      <c r="AV8" s="3490"/>
      <c r="AW8" s="3490" t="s">
        <v>3452</v>
      </c>
      <c r="AX8" s="3490" t="s">
        <v>3621</v>
      </c>
      <c r="AY8" s="3503" t="s">
        <v>3622</v>
      </c>
      <c r="AZ8" s="3490" t="s">
        <v>3617</v>
      </c>
      <c r="BA8" s="3490" t="s">
        <v>3623</v>
      </c>
      <c r="BB8" s="3490" t="s">
        <v>3624</v>
      </c>
      <c r="BC8" s="3490" t="s">
        <v>3625</v>
      </c>
      <c r="BD8" s="3490">
        <v>100036</v>
      </c>
      <c r="BE8" s="3490">
        <v>68241941</v>
      </c>
      <c r="BF8" s="3554">
        <v>2.9</v>
      </c>
      <c r="BG8" s="3507">
        <v>38157</v>
      </c>
      <c r="BH8" s="3490"/>
      <c r="BI8" s="3499" t="s">
        <v>3450</v>
      </c>
      <c r="BJ8" s="3512">
        <v>38169</v>
      </c>
      <c r="BK8" s="3507"/>
      <c r="BL8" s="3490" t="s">
        <v>3454</v>
      </c>
      <c r="BM8" s="3490"/>
      <c r="BN8" s="3490"/>
      <c r="BO8" s="3490"/>
      <c r="BP8" s="3490"/>
      <c r="BQ8" s="3552">
        <v>8173</v>
      </c>
      <c r="BR8" s="3552">
        <v>8246</v>
      </c>
    </row>
    <row r="9" spans="1:253" s="3580" customFormat="1" ht="12">
      <c r="A9" s="3571" t="s">
        <v>3626</v>
      </c>
      <c r="B9" s="3561" t="s">
        <v>3627</v>
      </c>
      <c r="C9" s="3562" t="s">
        <v>3628</v>
      </c>
      <c r="D9" s="3582">
        <v>13801398707</v>
      </c>
      <c r="E9" s="3561" t="s">
        <v>3553</v>
      </c>
      <c r="F9" s="3561" t="s">
        <v>3629</v>
      </c>
      <c r="G9" s="3561"/>
      <c r="H9" s="3582" t="s">
        <v>3630</v>
      </c>
      <c r="I9" s="3582" t="s">
        <v>3631</v>
      </c>
      <c r="J9" s="3583" t="s">
        <v>3632</v>
      </c>
      <c r="K9" s="3561" t="s">
        <v>3617</v>
      </c>
      <c r="L9" s="3564">
        <v>102.31</v>
      </c>
      <c r="M9" s="3583">
        <v>9</v>
      </c>
      <c r="N9" s="3582" t="s">
        <v>3618</v>
      </c>
      <c r="O9" s="3561">
        <v>84.14</v>
      </c>
      <c r="P9" s="3561" t="s">
        <v>3458</v>
      </c>
      <c r="Q9" s="3565">
        <v>631963</v>
      </c>
      <c r="R9" s="3561">
        <v>6177</v>
      </c>
      <c r="S9" s="3591">
        <v>62.59</v>
      </c>
      <c r="T9" s="3584">
        <v>625900</v>
      </c>
      <c r="U9" s="3561">
        <v>6118</v>
      </c>
      <c r="V9" s="3567">
        <v>0.1</v>
      </c>
      <c r="W9" s="3568">
        <v>56.33</v>
      </c>
      <c r="X9" s="3585">
        <v>563300</v>
      </c>
      <c r="Y9" s="3561">
        <v>2004</v>
      </c>
      <c r="Z9" s="3570">
        <v>7</v>
      </c>
      <c r="AA9" s="3570">
        <v>12</v>
      </c>
      <c r="AB9" s="3561">
        <v>1500</v>
      </c>
      <c r="AC9" s="3561" t="s">
        <v>3555</v>
      </c>
      <c r="AD9" s="3561"/>
      <c r="AE9" s="3561" t="s">
        <v>3446</v>
      </c>
      <c r="AF9" s="3561" t="s">
        <v>3619</v>
      </c>
      <c r="AG9" s="3561" t="s">
        <v>3447</v>
      </c>
      <c r="AH9" s="3561"/>
      <c r="AI9" s="3561" t="s">
        <v>3448</v>
      </c>
      <c r="AJ9" s="3589">
        <v>38472</v>
      </c>
      <c r="AK9" s="3586">
        <v>7</v>
      </c>
      <c r="AL9" s="3570">
        <v>67641700</v>
      </c>
      <c r="AM9" s="3570"/>
      <c r="AN9" s="3578" t="s">
        <v>3456</v>
      </c>
      <c r="AO9" s="3561" t="s">
        <v>3453</v>
      </c>
      <c r="AP9" s="3561" t="s">
        <v>3450</v>
      </c>
      <c r="AQ9" s="3561" t="s">
        <v>3451</v>
      </c>
      <c r="AR9" s="3561"/>
      <c r="AS9" s="3561"/>
      <c r="AT9" s="3561"/>
      <c r="AU9" s="3561"/>
      <c r="AV9" s="3561"/>
      <c r="AW9" s="3561" t="s">
        <v>3452</v>
      </c>
      <c r="AX9" s="3561" t="s">
        <v>3621</v>
      </c>
      <c r="AY9" s="3574" t="s">
        <v>3633</v>
      </c>
      <c r="AZ9" s="3561" t="s">
        <v>3617</v>
      </c>
      <c r="BA9" s="3561" t="s">
        <v>3623</v>
      </c>
      <c r="BB9" s="3561" t="s">
        <v>3634</v>
      </c>
      <c r="BC9" s="3561" t="s">
        <v>3635</v>
      </c>
      <c r="BD9" s="3561">
        <v>100036</v>
      </c>
      <c r="BE9" s="3561">
        <v>68241941</v>
      </c>
      <c r="BF9" s="3592">
        <v>2.9</v>
      </c>
      <c r="BG9" s="3589">
        <v>38169</v>
      </c>
      <c r="BH9" s="3561"/>
      <c r="BI9" s="3570" t="s">
        <v>3450</v>
      </c>
      <c r="BJ9" s="3579">
        <v>38176</v>
      </c>
      <c r="BK9" s="3589"/>
      <c r="BL9" s="3561" t="s">
        <v>3454</v>
      </c>
      <c r="BM9" s="3561"/>
      <c r="BN9" s="3561"/>
      <c r="BO9" s="3561"/>
      <c r="BP9" s="3561"/>
      <c r="BQ9" s="3590">
        <v>7439</v>
      </c>
      <c r="BR9" s="3590">
        <v>7511</v>
      </c>
    </row>
    <row r="10" spans="1:253" s="3509" customFormat="1" ht="12" hidden="1">
      <c r="A10" s="3489" t="s">
        <v>3636</v>
      </c>
      <c r="B10" s="3490" t="s">
        <v>3637</v>
      </c>
      <c r="C10" s="3491" t="s">
        <v>3638</v>
      </c>
      <c r="D10" s="3493">
        <v>13321161758</v>
      </c>
      <c r="E10" s="3490" t="s">
        <v>3553</v>
      </c>
      <c r="F10" s="3490" t="s">
        <v>3629</v>
      </c>
      <c r="G10" s="3490"/>
      <c r="H10" s="3493" t="s">
        <v>3615</v>
      </c>
      <c r="I10" s="3493" t="s">
        <v>3639</v>
      </c>
      <c r="J10" s="3513" t="s">
        <v>3632</v>
      </c>
      <c r="K10" s="3490" t="s">
        <v>3617</v>
      </c>
      <c r="L10" s="3492">
        <v>159.78</v>
      </c>
      <c r="M10" s="3513">
        <v>9</v>
      </c>
      <c r="N10" s="3490" t="s">
        <v>3640</v>
      </c>
      <c r="O10" s="3490">
        <v>131.38</v>
      </c>
      <c r="P10" s="3490" t="s">
        <v>3458</v>
      </c>
      <c r="Q10" s="3494">
        <v>1098877</v>
      </c>
      <c r="R10" s="3490">
        <v>6877</v>
      </c>
      <c r="S10" s="3519">
        <v>108.92</v>
      </c>
      <c r="T10" s="3495">
        <v>1089200</v>
      </c>
      <c r="U10" s="3490">
        <v>6817</v>
      </c>
      <c r="V10" s="3514">
        <v>0.1</v>
      </c>
      <c r="W10" s="3497">
        <v>98.02</v>
      </c>
      <c r="X10" s="3498">
        <v>980200</v>
      </c>
      <c r="Y10" s="3490">
        <v>2004</v>
      </c>
      <c r="Z10" s="3499">
        <v>7</v>
      </c>
      <c r="AA10" s="3499">
        <v>15</v>
      </c>
      <c r="AB10" s="3490">
        <v>1500</v>
      </c>
      <c r="AC10" s="3490" t="s">
        <v>3564</v>
      </c>
      <c r="AD10" s="3490"/>
      <c r="AE10" s="3490" t="s">
        <v>3446</v>
      </c>
      <c r="AF10" s="3490" t="s">
        <v>3619</v>
      </c>
      <c r="AG10" s="3490" t="s">
        <v>3447</v>
      </c>
      <c r="AH10" s="3490"/>
      <c r="AI10" s="3490" t="s">
        <v>3448</v>
      </c>
      <c r="AJ10" s="3507">
        <v>38472</v>
      </c>
      <c r="AK10" s="3501">
        <v>7</v>
      </c>
      <c r="AL10" s="3499">
        <v>67641700</v>
      </c>
      <c r="AM10" s="3499"/>
      <c r="AN10" s="3506" t="s">
        <v>3456</v>
      </c>
      <c r="AO10" s="3490" t="s">
        <v>3453</v>
      </c>
      <c r="AP10" s="3490" t="s">
        <v>3450</v>
      </c>
      <c r="AQ10" s="3490" t="s">
        <v>3451</v>
      </c>
      <c r="AR10" s="3490"/>
      <c r="AS10" s="3490"/>
      <c r="AT10" s="3490"/>
      <c r="AU10" s="3490"/>
      <c r="AV10" s="3490"/>
      <c r="AW10" s="3490" t="s">
        <v>3452</v>
      </c>
      <c r="AX10" s="3490" t="s">
        <v>3641</v>
      </c>
      <c r="AY10" s="3503" t="s">
        <v>3642</v>
      </c>
      <c r="AZ10" s="3490" t="s">
        <v>3617</v>
      </c>
      <c r="BA10" s="3490" t="s">
        <v>3623</v>
      </c>
      <c r="BB10" s="3490" t="s">
        <v>3634</v>
      </c>
      <c r="BC10" s="3490" t="s">
        <v>3625</v>
      </c>
      <c r="BD10" s="3490">
        <v>100036</v>
      </c>
      <c r="BE10" s="3490">
        <v>68241941</v>
      </c>
      <c r="BF10" s="3554">
        <v>2.9</v>
      </c>
      <c r="BG10" s="3507">
        <v>38146</v>
      </c>
      <c r="BH10" s="3490"/>
      <c r="BI10" s="3499" t="s">
        <v>3450</v>
      </c>
      <c r="BJ10" s="3507">
        <v>38181</v>
      </c>
      <c r="BK10" s="3507"/>
      <c r="BL10" s="3490" t="s">
        <v>3454</v>
      </c>
      <c r="BM10" s="3490"/>
      <c r="BN10" s="3490"/>
      <c r="BO10" s="3490"/>
      <c r="BP10" s="3490"/>
      <c r="BQ10" s="3552">
        <v>8291</v>
      </c>
      <c r="BR10" s="3552">
        <v>8364</v>
      </c>
    </row>
    <row r="11" spans="1:253" s="3510" customFormat="1" ht="12" hidden="1">
      <c r="A11" s="3490" t="s">
        <v>3643</v>
      </c>
      <c r="B11" s="3490" t="s">
        <v>3644</v>
      </c>
      <c r="C11" s="3491" t="s">
        <v>3645</v>
      </c>
      <c r="D11" s="3491" t="s">
        <v>3646</v>
      </c>
      <c r="E11" s="3490" t="s">
        <v>3553</v>
      </c>
      <c r="F11" s="3490" t="s">
        <v>3629</v>
      </c>
      <c r="G11" s="3490"/>
      <c r="H11" s="3490" t="s">
        <v>3647</v>
      </c>
      <c r="I11" s="3490" t="s">
        <v>3648</v>
      </c>
      <c r="J11" s="3491" t="s">
        <v>3649</v>
      </c>
      <c r="K11" s="3490" t="s">
        <v>3617</v>
      </c>
      <c r="L11" s="3490">
        <v>254.11</v>
      </c>
      <c r="M11" s="3490">
        <v>6</v>
      </c>
      <c r="N11" s="3511" t="s">
        <v>3578</v>
      </c>
      <c r="O11" s="3490">
        <v>217.29</v>
      </c>
      <c r="P11" s="3490" t="s">
        <v>3458</v>
      </c>
      <c r="Q11" s="3526">
        <v>1895609</v>
      </c>
      <c r="R11" s="3490">
        <v>7460</v>
      </c>
      <c r="S11" s="3519">
        <v>188.14</v>
      </c>
      <c r="T11" s="3517">
        <v>1881399.9999999998</v>
      </c>
      <c r="U11" s="3490">
        <v>7404</v>
      </c>
      <c r="V11" s="3514">
        <v>0.1</v>
      </c>
      <c r="W11" s="3497">
        <v>169.32</v>
      </c>
      <c r="X11" s="3549">
        <v>1693200</v>
      </c>
      <c r="Y11" s="3499">
        <v>2004</v>
      </c>
      <c r="Z11" s="3499">
        <v>9</v>
      </c>
      <c r="AA11" s="3499">
        <v>23</v>
      </c>
      <c r="AB11" s="3490">
        <v>1500</v>
      </c>
      <c r="AC11" s="3490" t="s">
        <v>3459</v>
      </c>
      <c r="AD11" s="3489"/>
      <c r="AE11" s="3499" t="s">
        <v>3446</v>
      </c>
      <c r="AF11" s="3490" t="s">
        <v>3619</v>
      </c>
      <c r="AG11" s="3500" t="s">
        <v>3447</v>
      </c>
      <c r="AH11" s="3489"/>
      <c r="AI11" s="3490" t="s">
        <v>3448</v>
      </c>
      <c r="AJ11" s="3522">
        <v>38472</v>
      </c>
      <c r="AK11" s="3527">
        <v>9</v>
      </c>
      <c r="AL11" s="3499">
        <v>67641700</v>
      </c>
      <c r="AM11" s="3499"/>
      <c r="AN11" s="3506" t="s">
        <v>3462</v>
      </c>
      <c r="AO11" s="3499" t="s">
        <v>3453</v>
      </c>
      <c r="AP11" s="3499" t="s">
        <v>3450</v>
      </c>
      <c r="AQ11" s="3490" t="s">
        <v>3451</v>
      </c>
      <c r="AR11" s="3499"/>
      <c r="AS11" s="3499"/>
      <c r="AT11" s="3499"/>
      <c r="AU11" s="3499"/>
      <c r="AV11" s="3499"/>
      <c r="AW11" s="3499" t="s">
        <v>3452</v>
      </c>
      <c r="AX11" s="3499" t="s">
        <v>3641</v>
      </c>
      <c r="AY11" s="3503" t="s">
        <v>3650</v>
      </c>
      <c r="AZ11" s="3490" t="s">
        <v>3651</v>
      </c>
      <c r="BA11" s="3499" t="s">
        <v>3623</v>
      </c>
      <c r="BB11" s="3503" t="s">
        <v>3634</v>
      </c>
      <c r="BC11" s="3499" t="s">
        <v>3625</v>
      </c>
      <c r="BD11" s="3504">
        <v>100036</v>
      </c>
      <c r="BE11" s="3499">
        <v>68241941</v>
      </c>
      <c r="BF11" s="3505">
        <v>2.9</v>
      </c>
      <c r="BG11" s="3508">
        <v>38239</v>
      </c>
      <c r="BH11" s="3499"/>
      <c r="BI11" s="3490" t="s">
        <v>3450</v>
      </c>
      <c r="BJ11" s="3507">
        <v>38252</v>
      </c>
      <c r="BK11" s="3512"/>
      <c r="BL11" s="3490" t="s">
        <v>3454</v>
      </c>
      <c r="BM11" s="3499"/>
      <c r="BN11" s="3499"/>
      <c r="BO11" s="3499"/>
      <c r="BP11" s="3528"/>
      <c r="BQ11" s="3499">
        <v>8659</v>
      </c>
      <c r="BR11" s="3499">
        <v>8724</v>
      </c>
      <c r="BS11" s="3509"/>
      <c r="BT11" s="3509"/>
      <c r="BU11" s="3509"/>
    </row>
    <row r="12" spans="1:253" s="3510" customFormat="1" ht="12" hidden="1">
      <c r="A12" s="3489" t="s">
        <v>3652</v>
      </c>
      <c r="B12" s="3490" t="s">
        <v>3653</v>
      </c>
      <c r="C12" s="3491" t="s">
        <v>3654</v>
      </c>
      <c r="D12" s="3491" t="s">
        <v>3655</v>
      </c>
      <c r="E12" s="3490" t="s">
        <v>3542</v>
      </c>
      <c r="F12" s="3490" t="s">
        <v>3656</v>
      </c>
      <c r="G12" s="3490"/>
      <c r="H12" s="3490" t="s">
        <v>3657</v>
      </c>
      <c r="I12" s="3490" t="s">
        <v>3658</v>
      </c>
      <c r="J12" s="3491" t="s">
        <v>3659</v>
      </c>
      <c r="K12" s="3490" t="s">
        <v>3660</v>
      </c>
      <c r="L12" s="3492">
        <v>52.42</v>
      </c>
      <c r="M12" s="3490">
        <v>7</v>
      </c>
      <c r="N12" s="3490" t="s">
        <v>3661</v>
      </c>
      <c r="O12" s="3490">
        <v>40.700000000000003</v>
      </c>
      <c r="P12" s="3490" t="s">
        <v>3662</v>
      </c>
      <c r="Q12" s="3494">
        <v>395771</v>
      </c>
      <c r="R12" s="3492">
        <v>7550</v>
      </c>
      <c r="S12" s="3492">
        <v>39.25</v>
      </c>
      <c r="T12" s="3517">
        <v>392500</v>
      </c>
      <c r="U12" s="3494">
        <v>7488</v>
      </c>
      <c r="V12" s="3514">
        <v>0.1</v>
      </c>
      <c r="W12" s="3497">
        <v>35.32</v>
      </c>
      <c r="X12" s="3549">
        <v>353200</v>
      </c>
      <c r="Y12" s="3499">
        <v>2004</v>
      </c>
      <c r="Z12" s="3499">
        <v>1</v>
      </c>
      <c r="AA12" s="3490">
        <v>18</v>
      </c>
      <c r="AB12" s="3553">
        <v>1960</v>
      </c>
      <c r="AC12" s="3490" t="s">
        <v>3564</v>
      </c>
      <c r="AD12" s="3489"/>
      <c r="AE12" s="3499" t="s">
        <v>3446</v>
      </c>
      <c r="AF12" s="3490" t="s">
        <v>3619</v>
      </c>
      <c r="AG12" s="3500" t="s">
        <v>3447</v>
      </c>
      <c r="AH12" s="3489"/>
      <c r="AI12" s="3490" t="s">
        <v>3448</v>
      </c>
      <c r="AJ12" s="3550">
        <v>38107</v>
      </c>
      <c r="AK12" s="3501">
        <v>1</v>
      </c>
      <c r="AL12" s="3499">
        <v>67641700</v>
      </c>
      <c r="AM12" s="3499"/>
      <c r="AN12" s="3502" t="s">
        <v>3548</v>
      </c>
      <c r="AO12" s="3490" t="s">
        <v>3657</v>
      </c>
      <c r="AP12" s="3499" t="s">
        <v>3450</v>
      </c>
      <c r="AQ12" s="3499" t="s">
        <v>3451</v>
      </c>
      <c r="AR12" s="3499"/>
      <c r="AS12" s="3499"/>
      <c r="AT12" s="3499"/>
      <c r="AU12" s="3499"/>
      <c r="AV12" s="3499"/>
      <c r="AW12" s="3499" t="s">
        <v>3452</v>
      </c>
      <c r="AX12" s="3499"/>
      <c r="AY12" s="3503" t="s">
        <v>3663</v>
      </c>
      <c r="AZ12" s="3490" t="s">
        <v>3664</v>
      </c>
      <c r="BA12" s="3499" t="s">
        <v>3665</v>
      </c>
      <c r="BB12" s="3503" t="s">
        <v>3666</v>
      </c>
      <c r="BC12" s="3499" t="s">
        <v>3667</v>
      </c>
      <c r="BD12" s="3504" t="s">
        <v>3657</v>
      </c>
      <c r="BE12" s="3499" t="s">
        <v>3668</v>
      </c>
      <c r="BF12" s="3505">
        <v>2.8</v>
      </c>
      <c r="BG12" s="3555">
        <v>37856</v>
      </c>
      <c r="BH12" s="3499" t="s">
        <v>3669</v>
      </c>
      <c r="BI12" s="3506" t="s">
        <v>3569</v>
      </c>
      <c r="BJ12" s="3512">
        <v>37980</v>
      </c>
      <c r="BK12" s="3512">
        <v>37977</v>
      </c>
      <c r="BL12" s="3490" t="s">
        <v>3454</v>
      </c>
      <c r="BM12" s="3499"/>
      <c r="BN12" s="3499"/>
      <c r="BO12" s="3499"/>
      <c r="BP12" s="3499"/>
      <c r="BQ12" s="3499">
        <v>9644</v>
      </c>
      <c r="BR12" s="3499">
        <v>9724</v>
      </c>
      <c r="BS12" s="3509"/>
      <c r="BT12" s="3509"/>
      <c r="BU12" s="3509"/>
    </row>
    <row r="13" spans="1:253" s="3556" customFormat="1" ht="12" hidden="1">
      <c r="A13" s="3489" t="s">
        <v>3670</v>
      </c>
      <c r="B13" s="3490" t="s">
        <v>3671</v>
      </c>
      <c r="C13" s="3491" t="s">
        <v>3672</v>
      </c>
      <c r="D13" s="3491" t="s">
        <v>3673</v>
      </c>
      <c r="E13" s="3490" t="s">
        <v>3553</v>
      </c>
      <c r="F13" s="3490" t="s">
        <v>3656</v>
      </c>
      <c r="G13" s="3490"/>
      <c r="H13" s="3490" t="s">
        <v>3668</v>
      </c>
      <c r="I13" s="3490" t="s">
        <v>3674</v>
      </c>
      <c r="J13" s="3491" t="s">
        <v>3675</v>
      </c>
      <c r="K13" s="3490" t="s">
        <v>3664</v>
      </c>
      <c r="L13" s="3492">
        <v>50.93</v>
      </c>
      <c r="M13" s="3490">
        <v>6</v>
      </c>
      <c r="N13" s="3490" t="s">
        <v>3467</v>
      </c>
      <c r="O13" s="3490">
        <v>39.54</v>
      </c>
      <c r="P13" s="3490" t="s">
        <v>3662</v>
      </c>
      <c r="Q13" s="3494">
        <v>346324</v>
      </c>
      <c r="R13" s="3492">
        <v>6800</v>
      </c>
      <c r="S13" s="3492">
        <v>34.450000000000003</v>
      </c>
      <c r="T13" s="3517">
        <v>344500</v>
      </c>
      <c r="U13" s="3494">
        <v>6766</v>
      </c>
      <c r="V13" s="3514">
        <v>0.1</v>
      </c>
      <c r="W13" s="3497">
        <v>31</v>
      </c>
      <c r="X13" s="3549">
        <v>310000</v>
      </c>
      <c r="Y13" s="3499">
        <v>2004</v>
      </c>
      <c r="Z13" s="3499">
        <v>2</v>
      </c>
      <c r="AA13" s="3490">
        <v>13</v>
      </c>
      <c r="AB13" s="3489">
        <v>1720</v>
      </c>
      <c r="AC13" s="3490" t="s">
        <v>3555</v>
      </c>
      <c r="AD13" s="3489"/>
      <c r="AE13" s="3499" t="s">
        <v>3446</v>
      </c>
      <c r="AF13" s="3490" t="s">
        <v>3676</v>
      </c>
      <c r="AG13" s="3500" t="s">
        <v>3447</v>
      </c>
      <c r="AH13" s="3489"/>
      <c r="AI13" s="3490" t="s">
        <v>3448</v>
      </c>
      <c r="AJ13" s="3550">
        <v>38107</v>
      </c>
      <c r="AK13" s="3501">
        <v>2</v>
      </c>
      <c r="AL13" s="3499">
        <v>67641700</v>
      </c>
      <c r="AM13" s="3499"/>
      <c r="AN13" s="3502" t="s">
        <v>3620</v>
      </c>
      <c r="AO13" s="3490" t="s">
        <v>3657</v>
      </c>
      <c r="AP13" s="3499" t="s">
        <v>3450</v>
      </c>
      <c r="AQ13" s="3499" t="s">
        <v>3451</v>
      </c>
      <c r="AR13" s="3499"/>
      <c r="AS13" s="3499"/>
      <c r="AT13" s="3499"/>
      <c r="AU13" s="3499"/>
      <c r="AV13" s="3499"/>
      <c r="AW13" s="3499" t="s">
        <v>3452</v>
      </c>
      <c r="AX13" s="3499"/>
      <c r="AY13" s="3503" t="s">
        <v>3677</v>
      </c>
      <c r="AZ13" s="3490" t="s">
        <v>3660</v>
      </c>
      <c r="BA13" s="3499" t="s">
        <v>3678</v>
      </c>
      <c r="BB13" s="3503" t="s">
        <v>3666</v>
      </c>
      <c r="BC13" s="3499" t="s">
        <v>3667</v>
      </c>
      <c r="BD13" s="3504" t="s">
        <v>3668</v>
      </c>
      <c r="BE13" s="3499">
        <v>68706390</v>
      </c>
      <c r="BF13" s="3505">
        <v>2.8</v>
      </c>
      <c r="BG13" s="3555">
        <v>37830</v>
      </c>
      <c r="BH13" s="3499"/>
      <c r="BI13" s="3506" t="s">
        <v>3679</v>
      </c>
      <c r="BJ13" s="3512">
        <v>37977</v>
      </c>
      <c r="BK13" s="3512">
        <v>37977</v>
      </c>
      <c r="BL13" s="3490" t="s">
        <v>3454</v>
      </c>
      <c r="BM13" s="3499"/>
      <c r="BN13" s="3499"/>
      <c r="BO13" s="3499"/>
      <c r="BP13" s="3499"/>
      <c r="BQ13" s="3499">
        <v>8715</v>
      </c>
      <c r="BR13" s="3499">
        <v>8759</v>
      </c>
      <c r="BS13" s="3509"/>
      <c r="BT13" s="3509"/>
      <c r="BU13" s="3509"/>
      <c r="BV13" s="3510"/>
      <c r="BW13" s="3510"/>
      <c r="BX13" s="3510"/>
      <c r="BY13" s="3510"/>
      <c r="BZ13" s="3510"/>
      <c r="CA13" s="3510"/>
      <c r="CB13" s="3510"/>
      <c r="CC13" s="3510"/>
      <c r="CD13" s="3510"/>
      <c r="CE13" s="3510"/>
      <c r="CF13" s="3510"/>
      <c r="CG13" s="3510"/>
      <c r="CH13" s="3510"/>
      <c r="CI13" s="3510"/>
      <c r="CJ13" s="3510"/>
      <c r="CK13" s="3510"/>
      <c r="CL13" s="3510"/>
      <c r="CM13" s="3510"/>
      <c r="CN13" s="3510"/>
      <c r="CO13" s="3510"/>
      <c r="CP13" s="3510"/>
      <c r="CQ13" s="3510"/>
      <c r="CR13" s="3510"/>
      <c r="CS13" s="3510"/>
      <c r="CT13" s="3510"/>
      <c r="CU13" s="3510"/>
      <c r="CV13" s="3510"/>
      <c r="CW13" s="3510"/>
      <c r="CX13" s="3510"/>
      <c r="CY13" s="3510"/>
      <c r="CZ13" s="3510"/>
      <c r="DA13" s="3510"/>
      <c r="DB13" s="3510"/>
      <c r="DC13" s="3510"/>
      <c r="DD13" s="3510"/>
      <c r="DE13" s="3510"/>
      <c r="DF13" s="3510"/>
      <c r="DG13" s="3510"/>
      <c r="DH13" s="3510"/>
      <c r="DI13" s="3510"/>
      <c r="DJ13" s="3510"/>
      <c r="DK13" s="3510"/>
      <c r="DL13" s="3510"/>
      <c r="DM13" s="3510"/>
      <c r="DN13" s="3510"/>
      <c r="DO13" s="3510"/>
      <c r="DP13" s="3510"/>
      <c r="DQ13" s="3510"/>
      <c r="DR13" s="3510"/>
      <c r="DS13" s="3510"/>
      <c r="DT13" s="3510"/>
      <c r="DU13" s="3510"/>
      <c r="DV13" s="3510"/>
      <c r="DW13" s="3510"/>
      <c r="DX13" s="3510"/>
      <c r="DY13" s="3510"/>
      <c r="DZ13" s="3510"/>
      <c r="EA13" s="3510"/>
      <c r="EB13" s="3510"/>
      <c r="EC13" s="3510"/>
      <c r="ED13" s="3510"/>
      <c r="EE13" s="3510"/>
      <c r="EF13" s="3510"/>
      <c r="EG13" s="3510"/>
      <c r="EH13" s="3510"/>
      <c r="EI13" s="3510"/>
      <c r="EJ13" s="3510"/>
      <c r="EK13" s="3510"/>
      <c r="EL13" s="3510"/>
      <c r="EM13" s="3510"/>
      <c r="EN13" s="3510"/>
      <c r="EO13" s="3510"/>
      <c r="EP13" s="3510"/>
      <c r="EQ13" s="3510"/>
      <c r="ER13" s="3510"/>
      <c r="ES13" s="3510"/>
      <c r="ET13" s="3510"/>
      <c r="EU13" s="3510"/>
      <c r="EV13" s="3510"/>
      <c r="EW13" s="3510"/>
      <c r="EX13" s="3510"/>
      <c r="EY13" s="3510"/>
      <c r="EZ13" s="3510"/>
      <c r="FA13" s="3510"/>
      <c r="FB13" s="3510"/>
      <c r="FC13" s="3510"/>
      <c r="FD13" s="3510"/>
      <c r="FE13" s="3510"/>
      <c r="FF13" s="3510"/>
      <c r="FG13" s="3510"/>
      <c r="FH13" s="3510"/>
      <c r="FI13" s="3510"/>
      <c r="FJ13" s="3510"/>
      <c r="FK13" s="3510"/>
      <c r="FL13" s="3510"/>
      <c r="FM13" s="3510"/>
      <c r="FN13" s="3510"/>
      <c r="FO13" s="3510"/>
      <c r="FP13" s="3510"/>
      <c r="FQ13" s="3510"/>
      <c r="FR13" s="3510"/>
      <c r="FS13" s="3510"/>
      <c r="FT13" s="3510"/>
      <c r="FU13" s="3510"/>
      <c r="FV13" s="3510"/>
      <c r="FW13" s="3510"/>
      <c r="FX13" s="3510"/>
      <c r="FY13" s="3510"/>
      <c r="FZ13" s="3510"/>
      <c r="GA13" s="3510"/>
      <c r="GB13" s="3510"/>
      <c r="GC13" s="3510"/>
      <c r="GD13" s="3510"/>
      <c r="GE13" s="3510"/>
      <c r="GF13" s="3510"/>
      <c r="GG13" s="3510"/>
      <c r="GH13" s="3510"/>
      <c r="GI13" s="3510"/>
      <c r="GJ13" s="3510"/>
      <c r="GK13" s="3510"/>
      <c r="GL13" s="3510"/>
      <c r="GM13" s="3510"/>
      <c r="GN13" s="3510"/>
      <c r="GO13" s="3510"/>
      <c r="GP13" s="3510"/>
      <c r="GQ13" s="3510"/>
      <c r="GR13" s="3510"/>
      <c r="GS13" s="3510"/>
      <c r="GT13" s="3510"/>
      <c r="GU13" s="3510"/>
      <c r="GV13" s="3510"/>
      <c r="GW13" s="3510"/>
      <c r="GX13" s="3510"/>
      <c r="GY13" s="3510"/>
      <c r="GZ13" s="3510"/>
      <c r="HA13" s="3510"/>
      <c r="HB13" s="3510"/>
      <c r="HC13" s="3510"/>
      <c r="HD13" s="3510"/>
      <c r="HE13" s="3510"/>
      <c r="HF13" s="3510"/>
      <c r="HG13" s="3510"/>
      <c r="HH13" s="3510"/>
      <c r="HI13" s="3510"/>
      <c r="HJ13" s="3510"/>
      <c r="HK13" s="3510"/>
      <c r="HL13" s="3510"/>
      <c r="HM13" s="3510"/>
      <c r="HN13" s="3510"/>
      <c r="HO13" s="3510"/>
      <c r="HP13" s="3510"/>
      <c r="HQ13" s="3510"/>
      <c r="HR13" s="3510"/>
      <c r="HS13" s="3510"/>
      <c r="HT13" s="3510"/>
      <c r="HU13" s="3510"/>
      <c r="HV13" s="3510"/>
      <c r="HW13" s="3510"/>
      <c r="HX13" s="3510"/>
      <c r="HY13" s="3510"/>
      <c r="HZ13" s="3510"/>
      <c r="IA13" s="3510"/>
      <c r="IB13" s="3510"/>
      <c r="IC13" s="3510"/>
      <c r="ID13" s="3510"/>
      <c r="IE13" s="3510"/>
      <c r="IF13" s="3510"/>
      <c r="IG13" s="3510"/>
      <c r="IH13" s="3510"/>
      <c r="II13" s="3510"/>
      <c r="IJ13" s="3510"/>
      <c r="IK13" s="3510"/>
      <c r="IL13" s="3510"/>
      <c r="IM13" s="3510"/>
      <c r="IN13" s="3510"/>
      <c r="IO13" s="3510"/>
      <c r="IP13" s="3510"/>
      <c r="IQ13" s="3510"/>
      <c r="IR13" s="3510"/>
      <c r="IS13" s="3510"/>
    </row>
    <row r="14" spans="1:253" s="3556" customFormat="1" ht="12" hidden="1">
      <c r="A14" s="3489" t="s">
        <v>3680</v>
      </c>
      <c r="B14" s="3490" t="s">
        <v>3681</v>
      </c>
      <c r="C14" s="3491" t="s">
        <v>3682</v>
      </c>
      <c r="D14" s="3491" t="s">
        <v>3683</v>
      </c>
      <c r="E14" s="3490" t="s">
        <v>3542</v>
      </c>
      <c r="F14" s="3490" t="s">
        <v>3684</v>
      </c>
      <c r="G14" s="3490"/>
      <c r="H14" s="3490" t="s">
        <v>3668</v>
      </c>
      <c r="I14" s="3490" t="s">
        <v>3685</v>
      </c>
      <c r="J14" s="3491" t="s">
        <v>3686</v>
      </c>
      <c r="K14" s="3490" t="s">
        <v>3660</v>
      </c>
      <c r="L14" s="3492">
        <v>52.42</v>
      </c>
      <c r="M14" s="3490">
        <v>7</v>
      </c>
      <c r="N14" s="3490" t="s">
        <v>3661</v>
      </c>
      <c r="O14" s="3490">
        <v>40.700000000000003</v>
      </c>
      <c r="P14" s="3490" t="s">
        <v>3662</v>
      </c>
      <c r="Q14" s="3494">
        <v>401013</v>
      </c>
      <c r="R14" s="3492">
        <v>7650</v>
      </c>
      <c r="S14" s="3492">
        <v>40.020000000000003</v>
      </c>
      <c r="T14" s="3517">
        <v>400200</v>
      </c>
      <c r="U14" s="3494">
        <v>7635</v>
      </c>
      <c r="V14" s="3514">
        <v>0.1</v>
      </c>
      <c r="W14" s="3497">
        <v>36.01</v>
      </c>
      <c r="X14" s="3549">
        <v>360100</v>
      </c>
      <c r="Y14" s="3499">
        <v>2004</v>
      </c>
      <c r="Z14" s="3499">
        <v>1</v>
      </c>
      <c r="AA14" s="3490">
        <v>30</v>
      </c>
      <c r="AB14" s="3489">
        <v>2000</v>
      </c>
      <c r="AC14" s="3490" t="s">
        <v>3579</v>
      </c>
      <c r="AD14" s="3489"/>
      <c r="AE14" s="3499" t="s">
        <v>3446</v>
      </c>
      <c r="AF14" s="3490" t="s">
        <v>3580</v>
      </c>
      <c r="AG14" s="3500" t="s">
        <v>3447</v>
      </c>
      <c r="AH14" s="3489"/>
      <c r="AI14" s="3490" t="s">
        <v>3448</v>
      </c>
      <c r="AJ14" s="3550">
        <v>38107</v>
      </c>
      <c r="AK14" s="3501">
        <v>1</v>
      </c>
      <c r="AL14" s="3499">
        <v>67641700</v>
      </c>
      <c r="AM14" s="3499"/>
      <c r="AN14" s="3502" t="s">
        <v>3687</v>
      </c>
      <c r="AO14" s="3490" t="s">
        <v>3657</v>
      </c>
      <c r="AP14" s="3499" t="s">
        <v>3450</v>
      </c>
      <c r="AQ14" s="3499" t="s">
        <v>3451</v>
      </c>
      <c r="AR14" s="3499"/>
      <c r="AS14" s="3499"/>
      <c r="AT14" s="3499"/>
      <c r="AU14" s="3499"/>
      <c r="AV14" s="3499"/>
      <c r="AW14" s="3499" t="s">
        <v>3452</v>
      </c>
      <c r="AX14" s="3499"/>
      <c r="AY14" s="3503" t="s">
        <v>3688</v>
      </c>
      <c r="AZ14" s="3490" t="s">
        <v>3660</v>
      </c>
      <c r="BA14" s="3499" t="s">
        <v>3665</v>
      </c>
      <c r="BB14" s="3503" t="s">
        <v>3666</v>
      </c>
      <c r="BC14" s="3499" t="s">
        <v>3689</v>
      </c>
      <c r="BD14" s="3504" t="s">
        <v>3657</v>
      </c>
      <c r="BE14" s="3499">
        <v>68706390</v>
      </c>
      <c r="BF14" s="3505">
        <v>2.8</v>
      </c>
      <c r="BG14" s="3555">
        <v>37871</v>
      </c>
      <c r="BH14" s="3557"/>
      <c r="BI14" s="3506" t="s">
        <v>3690</v>
      </c>
      <c r="BJ14" s="3512">
        <v>37984</v>
      </c>
      <c r="BK14" s="3512">
        <v>37981</v>
      </c>
      <c r="BL14" s="3490" t="s">
        <v>3454</v>
      </c>
      <c r="BM14" s="3499"/>
      <c r="BN14" s="3499"/>
      <c r="BO14" s="3499"/>
      <c r="BP14" s="3499"/>
      <c r="BQ14" s="3499">
        <v>9834</v>
      </c>
      <c r="BR14" s="3499">
        <v>9853</v>
      </c>
      <c r="BS14" s="3509"/>
      <c r="BT14" s="3509"/>
      <c r="BU14" s="3509"/>
      <c r="BV14" s="3510"/>
      <c r="BW14" s="3510"/>
      <c r="BX14" s="3510"/>
      <c r="BY14" s="3510"/>
      <c r="BZ14" s="3510"/>
      <c r="CA14" s="3510"/>
      <c r="CB14" s="3510"/>
      <c r="CC14" s="3510"/>
      <c r="CD14" s="3510"/>
      <c r="CE14" s="3510"/>
      <c r="CF14" s="3510"/>
      <c r="CG14" s="3510"/>
      <c r="CH14" s="3510"/>
      <c r="CI14" s="3510"/>
      <c r="CJ14" s="3510"/>
      <c r="CK14" s="3510"/>
      <c r="CL14" s="3510"/>
      <c r="CM14" s="3510"/>
      <c r="CN14" s="3510"/>
      <c r="CO14" s="3510"/>
      <c r="CP14" s="3510"/>
      <c r="CQ14" s="3510"/>
      <c r="CR14" s="3510"/>
      <c r="CS14" s="3510"/>
      <c r="CT14" s="3510"/>
      <c r="CU14" s="3510"/>
      <c r="CV14" s="3510"/>
      <c r="CW14" s="3510"/>
      <c r="CX14" s="3510"/>
      <c r="CY14" s="3510"/>
      <c r="CZ14" s="3510"/>
      <c r="DA14" s="3510"/>
      <c r="DB14" s="3510"/>
      <c r="DC14" s="3510"/>
      <c r="DD14" s="3510"/>
      <c r="DE14" s="3510"/>
      <c r="DF14" s="3510"/>
      <c r="DG14" s="3510"/>
      <c r="DH14" s="3510"/>
      <c r="DI14" s="3510"/>
      <c r="DJ14" s="3510"/>
      <c r="DK14" s="3510"/>
      <c r="DL14" s="3510"/>
      <c r="DM14" s="3510"/>
      <c r="DN14" s="3510"/>
      <c r="DO14" s="3510"/>
      <c r="DP14" s="3510"/>
      <c r="DQ14" s="3510"/>
      <c r="DR14" s="3510"/>
      <c r="DS14" s="3510"/>
      <c r="DT14" s="3510"/>
      <c r="DU14" s="3510"/>
      <c r="DV14" s="3510"/>
      <c r="DW14" s="3510"/>
      <c r="DX14" s="3510"/>
      <c r="DY14" s="3510"/>
      <c r="DZ14" s="3510"/>
      <c r="EA14" s="3510"/>
      <c r="EB14" s="3510"/>
      <c r="EC14" s="3510"/>
      <c r="ED14" s="3510"/>
      <c r="EE14" s="3510"/>
      <c r="EF14" s="3510"/>
      <c r="EG14" s="3510"/>
      <c r="EH14" s="3510"/>
      <c r="EI14" s="3510"/>
      <c r="EJ14" s="3510"/>
      <c r="EK14" s="3510"/>
      <c r="EL14" s="3510"/>
      <c r="EM14" s="3510"/>
      <c r="EN14" s="3510"/>
      <c r="EO14" s="3510"/>
      <c r="EP14" s="3510"/>
      <c r="EQ14" s="3510"/>
      <c r="ER14" s="3510"/>
      <c r="ES14" s="3510"/>
      <c r="ET14" s="3510"/>
      <c r="EU14" s="3510"/>
      <c r="EV14" s="3510"/>
      <c r="EW14" s="3510"/>
      <c r="EX14" s="3510"/>
      <c r="EY14" s="3510"/>
      <c r="EZ14" s="3510"/>
      <c r="FA14" s="3510"/>
      <c r="FB14" s="3510"/>
      <c r="FC14" s="3510"/>
      <c r="FD14" s="3510"/>
      <c r="FE14" s="3510"/>
      <c r="FF14" s="3510"/>
      <c r="FG14" s="3510"/>
      <c r="FH14" s="3510"/>
      <c r="FI14" s="3510"/>
      <c r="FJ14" s="3510"/>
      <c r="FK14" s="3510"/>
      <c r="FL14" s="3510"/>
      <c r="FM14" s="3510"/>
      <c r="FN14" s="3510"/>
      <c r="FO14" s="3510"/>
      <c r="FP14" s="3510"/>
      <c r="FQ14" s="3510"/>
      <c r="FR14" s="3510"/>
      <c r="FS14" s="3510"/>
      <c r="FT14" s="3510"/>
      <c r="FU14" s="3510"/>
      <c r="FV14" s="3510"/>
      <c r="FW14" s="3510"/>
      <c r="FX14" s="3510"/>
      <c r="FY14" s="3510"/>
      <c r="FZ14" s="3510"/>
      <c r="GA14" s="3510"/>
      <c r="GB14" s="3510"/>
      <c r="GC14" s="3510"/>
      <c r="GD14" s="3510"/>
      <c r="GE14" s="3510"/>
      <c r="GF14" s="3510"/>
      <c r="GG14" s="3510"/>
      <c r="GH14" s="3510"/>
      <c r="GI14" s="3510"/>
      <c r="GJ14" s="3510"/>
      <c r="GK14" s="3510"/>
      <c r="GL14" s="3510"/>
      <c r="GM14" s="3510"/>
      <c r="GN14" s="3510"/>
      <c r="GO14" s="3510"/>
      <c r="GP14" s="3510"/>
      <c r="GQ14" s="3510"/>
      <c r="GR14" s="3510"/>
      <c r="GS14" s="3510"/>
      <c r="GT14" s="3510"/>
      <c r="GU14" s="3510"/>
      <c r="GV14" s="3510"/>
      <c r="GW14" s="3510"/>
      <c r="GX14" s="3510"/>
      <c r="GY14" s="3510"/>
      <c r="GZ14" s="3510"/>
      <c r="HA14" s="3510"/>
      <c r="HB14" s="3510"/>
      <c r="HC14" s="3510"/>
      <c r="HD14" s="3510"/>
      <c r="HE14" s="3510"/>
      <c r="HF14" s="3510"/>
      <c r="HG14" s="3510"/>
      <c r="HH14" s="3510"/>
      <c r="HI14" s="3510"/>
      <c r="HJ14" s="3510"/>
      <c r="HK14" s="3510"/>
      <c r="HL14" s="3510"/>
      <c r="HM14" s="3510"/>
      <c r="HN14" s="3510"/>
      <c r="HO14" s="3510"/>
      <c r="HP14" s="3510"/>
      <c r="HQ14" s="3510"/>
      <c r="HR14" s="3510"/>
      <c r="HS14" s="3510"/>
      <c r="HT14" s="3510"/>
      <c r="HU14" s="3510"/>
      <c r="HV14" s="3510"/>
      <c r="HW14" s="3510"/>
      <c r="HX14" s="3510"/>
      <c r="HY14" s="3510"/>
      <c r="HZ14" s="3510"/>
      <c r="IA14" s="3510"/>
      <c r="IB14" s="3510"/>
      <c r="IC14" s="3510"/>
      <c r="ID14" s="3510"/>
      <c r="IE14" s="3510"/>
      <c r="IF14" s="3510"/>
      <c r="IG14" s="3510"/>
      <c r="IH14" s="3510"/>
      <c r="II14" s="3510"/>
      <c r="IJ14" s="3510"/>
      <c r="IK14" s="3510"/>
      <c r="IL14" s="3510"/>
      <c r="IM14" s="3510"/>
      <c r="IN14" s="3510"/>
      <c r="IO14" s="3510"/>
      <c r="IP14" s="3510"/>
      <c r="IQ14" s="3510"/>
      <c r="IR14" s="3510"/>
      <c r="IS14" s="3510"/>
    </row>
    <row r="15" spans="1:253" s="3556" customFormat="1" ht="12" hidden="1">
      <c r="A15" s="3489" t="s">
        <v>3691</v>
      </c>
      <c r="B15" s="3490" t="s">
        <v>3692</v>
      </c>
      <c r="C15" s="3491" t="s">
        <v>3693</v>
      </c>
      <c r="D15" s="3491" t="s">
        <v>3694</v>
      </c>
      <c r="E15" s="3490" t="s">
        <v>3542</v>
      </c>
      <c r="F15" s="3490" t="s">
        <v>3656</v>
      </c>
      <c r="G15" s="3490"/>
      <c r="H15" s="3490" t="s">
        <v>3668</v>
      </c>
      <c r="I15" s="3490" t="s">
        <v>3695</v>
      </c>
      <c r="J15" s="3491" t="s">
        <v>3696</v>
      </c>
      <c r="K15" s="3490" t="s">
        <v>3660</v>
      </c>
      <c r="L15" s="3492">
        <v>42.81</v>
      </c>
      <c r="M15" s="3490">
        <v>2</v>
      </c>
      <c r="N15" s="3490" t="s">
        <v>3661</v>
      </c>
      <c r="O15" s="3490">
        <v>33.24</v>
      </c>
      <c r="P15" s="3490" t="s">
        <v>3468</v>
      </c>
      <c r="Q15" s="3494">
        <v>299670</v>
      </c>
      <c r="R15" s="3492">
        <v>7000</v>
      </c>
      <c r="S15" s="3492">
        <v>29.7</v>
      </c>
      <c r="T15" s="3517">
        <v>297000</v>
      </c>
      <c r="U15" s="3494">
        <v>6938</v>
      </c>
      <c r="V15" s="3514">
        <v>0.1</v>
      </c>
      <c r="W15" s="3497">
        <v>26.73</v>
      </c>
      <c r="X15" s="3549">
        <v>267300</v>
      </c>
      <c r="Y15" s="3499">
        <v>2004</v>
      </c>
      <c r="Z15" s="3499">
        <v>1</v>
      </c>
      <c r="AA15" s="3490">
        <v>30</v>
      </c>
      <c r="AB15" s="3489">
        <v>1485</v>
      </c>
      <c r="AC15" s="3490" t="s">
        <v>3697</v>
      </c>
      <c r="AD15" s="3489"/>
      <c r="AE15" s="3499" t="s">
        <v>3446</v>
      </c>
      <c r="AF15" s="3490" t="s">
        <v>3676</v>
      </c>
      <c r="AG15" s="3500" t="s">
        <v>3447</v>
      </c>
      <c r="AH15" s="3489"/>
      <c r="AI15" s="3490" t="s">
        <v>3448</v>
      </c>
      <c r="AJ15" s="3550">
        <v>38107</v>
      </c>
      <c r="AK15" s="3501">
        <v>1</v>
      </c>
      <c r="AL15" s="3499">
        <v>67641700</v>
      </c>
      <c r="AM15" s="3499"/>
      <c r="AN15" s="3502" t="s">
        <v>3687</v>
      </c>
      <c r="AO15" s="3490" t="s">
        <v>3657</v>
      </c>
      <c r="AP15" s="3499" t="s">
        <v>3450</v>
      </c>
      <c r="AQ15" s="3499" t="s">
        <v>3451</v>
      </c>
      <c r="AR15" s="3499"/>
      <c r="AS15" s="3499"/>
      <c r="AT15" s="3499"/>
      <c r="AU15" s="3499"/>
      <c r="AV15" s="3499"/>
      <c r="AW15" s="3499" t="s">
        <v>3452</v>
      </c>
      <c r="AX15" s="3499"/>
      <c r="AY15" s="3503" t="s">
        <v>3698</v>
      </c>
      <c r="AZ15" s="3490" t="s">
        <v>3664</v>
      </c>
      <c r="BA15" s="3499" t="s">
        <v>3678</v>
      </c>
      <c r="BB15" s="3503" t="s">
        <v>3699</v>
      </c>
      <c r="BC15" s="3499" t="s">
        <v>3667</v>
      </c>
      <c r="BD15" s="3504" t="s">
        <v>3668</v>
      </c>
      <c r="BE15" s="3499">
        <v>68706390</v>
      </c>
      <c r="BF15" s="3505">
        <v>2.8</v>
      </c>
      <c r="BG15" s="3555">
        <v>37890</v>
      </c>
      <c r="BH15" s="3499"/>
      <c r="BI15" s="3506" t="s">
        <v>3690</v>
      </c>
      <c r="BJ15" s="3512">
        <v>37988</v>
      </c>
      <c r="BK15" s="3512">
        <v>37977</v>
      </c>
      <c r="BL15" s="3490" t="s">
        <v>3454</v>
      </c>
      <c r="BM15" s="3499"/>
      <c r="BN15" s="3499"/>
      <c r="BO15" s="3499"/>
      <c r="BP15" s="3499"/>
      <c r="BQ15" s="3499">
        <v>8935</v>
      </c>
      <c r="BR15" s="3499">
        <v>9015</v>
      </c>
      <c r="BS15" s="3509"/>
      <c r="BT15" s="3509"/>
      <c r="BU15" s="3509"/>
      <c r="BV15" s="3510"/>
      <c r="BW15" s="3510"/>
      <c r="BX15" s="3510"/>
      <c r="BY15" s="3510"/>
      <c r="BZ15" s="3510"/>
      <c r="CA15" s="3510"/>
      <c r="CB15" s="3510"/>
      <c r="CC15" s="3510"/>
      <c r="CD15" s="3510"/>
      <c r="CE15" s="3510"/>
      <c r="CF15" s="3510"/>
      <c r="CG15" s="3510"/>
      <c r="CH15" s="3510"/>
      <c r="CI15" s="3510"/>
      <c r="CJ15" s="3510"/>
      <c r="CK15" s="3510"/>
      <c r="CL15" s="3510"/>
      <c r="CM15" s="3510"/>
      <c r="CN15" s="3510"/>
      <c r="CO15" s="3510"/>
      <c r="CP15" s="3510"/>
      <c r="CQ15" s="3510"/>
      <c r="CR15" s="3510"/>
      <c r="CS15" s="3510"/>
      <c r="CT15" s="3510"/>
      <c r="CU15" s="3510"/>
      <c r="CV15" s="3510"/>
      <c r="CW15" s="3510"/>
      <c r="CX15" s="3510"/>
      <c r="CY15" s="3510"/>
      <c r="CZ15" s="3510"/>
      <c r="DA15" s="3510"/>
      <c r="DB15" s="3510"/>
      <c r="DC15" s="3510"/>
      <c r="DD15" s="3510"/>
      <c r="DE15" s="3510"/>
      <c r="DF15" s="3510"/>
      <c r="DG15" s="3510"/>
      <c r="DH15" s="3510"/>
      <c r="DI15" s="3510"/>
      <c r="DJ15" s="3510"/>
      <c r="DK15" s="3510"/>
      <c r="DL15" s="3510"/>
      <c r="DM15" s="3510"/>
      <c r="DN15" s="3510"/>
      <c r="DO15" s="3510"/>
      <c r="DP15" s="3510"/>
      <c r="DQ15" s="3510"/>
      <c r="DR15" s="3510"/>
      <c r="DS15" s="3510"/>
      <c r="DT15" s="3510"/>
      <c r="DU15" s="3510"/>
      <c r="DV15" s="3510"/>
      <c r="DW15" s="3510"/>
      <c r="DX15" s="3510"/>
      <c r="DY15" s="3510"/>
      <c r="DZ15" s="3510"/>
      <c r="EA15" s="3510"/>
      <c r="EB15" s="3510"/>
      <c r="EC15" s="3510"/>
      <c r="ED15" s="3510"/>
      <c r="EE15" s="3510"/>
      <c r="EF15" s="3510"/>
      <c r="EG15" s="3510"/>
      <c r="EH15" s="3510"/>
      <c r="EI15" s="3510"/>
      <c r="EJ15" s="3510"/>
      <c r="EK15" s="3510"/>
      <c r="EL15" s="3510"/>
      <c r="EM15" s="3510"/>
      <c r="EN15" s="3510"/>
      <c r="EO15" s="3510"/>
      <c r="EP15" s="3510"/>
      <c r="EQ15" s="3510"/>
      <c r="ER15" s="3510"/>
      <c r="ES15" s="3510"/>
      <c r="ET15" s="3510"/>
      <c r="EU15" s="3510"/>
      <c r="EV15" s="3510"/>
      <c r="EW15" s="3510"/>
      <c r="EX15" s="3510"/>
      <c r="EY15" s="3510"/>
      <c r="EZ15" s="3510"/>
      <c r="FA15" s="3510"/>
      <c r="FB15" s="3510"/>
      <c r="FC15" s="3510"/>
      <c r="FD15" s="3510"/>
      <c r="FE15" s="3510"/>
      <c r="FF15" s="3510"/>
      <c r="FG15" s="3510"/>
      <c r="FH15" s="3510"/>
      <c r="FI15" s="3510"/>
      <c r="FJ15" s="3510"/>
      <c r="FK15" s="3510"/>
      <c r="FL15" s="3510"/>
      <c r="FM15" s="3510"/>
      <c r="FN15" s="3510"/>
      <c r="FO15" s="3510"/>
      <c r="FP15" s="3510"/>
      <c r="FQ15" s="3510"/>
      <c r="FR15" s="3510"/>
      <c r="FS15" s="3510"/>
      <c r="FT15" s="3510"/>
      <c r="FU15" s="3510"/>
      <c r="FV15" s="3510"/>
      <c r="FW15" s="3510"/>
      <c r="FX15" s="3510"/>
      <c r="FY15" s="3510"/>
      <c r="FZ15" s="3510"/>
      <c r="GA15" s="3510"/>
      <c r="GB15" s="3510"/>
      <c r="GC15" s="3510"/>
      <c r="GD15" s="3510"/>
      <c r="GE15" s="3510"/>
      <c r="GF15" s="3510"/>
      <c r="GG15" s="3510"/>
      <c r="GH15" s="3510"/>
      <c r="GI15" s="3510"/>
      <c r="GJ15" s="3510"/>
      <c r="GK15" s="3510"/>
      <c r="GL15" s="3510"/>
      <c r="GM15" s="3510"/>
      <c r="GN15" s="3510"/>
      <c r="GO15" s="3510"/>
      <c r="GP15" s="3510"/>
      <c r="GQ15" s="3510"/>
      <c r="GR15" s="3510"/>
      <c r="GS15" s="3510"/>
      <c r="GT15" s="3510"/>
      <c r="GU15" s="3510"/>
      <c r="GV15" s="3510"/>
      <c r="GW15" s="3510"/>
      <c r="GX15" s="3510"/>
      <c r="GY15" s="3510"/>
      <c r="GZ15" s="3510"/>
      <c r="HA15" s="3510"/>
      <c r="HB15" s="3510"/>
      <c r="HC15" s="3510"/>
      <c r="HD15" s="3510"/>
      <c r="HE15" s="3510"/>
      <c r="HF15" s="3510"/>
      <c r="HG15" s="3510"/>
      <c r="HH15" s="3510"/>
      <c r="HI15" s="3510"/>
      <c r="HJ15" s="3510"/>
      <c r="HK15" s="3510"/>
      <c r="HL15" s="3510"/>
      <c r="HM15" s="3510"/>
      <c r="HN15" s="3510"/>
      <c r="HO15" s="3510"/>
      <c r="HP15" s="3510"/>
      <c r="HQ15" s="3510"/>
      <c r="HR15" s="3510"/>
      <c r="HS15" s="3510"/>
      <c r="HT15" s="3510"/>
      <c r="HU15" s="3510"/>
      <c r="HV15" s="3510"/>
      <c r="HW15" s="3510"/>
      <c r="HX15" s="3510"/>
      <c r="HY15" s="3510"/>
      <c r="HZ15" s="3510"/>
      <c r="IA15" s="3510"/>
      <c r="IB15" s="3510"/>
      <c r="IC15" s="3510"/>
      <c r="ID15" s="3510"/>
      <c r="IE15" s="3510"/>
      <c r="IF15" s="3510"/>
      <c r="IG15" s="3510"/>
      <c r="IH15" s="3510"/>
      <c r="II15" s="3510"/>
      <c r="IJ15" s="3510"/>
      <c r="IK15" s="3510"/>
      <c r="IL15" s="3510"/>
      <c r="IM15" s="3510"/>
      <c r="IN15" s="3510"/>
      <c r="IO15" s="3510"/>
      <c r="IP15" s="3510"/>
      <c r="IQ15" s="3510"/>
      <c r="IR15" s="3510"/>
      <c r="IS15" s="3510"/>
    </row>
    <row r="16" spans="1:253" s="3510" customFormat="1" ht="12" hidden="1">
      <c r="A16" s="3489" t="s">
        <v>3700</v>
      </c>
      <c r="B16" s="3490" t="s">
        <v>3701</v>
      </c>
      <c r="C16" s="3491" t="s">
        <v>3702</v>
      </c>
      <c r="D16" s="3491" t="s">
        <v>3703</v>
      </c>
      <c r="E16" s="3490" t="s">
        <v>3553</v>
      </c>
      <c r="F16" s="3490" t="s">
        <v>3656</v>
      </c>
      <c r="G16" s="3490"/>
      <c r="H16" s="3490" t="s">
        <v>3657</v>
      </c>
      <c r="I16" s="3490" t="s">
        <v>3695</v>
      </c>
      <c r="J16" s="3491" t="s">
        <v>3704</v>
      </c>
      <c r="K16" s="3490" t="s">
        <v>3664</v>
      </c>
      <c r="L16" s="3492">
        <v>43.12</v>
      </c>
      <c r="M16" s="3490">
        <v>2</v>
      </c>
      <c r="N16" s="3490" t="s">
        <v>3661</v>
      </c>
      <c r="O16" s="3490">
        <v>33.479999999999997</v>
      </c>
      <c r="P16" s="3490" t="s">
        <v>3468</v>
      </c>
      <c r="Q16" s="3494">
        <v>314776</v>
      </c>
      <c r="R16" s="3492">
        <v>7300</v>
      </c>
      <c r="S16" s="3492">
        <v>31.19</v>
      </c>
      <c r="T16" s="3517">
        <v>311900</v>
      </c>
      <c r="U16" s="3494">
        <v>7235</v>
      </c>
      <c r="V16" s="3514">
        <v>0.1</v>
      </c>
      <c r="W16" s="3497">
        <v>28.07</v>
      </c>
      <c r="X16" s="3549">
        <v>280700</v>
      </c>
      <c r="Y16" s="3499">
        <v>2004</v>
      </c>
      <c r="Z16" s="3499">
        <v>1</v>
      </c>
      <c r="AA16" s="3490">
        <v>12</v>
      </c>
      <c r="AB16" s="3553">
        <v>1555</v>
      </c>
      <c r="AC16" s="3490" t="s">
        <v>3555</v>
      </c>
      <c r="AD16" s="3489"/>
      <c r="AE16" s="3499" t="s">
        <v>3446</v>
      </c>
      <c r="AF16" s="3490" t="s">
        <v>3580</v>
      </c>
      <c r="AG16" s="3500" t="s">
        <v>3447</v>
      </c>
      <c r="AH16" s="3489"/>
      <c r="AI16" s="3490" t="s">
        <v>3448</v>
      </c>
      <c r="AJ16" s="3550">
        <v>38107</v>
      </c>
      <c r="AK16" s="3501">
        <v>1</v>
      </c>
      <c r="AL16" s="3499">
        <v>67641700</v>
      </c>
      <c r="AM16" s="3499"/>
      <c r="AN16" s="3502" t="s">
        <v>3705</v>
      </c>
      <c r="AO16" s="3490" t="s">
        <v>3668</v>
      </c>
      <c r="AP16" s="3499" t="s">
        <v>3450</v>
      </c>
      <c r="AQ16" s="3499" t="s">
        <v>3451</v>
      </c>
      <c r="AR16" s="3499"/>
      <c r="AS16" s="3499"/>
      <c r="AT16" s="3499"/>
      <c r="AU16" s="3499"/>
      <c r="AV16" s="3499"/>
      <c r="AW16" s="3499" t="s">
        <v>3452</v>
      </c>
      <c r="AX16" s="3499"/>
      <c r="AY16" s="3503" t="s">
        <v>3706</v>
      </c>
      <c r="AZ16" s="3490" t="s">
        <v>3664</v>
      </c>
      <c r="BA16" s="3499" t="s">
        <v>3678</v>
      </c>
      <c r="BB16" s="3503" t="s">
        <v>3699</v>
      </c>
      <c r="BC16" s="3499" t="s">
        <v>3667</v>
      </c>
      <c r="BD16" s="3504" t="s">
        <v>3657</v>
      </c>
      <c r="BE16" s="3499" t="s">
        <v>3657</v>
      </c>
      <c r="BF16" s="3505">
        <v>2.8</v>
      </c>
      <c r="BG16" s="3555">
        <v>37926</v>
      </c>
      <c r="BH16" s="3499" t="s">
        <v>3707</v>
      </c>
      <c r="BI16" s="3506" t="s">
        <v>3450</v>
      </c>
      <c r="BJ16" s="3512">
        <v>37991</v>
      </c>
      <c r="BK16" s="3512">
        <v>37973</v>
      </c>
      <c r="BL16" s="3490" t="s">
        <v>3454</v>
      </c>
      <c r="BM16" s="3499"/>
      <c r="BN16" s="3499"/>
      <c r="BO16" s="3499"/>
      <c r="BP16" s="3499"/>
      <c r="BQ16" s="3499">
        <v>9318</v>
      </c>
      <c r="BR16" s="3499">
        <v>9402</v>
      </c>
      <c r="BS16" s="3509"/>
      <c r="BT16" s="3509"/>
      <c r="BU16" s="3509"/>
    </row>
    <row r="17" spans="1:253" s="3556" customFormat="1" ht="12" hidden="1">
      <c r="A17" s="3489" t="s">
        <v>3708</v>
      </c>
      <c r="B17" s="3490" t="s">
        <v>3709</v>
      </c>
      <c r="C17" s="3491" t="s">
        <v>3710</v>
      </c>
      <c r="D17" s="3491" t="s">
        <v>3711</v>
      </c>
      <c r="E17" s="3490" t="s">
        <v>3553</v>
      </c>
      <c r="F17" s="3490" t="s">
        <v>3656</v>
      </c>
      <c r="G17" s="3490"/>
      <c r="H17" s="3490" t="s">
        <v>3657</v>
      </c>
      <c r="I17" s="3490" t="s">
        <v>3464</v>
      </c>
      <c r="J17" s="3491" t="s">
        <v>3712</v>
      </c>
      <c r="K17" s="3490" t="s">
        <v>3660</v>
      </c>
      <c r="L17" s="3492">
        <v>48.03</v>
      </c>
      <c r="M17" s="3490">
        <v>11</v>
      </c>
      <c r="N17" s="3490" t="s">
        <v>3467</v>
      </c>
      <c r="O17" s="3490">
        <v>37.29</v>
      </c>
      <c r="P17" s="3490" t="s">
        <v>3468</v>
      </c>
      <c r="Q17" s="3494">
        <v>325643</v>
      </c>
      <c r="R17" s="3492">
        <v>6780</v>
      </c>
      <c r="S17" s="3492">
        <v>32.270000000000003</v>
      </c>
      <c r="T17" s="3517">
        <v>322700</v>
      </c>
      <c r="U17" s="3494">
        <v>6720</v>
      </c>
      <c r="V17" s="3514">
        <v>0.1</v>
      </c>
      <c r="W17" s="3497">
        <v>29.04</v>
      </c>
      <c r="X17" s="3549">
        <v>290400</v>
      </c>
      <c r="Y17" s="3499">
        <v>2004</v>
      </c>
      <c r="Z17" s="3499">
        <v>2</v>
      </c>
      <c r="AA17" s="3490">
        <v>13</v>
      </c>
      <c r="AB17" s="3489">
        <v>1610</v>
      </c>
      <c r="AC17" s="3490" t="s">
        <v>3713</v>
      </c>
      <c r="AD17" s="3489"/>
      <c r="AE17" s="3499" t="s">
        <v>3446</v>
      </c>
      <c r="AF17" s="3490" t="s">
        <v>3580</v>
      </c>
      <c r="AG17" s="3500" t="s">
        <v>3447</v>
      </c>
      <c r="AH17" s="3489"/>
      <c r="AI17" s="3490" t="s">
        <v>3448</v>
      </c>
      <c r="AJ17" s="3550">
        <v>38107</v>
      </c>
      <c r="AK17" s="3501">
        <v>2</v>
      </c>
      <c r="AL17" s="3499">
        <v>67641700</v>
      </c>
      <c r="AM17" s="3499"/>
      <c r="AN17" s="3502" t="s">
        <v>3461</v>
      </c>
      <c r="AO17" s="3490" t="s">
        <v>3657</v>
      </c>
      <c r="AP17" s="3499" t="s">
        <v>3450</v>
      </c>
      <c r="AQ17" s="3499" t="s">
        <v>3451</v>
      </c>
      <c r="AR17" s="3499"/>
      <c r="AS17" s="3499"/>
      <c r="AT17" s="3499"/>
      <c r="AU17" s="3499"/>
      <c r="AV17" s="3499"/>
      <c r="AW17" s="3499" t="s">
        <v>3452</v>
      </c>
      <c r="AX17" s="3499"/>
      <c r="AY17" s="3503" t="s">
        <v>3714</v>
      </c>
      <c r="AZ17" s="3490" t="s">
        <v>3664</v>
      </c>
      <c r="BA17" s="3499" t="s">
        <v>3665</v>
      </c>
      <c r="BB17" s="3503" t="s">
        <v>3699</v>
      </c>
      <c r="BC17" s="3499" t="s">
        <v>3689</v>
      </c>
      <c r="BD17" s="3504" t="s">
        <v>3668</v>
      </c>
      <c r="BE17" s="3499">
        <v>68706390</v>
      </c>
      <c r="BF17" s="3505">
        <v>2.8</v>
      </c>
      <c r="BG17" s="3555">
        <v>37890</v>
      </c>
      <c r="BH17" s="3499"/>
      <c r="BI17" s="3506" t="s">
        <v>3679</v>
      </c>
      <c r="BJ17" s="3512">
        <v>38027</v>
      </c>
      <c r="BK17" s="3512">
        <v>37915</v>
      </c>
      <c r="BL17" s="3490" t="s">
        <v>3454</v>
      </c>
      <c r="BM17" s="3499"/>
      <c r="BN17" s="3499"/>
      <c r="BO17" s="3499"/>
      <c r="BP17" s="3499"/>
      <c r="BQ17" s="3499">
        <v>8655</v>
      </c>
      <c r="BR17" s="3499">
        <v>8733</v>
      </c>
      <c r="BS17" s="3509"/>
      <c r="BT17" s="3509"/>
      <c r="BU17" s="3509"/>
      <c r="BV17" s="3510"/>
      <c r="BW17" s="3510"/>
      <c r="BX17" s="3510"/>
      <c r="BY17" s="3510"/>
      <c r="BZ17" s="3510"/>
      <c r="CA17" s="3510"/>
      <c r="CB17" s="3510"/>
      <c r="CC17" s="3510"/>
      <c r="CD17" s="3510"/>
      <c r="CE17" s="3510"/>
      <c r="CF17" s="3510"/>
      <c r="CG17" s="3510"/>
      <c r="CH17" s="3510"/>
      <c r="CI17" s="3510"/>
      <c r="CJ17" s="3510"/>
      <c r="CK17" s="3510"/>
      <c r="CL17" s="3510"/>
      <c r="CM17" s="3510"/>
      <c r="CN17" s="3510"/>
      <c r="CO17" s="3510"/>
      <c r="CP17" s="3510"/>
      <c r="CQ17" s="3510"/>
      <c r="CR17" s="3510"/>
      <c r="CS17" s="3510"/>
      <c r="CT17" s="3510"/>
      <c r="CU17" s="3510"/>
      <c r="CV17" s="3510"/>
      <c r="CW17" s="3510"/>
      <c r="CX17" s="3510"/>
      <c r="CY17" s="3510"/>
      <c r="CZ17" s="3510"/>
      <c r="DA17" s="3510"/>
      <c r="DB17" s="3510"/>
      <c r="DC17" s="3510"/>
      <c r="DD17" s="3510"/>
      <c r="DE17" s="3510"/>
      <c r="DF17" s="3510"/>
      <c r="DG17" s="3510"/>
      <c r="DH17" s="3510"/>
      <c r="DI17" s="3510"/>
      <c r="DJ17" s="3510"/>
      <c r="DK17" s="3510"/>
      <c r="DL17" s="3510"/>
      <c r="DM17" s="3510"/>
      <c r="DN17" s="3510"/>
      <c r="DO17" s="3510"/>
      <c r="DP17" s="3510"/>
      <c r="DQ17" s="3510"/>
      <c r="DR17" s="3510"/>
      <c r="DS17" s="3510"/>
      <c r="DT17" s="3510"/>
      <c r="DU17" s="3510"/>
      <c r="DV17" s="3510"/>
      <c r="DW17" s="3510"/>
      <c r="DX17" s="3510"/>
      <c r="DY17" s="3510"/>
      <c r="DZ17" s="3510"/>
      <c r="EA17" s="3510"/>
      <c r="EB17" s="3510"/>
      <c r="EC17" s="3510"/>
      <c r="ED17" s="3510"/>
      <c r="EE17" s="3510"/>
      <c r="EF17" s="3510"/>
      <c r="EG17" s="3510"/>
      <c r="EH17" s="3510"/>
      <c r="EI17" s="3510"/>
      <c r="EJ17" s="3510"/>
      <c r="EK17" s="3510"/>
      <c r="EL17" s="3510"/>
      <c r="EM17" s="3510"/>
      <c r="EN17" s="3510"/>
      <c r="EO17" s="3510"/>
      <c r="EP17" s="3510"/>
      <c r="EQ17" s="3510"/>
      <c r="ER17" s="3510"/>
      <c r="ES17" s="3510"/>
      <c r="ET17" s="3510"/>
      <c r="EU17" s="3510"/>
      <c r="EV17" s="3510"/>
      <c r="EW17" s="3510"/>
      <c r="EX17" s="3510"/>
      <c r="EY17" s="3510"/>
      <c r="EZ17" s="3510"/>
      <c r="FA17" s="3510"/>
      <c r="FB17" s="3510"/>
      <c r="FC17" s="3510"/>
      <c r="FD17" s="3510"/>
      <c r="FE17" s="3510"/>
      <c r="FF17" s="3510"/>
      <c r="FG17" s="3510"/>
      <c r="FH17" s="3510"/>
      <c r="FI17" s="3510"/>
      <c r="FJ17" s="3510"/>
      <c r="FK17" s="3510"/>
      <c r="FL17" s="3510"/>
      <c r="FM17" s="3510"/>
      <c r="FN17" s="3510"/>
      <c r="FO17" s="3510"/>
      <c r="FP17" s="3510"/>
      <c r="FQ17" s="3510"/>
      <c r="FR17" s="3510"/>
      <c r="FS17" s="3510"/>
      <c r="FT17" s="3510"/>
      <c r="FU17" s="3510"/>
      <c r="FV17" s="3510"/>
      <c r="FW17" s="3510"/>
      <c r="FX17" s="3510"/>
      <c r="FY17" s="3510"/>
      <c r="FZ17" s="3510"/>
      <c r="GA17" s="3510"/>
      <c r="GB17" s="3510"/>
      <c r="GC17" s="3510"/>
      <c r="GD17" s="3510"/>
      <c r="GE17" s="3510"/>
      <c r="GF17" s="3510"/>
      <c r="GG17" s="3510"/>
      <c r="GH17" s="3510"/>
      <c r="GI17" s="3510"/>
      <c r="GJ17" s="3510"/>
      <c r="GK17" s="3510"/>
      <c r="GL17" s="3510"/>
      <c r="GM17" s="3510"/>
      <c r="GN17" s="3510"/>
      <c r="GO17" s="3510"/>
      <c r="GP17" s="3510"/>
      <c r="GQ17" s="3510"/>
      <c r="GR17" s="3510"/>
      <c r="GS17" s="3510"/>
      <c r="GT17" s="3510"/>
      <c r="GU17" s="3510"/>
      <c r="GV17" s="3510"/>
      <c r="GW17" s="3510"/>
      <c r="GX17" s="3510"/>
      <c r="GY17" s="3510"/>
      <c r="GZ17" s="3510"/>
      <c r="HA17" s="3510"/>
      <c r="HB17" s="3510"/>
      <c r="HC17" s="3510"/>
      <c r="HD17" s="3510"/>
      <c r="HE17" s="3510"/>
      <c r="HF17" s="3510"/>
      <c r="HG17" s="3510"/>
      <c r="HH17" s="3510"/>
      <c r="HI17" s="3510"/>
      <c r="HJ17" s="3510"/>
      <c r="HK17" s="3510"/>
      <c r="HL17" s="3510"/>
      <c r="HM17" s="3510"/>
      <c r="HN17" s="3510"/>
      <c r="HO17" s="3510"/>
      <c r="HP17" s="3510"/>
      <c r="HQ17" s="3510"/>
      <c r="HR17" s="3510"/>
      <c r="HS17" s="3510"/>
      <c r="HT17" s="3510"/>
      <c r="HU17" s="3510"/>
      <c r="HV17" s="3510"/>
      <c r="HW17" s="3510"/>
      <c r="HX17" s="3510"/>
      <c r="HY17" s="3510"/>
      <c r="HZ17" s="3510"/>
      <c r="IA17" s="3510"/>
      <c r="IB17" s="3510"/>
      <c r="IC17" s="3510"/>
      <c r="ID17" s="3510"/>
      <c r="IE17" s="3510"/>
      <c r="IF17" s="3510"/>
      <c r="IG17" s="3510"/>
      <c r="IH17" s="3510"/>
      <c r="II17" s="3510"/>
      <c r="IJ17" s="3510"/>
      <c r="IK17" s="3510"/>
      <c r="IL17" s="3510"/>
      <c r="IM17" s="3510"/>
      <c r="IN17" s="3510"/>
      <c r="IO17" s="3510"/>
      <c r="IP17" s="3510"/>
      <c r="IQ17" s="3510"/>
      <c r="IR17" s="3510"/>
      <c r="IS17" s="3510"/>
    </row>
    <row r="18" spans="1:253" s="3556" customFormat="1" ht="12" hidden="1">
      <c r="A18" s="3489" t="s">
        <v>3715</v>
      </c>
      <c r="B18" s="3490" t="s">
        <v>3716</v>
      </c>
      <c r="C18" s="3491" t="s">
        <v>3717</v>
      </c>
      <c r="D18" s="3491" t="s">
        <v>3718</v>
      </c>
      <c r="E18" s="3490" t="s">
        <v>3553</v>
      </c>
      <c r="F18" s="3490" t="s">
        <v>3656</v>
      </c>
      <c r="G18" s="3490"/>
      <c r="H18" s="3490" t="s">
        <v>3657</v>
      </c>
      <c r="I18" s="3490" t="s">
        <v>3695</v>
      </c>
      <c r="J18" s="3491" t="s">
        <v>3719</v>
      </c>
      <c r="K18" s="3490" t="s">
        <v>3660</v>
      </c>
      <c r="L18" s="3492">
        <v>48.48</v>
      </c>
      <c r="M18" s="3490">
        <v>2</v>
      </c>
      <c r="N18" s="3490" t="s">
        <v>3467</v>
      </c>
      <c r="O18" s="3490">
        <v>37.64</v>
      </c>
      <c r="P18" s="3490" t="s">
        <v>3468</v>
      </c>
      <c r="Q18" s="3494">
        <v>358752</v>
      </c>
      <c r="R18" s="3492">
        <v>7400</v>
      </c>
      <c r="S18" s="3492">
        <v>35.6</v>
      </c>
      <c r="T18" s="3517">
        <v>356000</v>
      </c>
      <c r="U18" s="3494">
        <v>7344</v>
      </c>
      <c r="V18" s="3514">
        <v>0.1</v>
      </c>
      <c r="W18" s="3497">
        <v>32.04</v>
      </c>
      <c r="X18" s="3549">
        <v>320400</v>
      </c>
      <c r="Y18" s="3499">
        <v>2004</v>
      </c>
      <c r="Z18" s="3490">
        <v>3</v>
      </c>
      <c r="AA18" s="3490">
        <v>8</v>
      </c>
      <c r="AB18" s="3489">
        <v>1780</v>
      </c>
      <c r="AC18" s="3490" t="s">
        <v>3720</v>
      </c>
      <c r="AD18" s="3489"/>
      <c r="AE18" s="3499" t="s">
        <v>3446</v>
      </c>
      <c r="AF18" s="3490" t="s">
        <v>3676</v>
      </c>
      <c r="AG18" s="3500" t="s">
        <v>3447</v>
      </c>
      <c r="AH18" s="3489"/>
      <c r="AI18" s="3490" t="s">
        <v>3448</v>
      </c>
      <c r="AJ18" s="3550">
        <v>38107</v>
      </c>
      <c r="AK18" s="3501">
        <v>3</v>
      </c>
      <c r="AL18" s="3499">
        <v>67641700</v>
      </c>
      <c r="AM18" s="3499"/>
      <c r="AN18" s="3502" t="s">
        <v>3449</v>
      </c>
      <c r="AO18" s="3490" t="s">
        <v>3657</v>
      </c>
      <c r="AP18" s="3499" t="s">
        <v>3450</v>
      </c>
      <c r="AQ18" s="3499" t="s">
        <v>3451</v>
      </c>
      <c r="AR18" s="3499"/>
      <c r="AS18" s="3499"/>
      <c r="AT18" s="3499"/>
      <c r="AU18" s="3499"/>
      <c r="AV18" s="3499"/>
      <c r="AW18" s="3499" t="s">
        <v>3452</v>
      </c>
      <c r="AX18" s="3499"/>
      <c r="AY18" s="3503" t="s">
        <v>3721</v>
      </c>
      <c r="AZ18" s="3490" t="s">
        <v>3664</v>
      </c>
      <c r="BA18" s="3499" t="s">
        <v>3678</v>
      </c>
      <c r="BB18" s="3503" t="s">
        <v>3699</v>
      </c>
      <c r="BC18" s="3499" t="s">
        <v>3689</v>
      </c>
      <c r="BD18" s="3504" t="s">
        <v>3657</v>
      </c>
      <c r="BE18" s="3499">
        <v>68706390</v>
      </c>
      <c r="BF18" s="3505">
        <v>2.8</v>
      </c>
      <c r="BG18" s="3555">
        <v>37948</v>
      </c>
      <c r="BH18" s="3499"/>
      <c r="BI18" s="3506" t="s">
        <v>3450</v>
      </c>
      <c r="BJ18" s="3512">
        <v>38047</v>
      </c>
      <c r="BK18" s="3512">
        <v>37985</v>
      </c>
      <c r="BL18" s="3490" t="s">
        <v>3454</v>
      </c>
      <c r="BM18" s="3499"/>
      <c r="BN18" s="3499"/>
      <c r="BO18" s="3499"/>
      <c r="BP18" s="3499"/>
      <c r="BQ18" s="3499">
        <v>9459</v>
      </c>
      <c r="BR18" s="3499">
        <v>9531</v>
      </c>
      <c r="BS18" s="3509"/>
      <c r="BT18" s="3509"/>
      <c r="BU18" s="3509"/>
      <c r="BV18" s="3510"/>
      <c r="BW18" s="3510"/>
      <c r="BX18" s="3510"/>
      <c r="BY18" s="3510"/>
      <c r="BZ18" s="3510"/>
      <c r="CA18" s="3510"/>
      <c r="CB18" s="3510"/>
      <c r="CC18" s="3510"/>
      <c r="CD18" s="3510"/>
      <c r="CE18" s="3510"/>
      <c r="CF18" s="3510"/>
      <c r="CG18" s="3510"/>
      <c r="CH18" s="3510"/>
      <c r="CI18" s="3510"/>
      <c r="CJ18" s="3510"/>
      <c r="CK18" s="3510"/>
      <c r="CL18" s="3510"/>
      <c r="CM18" s="3510"/>
      <c r="CN18" s="3510"/>
      <c r="CO18" s="3510"/>
      <c r="CP18" s="3510"/>
      <c r="CQ18" s="3510"/>
      <c r="CR18" s="3510"/>
      <c r="CS18" s="3510"/>
      <c r="CT18" s="3510"/>
      <c r="CU18" s="3510"/>
      <c r="CV18" s="3510"/>
      <c r="CW18" s="3510"/>
      <c r="CX18" s="3510"/>
      <c r="CY18" s="3510"/>
      <c r="CZ18" s="3510"/>
      <c r="DA18" s="3510"/>
      <c r="DB18" s="3510"/>
      <c r="DC18" s="3510"/>
      <c r="DD18" s="3510"/>
      <c r="DE18" s="3510"/>
      <c r="DF18" s="3510"/>
      <c r="DG18" s="3510"/>
      <c r="DH18" s="3510"/>
      <c r="DI18" s="3510"/>
      <c r="DJ18" s="3510"/>
      <c r="DK18" s="3510"/>
      <c r="DL18" s="3510"/>
      <c r="DM18" s="3510"/>
      <c r="DN18" s="3510"/>
      <c r="DO18" s="3510"/>
      <c r="DP18" s="3510"/>
      <c r="DQ18" s="3510"/>
      <c r="DR18" s="3510"/>
      <c r="DS18" s="3510"/>
      <c r="DT18" s="3510"/>
      <c r="DU18" s="3510"/>
      <c r="DV18" s="3510"/>
      <c r="DW18" s="3510"/>
      <c r="DX18" s="3510"/>
      <c r="DY18" s="3510"/>
      <c r="DZ18" s="3510"/>
      <c r="EA18" s="3510"/>
      <c r="EB18" s="3510"/>
      <c r="EC18" s="3510"/>
      <c r="ED18" s="3510"/>
      <c r="EE18" s="3510"/>
      <c r="EF18" s="3510"/>
      <c r="EG18" s="3510"/>
      <c r="EH18" s="3510"/>
      <c r="EI18" s="3510"/>
      <c r="EJ18" s="3510"/>
      <c r="EK18" s="3510"/>
      <c r="EL18" s="3510"/>
      <c r="EM18" s="3510"/>
      <c r="EN18" s="3510"/>
      <c r="EO18" s="3510"/>
      <c r="EP18" s="3510"/>
      <c r="EQ18" s="3510"/>
      <c r="ER18" s="3510"/>
      <c r="ES18" s="3510"/>
      <c r="ET18" s="3510"/>
      <c r="EU18" s="3510"/>
      <c r="EV18" s="3510"/>
      <c r="EW18" s="3510"/>
      <c r="EX18" s="3510"/>
      <c r="EY18" s="3510"/>
      <c r="EZ18" s="3510"/>
      <c r="FA18" s="3510"/>
      <c r="FB18" s="3510"/>
      <c r="FC18" s="3510"/>
      <c r="FD18" s="3510"/>
      <c r="FE18" s="3510"/>
      <c r="FF18" s="3510"/>
      <c r="FG18" s="3510"/>
      <c r="FH18" s="3510"/>
      <c r="FI18" s="3510"/>
      <c r="FJ18" s="3510"/>
      <c r="FK18" s="3510"/>
      <c r="FL18" s="3510"/>
      <c r="FM18" s="3510"/>
      <c r="FN18" s="3510"/>
      <c r="FO18" s="3510"/>
      <c r="FP18" s="3510"/>
      <c r="FQ18" s="3510"/>
      <c r="FR18" s="3510"/>
      <c r="FS18" s="3510"/>
      <c r="FT18" s="3510"/>
      <c r="FU18" s="3510"/>
      <c r="FV18" s="3510"/>
      <c r="FW18" s="3510"/>
      <c r="FX18" s="3510"/>
      <c r="FY18" s="3510"/>
      <c r="FZ18" s="3510"/>
      <c r="GA18" s="3510"/>
      <c r="GB18" s="3510"/>
      <c r="GC18" s="3510"/>
      <c r="GD18" s="3510"/>
      <c r="GE18" s="3510"/>
      <c r="GF18" s="3510"/>
      <c r="GG18" s="3510"/>
      <c r="GH18" s="3510"/>
      <c r="GI18" s="3510"/>
      <c r="GJ18" s="3510"/>
      <c r="GK18" s="3510"/>
      <c r="GL18" s="3510"/>
      <c r="GM18" s="3510"/>
      <c r="GN18" s="3510"/>
      <c r="GO18" s="3510"/>
      <c r="GP18" s="3510"/>
      <c r="GQ18" s="3510"/>
      <c r="GR18" s="3510"/>
      <c r="GS18" s="3510"/>
      <c r="GT18" s="3510"/>
      <c r="GU18" s="3510"/>
      <c r="GV18" s="3510"/>
      <c r="GW18" s="3510"/>
      <c r="GX18" s="3510"/>
      <c r="GY18" s="3510"/>
      <c r="GZ18" s="3510"/>
      <c r="HA18" s="3510"/>
      <c r="HB18" s="3510"/>
      <c r="HC18" s="3510"/>
      <c r="HD18" s="3510"/>
      <c r="HE18" s="3510"/>
      <c r="HF18" s="3510"/>
      <c r="HG18" s="3510"/>
      <c r="HH18" s="3510"/>
      <c r="HI18" s="3510"/>
      <c r="HJ18" s="3510"/>
      <c r="HK18" s="3510"/>
      <c r="HL18" s="3510"/>
      <c r="HM18" s="3510"/>
      <c r="HN18" s="3510"/>
      <c r="HO18" s="3510"/>
      <c r="HP18" s="3510"/>
      <c r="HQ18" s="3510"/>
      <c r="HR18" s="3510"/>
      <c r="HS18" s="3510"/>
      <c r="HT18" s="3510"/>
      <c r="HU18" s="3510"/>
      <c r="HV18" s="3510"/>
      <c r="HW18" s="3510"/>
      <c r="HX18" s="3510"/>
      <c r="HY18" s="3510"/>
      <c r="HZ18" s="3510"/>
      <c r="IA18" s="3510"/>
      <c r="IB18" s="3510"/>
      <c r="IC18" s="3510"/>
      <c r="ID18" s="3510"/>
      <c r="IE18" s="3510"/>
      <c r="IF18" s="3510"/>
      <c r="IG18" s="3510"/>
      <c r="IH18" s="3510"/>
      <c r="II18" s="3510"/>
      <c r="IJ18" s="3510"/>
      <c r="IK18" s="3510"/>
      <c r="IL18" s="3510"/>
      <c r="IM18" s="3510"/>
      <c r="IN18" s="3510"/>
      <c r="IO18" s="3510"/>
      <c r="IP18" s="3510"/>
      <c r="IQ18" s="3510"/>
      <c r="IR18" s="3510"/>
      <c r="IS18" s="3510"/>
    </row>
    <row r="19" spans="1:253" s="3509" customFormat="1" ht="12" hidden="1">
      <c r="A19" s="3490" t="s">
        <v>3722</v>
      </c>
      <c r="B19" s="3490" t="s">
        <v>3723</v>
      </c>
      <c r="C19" s="3491" t="s">
        <v>3724</v>
      </c>
      <c r="D19" s="3493">
        <v>13641348190</v>
      </c>
      <c r="E19" s="3490" t="s">
        <v>3558</v>
      </c>
      <c r="F19" s="3490" t="s">
        <v>3725</v>
      </c>
      <c r="G19" s="3490"/>
      <c r="H19" s="3513" t="s">
        <v>3453</v>
      </c>
      <c r="I19" s="3493" t="s">
        <v>3674</v>
      </c>
      <c r="J19" s="3513" t="s">
        <v>3726</v>
      </c>
      <c r="K19" s="3490" t="s">
        <v>3727</v>
      </c>
      <c r="L19" s="3492">
        <v>48.03</v>
      </c>
      <c r="M19" s="3513">
        <v>6</v>
      </c>
      <c r="N19" s="3490" t="s">
        <v>3728</v>
      </c>
      <c r="O19" s="3490">
        <v>37.29</v>
      </c>
      <c r="P19" s="3490" t="s">
        <v>3458</v>
      </c>
      <c r="Q19" s="3494">
        <v>348218</v>
      </c>
      <c r="R19" s="3492">
        <v>7250</v>
      </c>
      <c r="S19" s="3492">
        <v>34.5</v>
      </c>
      <c r="T19" s="3517">
        <v>345000</v>
      </c>
      <c r="U19" s="3494">
        <v>7185</v>
      </c>
      <c r="V19" s="3514">
        <v>0.1</v>
      </c>
      <c r="W19" s="3497">
        <v>31.05</v>
      </c>
      <c r="X19" s="3498">
        <v>310500</v>
      </c>
      <c r="Y19" s="3490">
        <v>2004</v>
      </c>
      <c r="Z19" s="3490">
        <v>3</v>
      </c>
      <c r="AA19" s="3490">
        <v>9</v>
      </c>
      <c r="AB19" s="3489">
        <v>1725</v>
      </c>
      <c r="AC19" s="3490" t="s">
        <v>3729</v>
      </c>
      <c r="AD19" s="3490"/>
      <c r="AE19" s="3490" t="s">
        <v>3446</v>
      </c>
      <c r="AF19" s="3490" t="s">
        <v>3730</v>
      </c>
      <c r="AG19" s="3490" t="s">
        <v>3447</v>
      </c>
      <c r="AH19" s="3490"/>
      <c r="AI19" s="3490" t="s">
        <v>3448</v>
      </c>
      <c r="AJ19" s="3550">
        <v>38107</v>
      </c>
      <c r="AK19" s="3501">
        <v>3</v>
      </c>
      <c r="AL19" s="3490">
        <v>67641700</v>
      </c>
      <c r="AM19" s="3490"/>
      <c r="AN19" s="3490" t="s">
        <v>3449</v>
      </c>
      <c r="AO19" s="3490" t="s">
        <v>3453</v>
      </c>
      <c r="AP19" s="3490" t="s">
        <v>3450</v>
      </c>
      <c r="AQ19" s="3490" t="s">
        <v>3451</v>
      </c>
      <c r="AR19" s="3490"/>
      <c r="AS19" s="3490"/>
      <c r="AT19" s="3490"/>
      <c r="AU19" s="3490"/>
      <c r="AV19" s="3490"/>
      <c r="AW19" s="3490" t="s">
        <v>3452</v>
      </c>
      <c r="AX19" s="3490"/>
      <c r="AY19" s="3502">
        <v>583881</v>
      </c>
      <c r="AZ19" s="3490" t="s">
        <v>3727</v>
      </c>
      <c r="BA19" s="3490" t="s">
        <v>3731</v>
      </c>
      <c r="BB19" s="3490" t="s">
        <v>3732</v>
      </c>
      <c r="BC19" s="3490" t="s">
        <v>3733</v>
      </c>
      <c r="BD19" s="3490" t="s">
        <v>3453</v>
      </c>
      <c r="BE19" s="3490">
        <v>68706390</v>
      </c>
      <c r="BF19" s="3490">
        <v>2.8</v>
      </c>
      <c r="BG19" s="3515">
        <v>37963</v>
      </c>
      <c r="BH19" s="3490"/>
      <c r="BI19" s="3502" t="s">
        <v>3690</v>
      </c>
      <c r="BJ19" s="3507">
        <v>38054</v>
      </c>
      <c r="BK19" s="3507">
        <v>37977</v>
      </c>
      <c r="BL19" s="3490" t="s">
        <v>3454</v>
      </c>
      <c r="BM19" s="3490"/>
      <c r="BN19" s="3490"/>
      <c r="BO19" s="3490"/>
      <c r="BP19" s="3490"/>
      <c r="BQ19" s="3552">
        <v>9254</v>
      </c>
      <c r="BR19" s="3499">
        <v>9338</v>
      </c>
    </row>
    <row r="20" spans="1:253" s="3509" customFormat="1" ht="12" hidden="1">
      <c r="A20" s="3490" t="s">
        <v>3734</v>
      </c>
      <c r="B20" s="3490" t="s">
        <v>3735</v>
      </c>
      <c r="C20" s="3491" t="s">
        <v>3736</v>
      </c>
      <c r="D20" s="3493" t="s">
        <v>3737</v>
      </c>
      <c r="E20" s="3490" t="s">
        <v>3558</v>
      </c>
      <c r="F20" s="3490" t="s">
        <v>3725</v>
      </c>
      <c r="G20" s="3490"/>
      <c r="H20" s="3513" t="s">
        <v>3453</v>
      </c>
      <c r="I20" s="3493" t="s">
        <v>3674</v>
      </c>
      <c r="J20" s="3513" t="s">
        <v>3738</v>
      </c>
      <c r="K20" s="3490" t="s">
        <v>3727</v>
      </c>
      <c r="L20" s="3492">
        <v>48.03</v>
      </c>
      <c r="M20" s="3513">
        <v>6</v>
      </c>
      <c r="N20" s="3490" t="s">
        <v>3728</v>
      </c>
      <c r="O20" s="3490">
        <v>37.29</v>
      </c>
      <c r="P20" s="3490" t="s">
        <v>3458</v>
      </c>
      <c r="Q20" s="3494">
        <v>348218</v>
      </c>
      <c r="R20" s="3492">
        <v>7250</v>
      </c>
      <c r="S20" s="3492">
        <v>34.5</v>
      </c>
      <c r="T20" s="3517">
        <v>345000</v>
      </c>
      <c r="U20" s="3494">
        <v>7185</v>
      </c>
      <c r="V20" s="3514">
        <v>0.1</v>
      </c>
      <c r="W20" s="3497">
        <v>31.05</v>
      </c>
      <c r="X20" s="3498">
        <v>310500</v>
      </c>
      <c r="Y20" s="3490">
        <v>2004</v>
      </c>
      <c r="Z20" s="3490">
        <v>3</v>
      </c>
      <c r="AA20" s="3490">
        <v>9</v>
      </c>
      <c r="AB20" s="3489">
        <v>1725</v>
      </c>
      <c r="AC20" s="3490" t="s">
        <v>3739</v>
      </c>
      <c r="AD20" s="3490"/>
      <c r="AE20" s="3490" t="s">
        <v>3446</v>
      </c>
      <c r="AF20" s="3490" t="s">
        <v>3740</v>
      </c>
      <c r="AG20" s="3490" t="s">
        <v>3447</v>
      </c>
      <c r="AH20" s="3490"/>
      <c r="AI20" s="3490" t="s">
        <v>3448</v>
      </c>
      <c r="AJ20" s="3550">
        <v>38107</v>
      </c>
      <c r="AK20" s="3501">
        <v>3</v>
      </c>
      <c r="AL20" s="3490">
        <v>67641700</v>
      </c>
      <c r="AM20" s="3490"/>
      <c r="AN20" s="3490" t="s">
        <v>3449</v>
      </c>
      <c r="AO20" s="3490" t="s">
        <v>3453</v>
      </c>
      <c r="AP20" s="3490" t="s">
        <v>3450</v>
      </c>
      <c r="AQ20" s="3490" t="s">
        <v>3451</v>
      </c>
      <c r="AR20" s="3490"/>
      <c r="AS20" s="3490"/>
      <c r="AT20" s="3490"/>
      <c r="AU20" s="3490"/>
      <c r="AV20" s="3490"/>
      <c r="AW20" s="3490" t="s">
        <v>3452</v>
      </c>
      <c r="AX20" s="3490"/>
      <c r="AY20" s="3502">
        <v>583827</v>
      </c>
      <c r="AZ20" s="3490" t="s">
        <v>3727</v>
      </c>
      <c r="BA20" s="3490" t="s">
        <v>3731</v>
      </c>
      <c r="BB20" s="3490" t="s">
        <v>3732</v>
      </c>
      <c r="BC20" s="3490" t="s">
        <v>3733</v>
      </c>
      <c r="BD20" s="3490" t="s">
        <v>3453</v>
      </c>
      <c r="BE20" s="3490">
        <v>68706390</v>
      </c>
      <c r="BF20" s="3490">
        <v>2.8</v>
      </c>
      <c r="BG20" s="3515">
        <v>37948</v>
      </c>
      <c r="BH20" s="3490"/>
      <c r="BI20" s="3502" t="s">
        <v>3690</v>
      </c>
      <c r="BJ20" s="3507">
        <v>38047</v>
      </c>
      <c r="BK20" s="3507">
        <v>37985</v>
      </c>
      <c r="BL20" s="3490" t="s">
        <v>3454</v>
      </c>
      <c r="BM20" s="3490"/>
      <c r="BN20" s="3490"/>
      <c r="BO20" s="3490"/>
      <c r="BP20" s="3490"/>
      <c r="BQ20" s="3552">
        <v>9254</v>
      </c>
      <c r="BR20" s="3552">
        <v>9338</v>
      </c>
    </row>
    <row r="21" spans="1:253" s="3556" customFormat="1" ht="12" hidden="1">
      <c r="A21" s="3489" t="s">
        <v>3741</v>
      </c>
      <c r="B21" s="3490" t="s">
        <v>3742</v>
      </c>
      <c r="C21" s="3491" t="s">
        <v>3743</v>
      </c>
      <c r="D21" s="3491" t="s">
        <v>3744</v>
      </c>
      <c r="E21" s="3490" t="s">
        <v>3553</v>
      </c>
      <c r="F21" s="3490" t="s">
        <v>3684</v>
      </c>
      <c r="G21" s="3490"/>
      <c r="H21" s="3490" t="s">
        <v>3657</v>
      </c>
      <c r="I21" s="3490" t="s">
        <v>3745</v>
      </c>
      <c r="J21" s="3491" t="s">
        <v>3746</v>
      </c>
      <c r="K21" s="3490" t="s">
        <v>3664</v>
      </c>
      <c r="L21" s="3492">
        <v>48.47</v>
      </c>
      <c r="M21" s="3490">
        <v>9</v>
      </c>
      <c r="N21" s="3490" t="s">
        <v>3467</v>
      </c>
      <c r="O21" s="3490">
        <v>37.630000000000003</v>
      </c>
      <c r="P21" s="3490" t="s">
        <v>3468</v>
      </c>
      <c r="Q21" s="3494">
        <v>363525</v>
      </c>
      <c r="R21" s="3492">
        <v>7500</v>
      </c>
      <c r="S21" s="3492">
        <v>36.06</v>
      </c>
      <c r="T21" s="3517">
        <v>360600</v>
      </c>
      <c r="U21" s="3494">
        <v>7440</v>
      </c>
      <c r="V21" s="3514">
        <v>0.1</v>
      </c>
      <c r="W21" s="3497">
        <v>32.450000000000003</v>
      </c>
      <c r="X21" s="3549">
        <v>324500</v>
      </c>
      <c r="Y21" s="3499">
        <v>2004</v>
      </c>
      <c r="Z21" s="3490">
        <v>4</v>
      </c>
      <c r="AA21" s="3490">
        <v>1</v>
      </c>
      <c r="AB21" s="3489">
        <v>1800</v>
      </c>
      <c r="AC21" s="3490" t="s">
        <v>3555</v>
      </c>
      <c r="AD21" s="3489"/>
      <c r="AE21" s="3499" t="s">
        <v>3446</v>
      </c>
      <c r="AF21" s="3490" t="s">
        <v>3580</v>
      </c>
      <c r="AG21" s="3500" t="s">
        <v>3447</v>
      </c>
      <c r="AH21" s="3489"/>
      <c r="AI21" s="3490" t="s">
        <v>3448</v>
      </c>
      <c r="AJ21" s="3550">
        <v>38107</v>
      </c>
      <c r="AK21" s="3501">
        <v>4</v>
      </c>
      <c r="AL21" s="3499">
        <v>67641700</v>
      </c>
      <c r="AM21" s="3499"/>
      <c r="AN21" s="3502" t="s">
        <v>3747</v>
      </c>
      <c r="AO21" s="3490" t="s">
        <v>3748</v>
      </c>
      <c r="AP21" s="3499" t="s">
        <v>3450</v>
      </c>
      <c r="AQ21" s="3499" t="s">
        <v>3451</v>
      </c>
      <c r="AR21" s="3499"/>
      <c r="AS21" s="3499"/>
      <c r="AT21" s="3499"/>
      <c r="AU21" s="3499"/>
      <c r="AV21" s="3499"/>
      <c r="AW21" s="3499" t="s">
        <v>3452</v>
      </c>
      <c r="AX21" s="3499"/>
      <c r="AY21" s="3503" t="s">
        <v>3749</v>
      </c>
      <c r="AZ21" s="3490" t="s">
        <v>3664</v>
      </c>
      <c r="BA21" s="3499" t="s">
        <v>3678</v>
      </c>
      <c r="BB21" s="3503" t="s">
        <v>3699</v>
      </c>
      <c r="BC21" s="3499" t="s">
        <v>3689</v>
      </c>
      <c r="BD21" s="3504" t="s">
        <v>3668</v>
      </c>
      <c r="BE21" s="3499">
        <v>68706390</v>
      </c>
      <c r="BF21" s="3558">
        <v>2.8</v>
      </c>
      <c r="BG21" s="3555">
        <v>38034</v>
      </c>
      <c r="BH21" s="3499"/>
      <c r="BI21" s="3506" t="s">
        <v>3450</v>
      </c>
      <c r="BJ21" s="3512">
        <v>38063</v>
      </c>
      <c r="BK21" s="3512">
        <v>38072</v>
      </c>
      <c r="BL21" s="3490" t="s">
        <v>3454</v>
      </c>
      <c r="BM21" s="3499"/>
      <c r="BN21" s="3499"/>
      <c r="BO21" s="3499"/>
      <c r="BP21" s="3499"/>
      <c r="BQ21" s="3499">
        <v>9583</v>
      </c>
      <c r="BR21" s="3499">
        <v>9661</v>
      </c>
      <c r="BS21" s="3509"/>
      <c r="BT21" s="3509"/>
      <c r="BU21" s="3509"/>
      <c r="BV21" s="3510"/>
      <c r="BW21" s="3510"/>
      <c r="BX21" s="3510"/>
      <c r="BY21" s="3510"/>
      <c r="BZ21" s="3510"/>
      <c r="CA21" s="3510"/>
      <c r="CB21" s="3510"/>
      <c r="CC21" s="3510"/>
      <c r="CD21" s="3510"/>
      <c r="CE21" s="3510"/>
      <c r="CF21" s="3510"/>
      <c r="CG21" s="3510"/>
      <c r="CH21" s="3510"/>
      <c r="CI21" s="3510"/>
      <c r="CJ21" s="3510"/>
      <c r="CK21" s="3510"/>
      <c r="CL21" s="3510"/>
      <c r="CM21" s="3510"/>
      <c r="CN21" s="3510"/>
      <c r="CO21" s="3510"/>
      <c r="CP21" s="3510"/>
      <c r="CQ21" s="3510"/>
      <c r="CR21" s="3510"/>
      <c r="CS21" s="3510"/>
      <c r="CT21" s="3510"/>
      <c r="CU21" s="3510"/>
      <c r="CV21" s="3510"/>
      <c r="CW21" s="3510"/>
      <c r="CX21" s="3510"/>
      <c r="CY21" s="3510"/>
      <c r="CZ21" s="3510"/>
      <c r="DA21" s="3510"/>
      <c r="DB21" s="3510"/>
      <c r="DC21" s="3510"/>
      <c r="DD21" s="3510"/>
      <c r="DE21" s="3510"/>
      <c r="DF21" s="3510"/>
      <c r="DG21" s="3510"/>
      <c r="DH21" s="3510"/>
      <c r="DI21" s="3510"/>
      <c r="DJ21" s="3510"/>
      <c r="DK21" s="3510"/>
      <c r="DL21" s="3510"/>
      <c r="DM21" s="3510"/>
      <c r="DN21" s="3510"/>
      <c r="DO21" s="3510"/>
      <c r="DP21" s="3510"/>
      <c r="DQ21" s="3510"/>
      <c r="DR21" s="3510"/>
      <c r="DS21" s="3510"/>
      <c r="DT21" s="3510"/>
      <c r="DU21" s="3510"/>
      <c r="DV21" s="3510"/>
      <c r="DW21" s="3510"/>
      <c r="DX21" s="3510"/>
      <c r="DY21" s="3510"/>
      <c r="DZ21" s="3510"/>
      <c r="EA21" s="3510"/>
      <c r="EB21" s="3510"/>
      <c r="EC21" s="3510"/>
      <c r="ED21" s="3510"/>
      <c r="EE21" s="3510"/>
      <c r="EF21" s="3510"/>
      <c r="EG21" s="3510"/>
      <c r="EH21" s="3510"/>
      <c r="EI21" s="3510"/>
      <c r="EJ21" s="3510"/>
      <c r="EK21" s="3510"/>
      <c r="EL21" s="3510"/>
      <c r="EM21" s="3510"/>
      <c r="EN21" s="3510"/>
      <c r="EO21" s="3510"/>
      <c r="EP21" s="3510"/>
      <c r="EQ21" s="3510"/>
      <c r="ER21" s="3510"/>
      <c r="ES21" s="3510"/>
      <c r="ET21" s="3510"/>
      <c r="EU21" s="3510"/>
      <c r="EV21" s="3510"/>
      <c r="EW21" s="3510"/>
      <c r="EX21" s="3510"/>
      <c r="EY21" s="3510"/>
      <c r="EZ21" s="3510"/>
      <c r="FA21" s="3510"/>
      <c r="FB21" s="3510"/>
      <c r="FC21" s="3510"/>
      <c r="FD21" s="3510"/>
      <c r="FE21" s="3510"/>
      <c r="FF21" s="3510"/>
      <c r="FG21" s="3510"/>
      <c r="FH21" s="3510"/>
      <c r="FI21" s="3510"/>
      <c r="FJ21" s="3510"/>
      <c r="FK21" s="3510"/>
      <c r="FL21" s="3510"/>
      <c r="FM21" s="3510"/>
      <c r="FN21" s="3510"/>
      <c r="FO21" s="3510"/>
      <c r="FP21" s="3510"/>
      <c r="FQ21" s="3510"/>
      <c r="FR21" s="3510"/>
      <c r="FS21" s="3510"/>
      <c r="FT21" s="3510"/>
      <c r="FU21" s="3510"/>
      <c r="FV21" s="3510"/>
      <c r="FW21" s="3510"/>
      <c r="FX21" s="3510"/>
      <c r="FY21" s="3510"/>
      <c r="FZ21" s="3510"/>
      <c r="GA21" s="3510"/>
      <c r="GB21" s="3510"/>
      <c r="GC21" s="3510"/>
      <c r="GD21" s="3510"/>
      <c r="GE21" s="3510"/>
      <c r="GF21" s="3510"/>
      <c r="GG21" s="3510"/>
      <c r="GH21" s="3510"/>
      <c r="GI21" s="3510"/>
      <c r="GJ21" s="3510"/>
      <c r="GK21" s="3510"/>
      <c r="GL21" s="3510"/>
      <c r="GM21" s="3510"/>
      <c r="GN21" s="3510"/>
      <c r="GO21" s="3510"/>
      <c r="GP21" s="3510"/>
      <c r="GQ21" s="3510"/>
      <c r="GR21" s="3510"/>
      <c r="GS21" s="3510"/>
      <c r="GT21" s="3510"/>
      <c r="GU21" s="3510"/>
      <c r="GV21" s="3510"/>
      <c r="GW21" s="3510"/>
      <c r="GX21" s="3510"/>
      <c r="GY21" s="3510"/>
      <c r="GZ21" s="3510"/>
      <c r="HA21" s="3510"/>
      <c r="HB21" s="3510"/>
      <c r="HC21" s="3510"/>
      <c r="HD21" s="3510"/>
      <c r="HE21" s="3510"/>
      <c r="HF21" s="3510"/>
      <c r="HG21" s="3510"/>
      <c r="HH21" s="3510"/>
      <c r="HI21" s="3510"/>
      <c r="HJ21" s="3510"/>
      <c r="HK21" s="3510"/>
      <c r="HL21" s="3510"/>
      <c r="HM21" s="3510"/>
      <c r="HN21" s="3510"/>
      <c r="HO21" s="3510"/>
      <c r="HP21" s="3510"/>
      <c r="HQ21" s="3510"/>
      <c r="HR21" s="3510"/>
      <c r="HS21" s="3510"/>
      <c r="HT21" s="3510"/>
      <c r="HU21" s="3510"/>
      <c r="HV21" s="3510"/>
      <c r="HW21" s="3510"/>
      <c r="HX21" s="3510"/>
      <c r="HY21" s="3510"/>
      <c r="HZ21" s="3510"/>
      <c r="IA21" s="3510"/>
      <c r="IB21" s="3510"/>
      <c r="IC21" s="3510"/>
      <c r="ID21" s="3510"/>
      <c r="IE21" s="3510"/>
      <c r="IF21" s="3510"/>
      <c r="IG21" s="3510"/>
      <c r="IH21" s="3510"/>
      <c r="II21" s="3510"/>
      <c r="IJ21" s="3510"/>
      <c r="IK21" s="3510"/>
      <c r="IL21" s="3510"/>
      <c r="IM21" s="3510"/>
      <c r="IN21" s="3510"/>
      <c r="IO21" s="3510"/>
      <c r="IP21" s="3510"/>
      <c r="IQ21" s="3510"/>
      <c r="IR21" s="3510"/>
      <c r="IS21" s="3510"/>
    </row>
    <row r="22" spans="1:253" s="3556" customFormat="1" ht="12" hidden="1">
      <c r="A22" s="3489" t="s">
        <v>3750</v>
      </c>
      <c r="B22" s="3490" t="s">
        <v>3751</v>
      </c>
      <c r="C22" s="3491" t="s">
        <v>3752</v>
      </c>
      <c r="D22" s="3491" t="s">
        <v>3753</v>
      </c>
      <c r="E22" s="3490" t="s">
        <v>3553</v>
      </c>
      <c r="F22" s="3490" t="s">
        <v>3684</v>
      </c>
      <c r="G22" s="3490"/>
      <c r="H22" s="3490" t="s">
        <v>3657</v>
      </c>
      <c r="I22" s="3490" t="s">
        <v>3470</v>
      </c>
      <c r="J22" s="3491" t="s">
        <v>3754</v>
      </c>
      <c r="K22" s="3490" t="s">
        <v>3664</v>
      </c>
      <c r="L22" s="3492">
        <v>48.03</v>
      </c>
      <c r="M22" s="3490">
        <v>3</v>
      </c>
      <c r="N22" s="3490" t="s">
        <v>3467</v>
      </c>
      <c r="O22" s="3490">
        <v>37.29</v>
      </c>
      <c r="P22" s="3490" t="s">
        <v>3468</v>
      </c>
      <c r="Q22" s="3494">
        <v>350619</v>
      </c>
      <c r="R22" s="3492">
        <v>7300</v>
      </c>
      <c r="S22" s="3492">
        <v>34.76</v>
      </c>
      <c r="T22" s="3517">
        <v>347600</v>
      </c>
      <c r="U22" s="3494">
        <v>7238</v>
      </c>
      <c r="V22" s="3514">
        <v>0.1</v>
      </c>
      <c r="W22" s="3497">
        <v>31.28</v>
      </c>
      <c r="X22" s="3549">
        <v>312800</v>
      </c>
      <c r="Y22" s="3499">
        <v>2004</v>
      </c>
      <c r="Z22" s="3490">
        <v>4</v>
      </c>
      <c r="AA22" s="3490">
        <v>2</v>
      </c>
      <c r="AB22" s="3489">
        <v>1735</v>
      </c>
      <c r="AC22" s="3490" t="s">
        <v>3555</v>
      </c>
      <c r="AD22" s="3489"/>
      <c r="AE22" s="3499" t="s">
        <v>3446</v>
      </c>
      <c r="AF22" s="3490" t="s">
        <v>3580</v>
      </c>
      <c r="AG22" s="3500" t="s">
        <v>3447</v>
      </c>
      <c r="AH22" s="3489"/>
      <c r="AI22" s="3490" t="s">
        <v>3448</v>
      </c>
      <c r="AJ22" s="3550">
        <v>38107</v>
      </c>
      <c r="AK22" s="3501">
        <v>4</v>
      </c>
      <c r="AL22" s="3499">
        <v>67641700</v>
      </c>
      <c r="AM22" s="3499"/>
      <c r="AN22" s="3502" t="s">
        <v>3747</v>
      </c>
      <c r="AO22" s="3490" t="s">
        <v>3657</v>
      </c>
      <c r="AP22" s="3499" t="s">
        <v>3450</v>
      </c>
      <c r="AQ22" s="3499" t="s">
        <v>3451</v>
      </c>
      <c r="AR22" s="3499"/>
      <c r="AS22" s="3499"/>
      <c r="AT22" s="3499"/>
      <c r="AU22" s="3499"/>
      <c r="AV22" s="3499"/>
      <c r="AW22" s="3499" t="s">
        <v>3452</v>
      </c>
      <c r="AX22" s="3499"/>
      <c r="AY22" s="3503" t="s">
        <v>3755</v>
      </c>
      <c r="AZ22" s="3490" t="s">
        <v>3664</v>
      </c>
      <c r="BA22" s="3499" t="s">
        <v>3678</v>
      </c>
      <c r="BB22" s="3503" t="s">
        <v>3699</v>
      </c>
      <c r="BC22" s="3499" t="s">
        <v>3689</v>
      </c>
      <c r="BD22" s="3504" t="s">
        <v>3657</v>
      </c>
      <c r="BE22" s="3499">
        <v>68706390</v>
      </c>
      <c r="BF22" s="3558">
        <v>2.8</v>
      </c>
      <c r="BG22" s="3555">
        <v>37993</v>
      </c>
      <c r="BH22" s="3499"/>
      <c r="BI22" s="3506" t="s">
        <v>3450</v>
      </c>
      <c r="BJ22" s="3512">
        <v>38077</v>
      </c>
      <c r="BK22" s="3512">
        <v>38072</v>
      </c>
      <c r="BL22" s="3490" t="s">
        <v>3454</v>
      </c>
      <c r="BM22" s="3499"/>
      <c r="BN22" s="3499"/>
      <c r="BO22" s="3499"/>
      <c r="BP22" s="3499"/>
      <c r="BQ22" s="3499">
        <v>9323</v>
      </c>
      <c r="BR22" s="3499">
        <v>9402</v>
      </c>
      <c r="BS22" s="3509"/>
      <c r="BT22" s="3509"/>
      <c r="BU22" s="3509"/>
      <c r="BV22" s="3510"/>
      <c r="BW22" s="3510"/>
      <c r="BX22" s="3510"/>
      <c r="BY22" s="3510"/>
      <c r="BZ22" s="3510"/>
      <c r="CA22" s="3510"/>
      <c r="CB22" s="3510"/>
      <c r="CC22" s="3510"/>
      <c r="CD22" s="3510"/>
      <c r="CE22" s="3510"/>
      <c r="CF22" s="3510"/>
      <c r="CG22" s="3510"/>
      <c r="CH22" s="3510"/>
      <c r="CI22" s="3510"/>
      <c r="CJ22" s="3510"/>
      <c r="CK22" s="3510"/>
      <c r="CL22" s="3510"/>
      <c r="CM22" s="3510"/>
      <c r="CN22" s="3510"/>
      <c r="CO22" s="3510"/>
      <c r="CP22" s="3510"/>
      <c r="CQ22" s="3510"/>
      <c r="CR22" s="3510"/>
      <c r="CS22" s="3510"/>
      <c r="CT22" s="3510"/>
      <c r="CU22" s="3510"/>
      <c r="CV22" s="3510"/>
      <c r="CW22" s="3510"/>
      <c r="CX22" s="3510"/>
      <c r="CY22" s="3510"/>
      <c r="CZ22" s="3510"/>
      <c r="DA22" s="3510"/>
      <c r="DB22" s="3510"/>
      <c r="DC22" s="3510"/>
      <c r="DD22" s="3510"/>
      <c r="DE22" s="3510"/>
      <c r="DF22" s="3510"/>
      <c r="DG22" s="3510"/>
      <c r="DH22" s="3510"/>
      <c r="DI22" s="3510"/>
      <c r="DJ22" s="3510"/>
      <c r="DK22" s="3510"/>
      <c r="DL22" s="3510"/>
      <c r="DM22" s="3510"/>
      <c r="DN22" s="3510"/>
      <c r="DO22" s="3510"/>
      <c r="DP22" s="3510"/>
      <c r="DQ22" s="3510"/>
      <c r="DR22" s="3510"/>
      <c r="DS22" s="3510"/>
      <c r="DT22" s="3510"/>
      <c r="DU22" s="3510"/>
      <c r="DV22" s="3510"/>
      <c r="DW22" s="3510"/>
      <c r="DX22" s="3510"/>
      <c r="DY22" s="3510"/>
      <c r="DZ22" s="3510"/>
      <c r="EA22" s="3510"/>
      <c r="EB22" s="3510"/>
      <c r="EC22" s="3510"/>
      <c r="ED22" s="3510"/>
      <c r="EE22" s="3510"/>
      <c r="EF22" s="3510"/>
      <c r="EG22" s="3510"/>
      <c r="EH22" s="3510"/>
      <c r="EI22" s="3510"/>
      <c r="EJ22" s="3510"/>
      <c r="EK22" s="3510"/>
      <c r="EL22" s="3510"/>
      <c r="EM22" s="3510"/>
      <c r="EN22" s="3510"/>
      <c r="EO22" s="3510"/>
      <c r="EP22" s="3510"/>
      <c r="EQ22" s="3510"/>
      <c r="ER22" s="3510"/>
      <c r="ES22" s="3510"/>
      <c r="ET22" s="3510"/>
      <c r="EU22" s="3510"/>
      <c r="EV22" s="3510"/>
      <c r="EW22" s="3510"/>
      <c r="EX22" s="3510"/>
      <c r="EY22" s="3510"/>
      <c r="EZ22" s="3510"/>
      <c r="FA22" s="3510"/>
      <c r="FB22" s="3510"/>
      <c r="FC22" s="3510"/>
      <c r="FD22" s="3510"/>
      <c r="FE22" s="3510"/>
      <c r="FF22" s="3510"/>
      <c r="FG22" s="3510"/>
      <c r="FH22" s="3510"/>
      <c r="FI22" s="3510"/>
      <c r="FJ22" s="3510"/>
      <c r="FK22" s="3510"/>
      <c r="FL22" s="3510"/>
      <c r="FM22" s="3510"/>
      <c r="FN22" s="3510"/>
      <c r="FO22" s="3510"/>
      <c r="FP22" s="3510"/>
      <c r="FQ22" s="3510"/>
      <c r="FR22" s="3510"/>
      <c r="FS22" s="3510"/>
      <c r="FT22" s="3510"/>
      <c r="FU22" s="3510"/>
      <c r="FV22" s="3510"/>
      <c r="FW22" s="3510"/>
      <c r="FX22" s="3510"/>
      <c r="FY22" s="3510"/>
      <c r="FZ22" s="3510"/>
      <c r="GA22" s="3510"/>
      <c r="GB22" s="3510"/>
      <c r="GC22" s="3510"/>
      <c r="GD22" s="3510"/>
      <c r="GE22" s="3510"/>
      <c r="GF22" s="3510"/>
      <c r="GG22" s="3510"/>
      <c r="GH22" s="3510"/>
      <c r="GI22" s="3510"/>
      <c r="GJ22" s="3510"/>
      <c r="GK22" s="3510"/>
      <c r="GL22" s="3510"/>
      <c r="GM22" s="3510"/>
      <c r="GN22" s="3510"/>
      <c r="GO22" s="3510"/>
      <c r="GP22" s="3510"/>
      <c r="GQ22" s="3510"/>
      <c r="GR22" s="3510"/>
      <c r="GS22" s="3510"/>
      <c r="GT22" s="3510"/>
      <c r="GU22" s="3510"/>
      <c r="GV22" s="3510"/>
      <c r="GW22" s="3510"/>
      <c r="GX22" s="3510"/>
      <c r="GY22" s="3510"/>
      <c r="GZ22" s="3510"/>
      <c r="HA22" s="3510"/>
      <c r="HB22" s="3510"/>
      <c r="HC22" s="3510"/>
      <c r="HD22" s="3510"/>
      <c r="HE22" s="3510"/>
      <c r="HF22" s="3510"/>
      <c r="HG22" s="3510"/>
      <c r="HH22" s="3510"/>
      <c r="HI22" s="3510"/>
      <c r="HJ22" s="3510"/>
      <c r="HK22" s="3510"/>
      <c r="HL22" s="3510"/>
      <c r="HM22" s="3510"/>
      <c r="HN22" s="3510"/>
      <c r="HO22" s="3510"/>
      <c r="HP22" s="3510"/>
      <c r="HQ22" s="3510"/>
      <c r="HR22" s="3510"/>
      <c r="HS22" s="3510"/>
      <c r="HT22" s="3510"/>
      <c r="HU22" s="3510"/>
      <c r="HV22" s="3510"/>
      <c r="HW22" s="3510"/>
      <c r="HX22" s="3510"/>
      <c r="HY22" s="3510"/>
      <c r="HZ22" s="3510"/>
      <c r="IA22" s="3510"/>
      <c r="IB22" s="3510"/>
      <c r="IC22" s="3510"/>
      <c r="ID22" s="3510"/>
      <c r="IE22" s="3510"/>
      <c r="IF22" s="3510"/>
      <c r="IG22" s="3510"/>
      <c r="IH22" s="3510"/>
      <c r="II22" s="3510"/>
      <c r="IJ22" s="3510"/>
      <c r="IK22" s="3510"/>
      <c r="IL22" s="3510"/>
      <c r="IM22" s="3510"/>
      <c r="IN22" s="3510"/>
      <c r="IO22" s="3510"/>
      <c r="IP22" s="3510"/>
      <c r="IQ22" s="3510"/>
      <c r="IR22" s="3510"/>
      <c r="IS22" s="3510"/>
    </row>
    <row r="23" spans="1:253" s="3509" customFormat="1" ht="12" hidden="1">
      <c r="A23" s="3489" t="s">
        <v>3756</v>
      </c>
      <c r="B23" s="3490" t="s">
        <v>3757</v>
      </c>
      <c r="C23" s="3491" t="s">
        <v>3572</v>
      </c>
      <c r="D23" s="3493">
        <v>13901078967</v>
      </c>
      <c r="E23" s="3490" t="s">
        <v>3558</v>
      </c>
      <c r="F23" s="3490" t="s">
        <v>3573</v>
      </c>
      <c r="G23" s="3490"/>
      <c r="H23" s="3513" t="s">
        <v>3758</v>
      </c>
      <c r="I23" s="3490" t="s">
        <v>3759</v>
      </c>
      <c r="J23" s="3513" t="s">
        <v>3576</v>
      </c>
      <c r="K23" s="3490" t="s">
        <v>3577</v>
      </c>
      <c r="L23" s="3492">
        <v>158.38</v>
      </c>
      <c r="M23" s="3513">
        <v>17</v>
      </c>
      <c r="N23" s="3493" t="s">
        <v>3578</v>
      </c>
      <c r="O23" s="3490">
        <v>133.04</v>
      </c>
      <c r="P23" s="3490" t="s">
        <v>3458</v>
      </c>
      <c r="Q23" s="3494">
        <v>1146000</v>
      </c>
      <c r="R23" s="3492">
        <v>7236</v>
      </c>
      <c r="S23" s="3492">
        <v>113.7</v>
      </c>
      <c r="T23" s="3517">
        <v>1137000</v>
      </c>
      <c r="U23" s="3494">
        <v>7179</v>
      </c>
      <c r="V23" s="3514">
        <v>0.1</v>
      </c>
      <c r="W23" s="3497">
        <v>102.33</v>
      </c>
      <c r="X23" s="3521">
        <v>1023300</v>
      </c>
      <c r="Y23" s="3499">
        <v>2004</v>
      </c>
      <c r="Z23" s="3499">
        <v>4</v>
      </c>
      <c r="AA23" s="3490">
        <v>9</v>
      </c>
      <c r="AB23" s="3553">
        <v>5340</v>
      </c>
      <c r="AC23" s="3490" t="s">
        <v>3459</v>
      </c>
      <c r="AD23" s="3490"/>
      <c r="AE23" s="3490" t="s">
        <v>3446</v>
      </c>
      <c r="AF23" s="3490" t="s">
        <v>3580</v>
      </c>
      <c r="AG23" s="3490" t="s">
        <v>3447</v>
      </c>
      <c r="AH23" s="3490" t="s">
        <v>3581</v>
      </c>
      <c r="AI23" s="3490" t="s">
        <v>3448</v>
      </c>
      <c r="AJ23" s="3515">
        <v>38107</v>
      </c>
      <c r="AK23" s="3501">
        <v>4</v>
      </c>
      <c r="AL23" s="3499">
        <v>67641700</v>
      </c>
      <c r="AM23" s="3499"/>
      <c r="AN23" s="3502" t="s">
        <v>3449</v>
      </c>
      <c r="AO23" s="3499"/>
      <c r="AP23" s="3490" t="s">
        <v>3450</v>
      </c>
      <c r="AQ23" s="3490" t="s">
        <v>3451</v>
      </c>
      <c r="AR23" s="3490"/>
      <c r="AS23" s="3490"/>
      <c r="AT23" s="3490"/>
      <c r="AU23" s="3490"/>
      <c r="AV23" s="3490" t="s">
        <v>3453</v>
      </c>
      <c r="AW23" s="3490" t="s">
        <v>3452</v>
      </c>
      <c r="AX23" s="3490" t="s">
        <v>3453</v>
      </c>
      <c r="AY23" s="3502">
        <v>637907</v>
      </c>
      <c r="AZ23" s="3490" t="s">
        <v>3577</v>
      </c>
      <c r="BA23" s="3490" t="s">
        <v>3582</v>
      </c>
      <c r="BB23" s="3490" t="s">
        <v>3583</v>
      </c>
      <c r="BC23" s="3490" t="s">
        <v>3584</v>
      </c>
      <c r="BD23" s="3490">
        <v>102602</v>
      </c>
      <c r="BE23" s="3490">
        <v>68725998</v>
      </c>
      <c r="BF23" s="3490">
        <v>2.8</v>
      </c>
      <c r="BG23" s="3515">
        <v>38059</v>
      </c>
      <c r="BH23" s="3490"/>
      <c r="BI23" s="3502" t="s">
        <v>3450</v>
      </c>
      <c r="BJ23" s="3507">
        <v>38084</v>
      </c>
      <c r="BK23" s="3507"/>
      <c r="BL23" s="3490" t="s">
        <v>3454</v>
      </c>
      <c r="BM23" s="3490"/>
      <c r="BN23" s="3490"/>
      <c r="BO23" s="3490"/>
      <c r="BP23" s="3490"/>
      <c r="BQ23" s="3499">
        <v>8546</v>
      </c>
      <c r="BR23" s="3499">
        <v>8614</v>
      </c>
    </row>
    <row r="24" spans="1:253" s="3509" customFormat="1" ht="12" hidden="1">
      <c r="A24" s="3490" t="s">
        <v>3760</v>
      </c>
      <c r="B24" s="3490" t="s">
        <v>3761</v>
      </c>
      <c r="C24" s="3491" t="s">
        <v>3762</v>
      </c>
      <c r="D24" s="3493">
        <v>13501213529</v>
      </c>
      <c r="E24" s="3490" t="s">
        <v>3553</v>
      </c>
      <c r="F24" s="3490" t="s">
        <v>3684</v>
      </c>
      <c r="G24" s="3490"/>
      <c r="H24" s="3513" t="s">
        <v>3657</v>
      </c>
      <c r="I24" s="3493" t="s">
        <v>3554</v>
      </c>
      <c r="J24" s="3513" t="s">
        <v>3763</v>
      </c>
      <c r="K24" s="3490" t="s">
        <v>3664</v>
      </c>
      <c r="L24" s="3492">
        <v>52.42</v>
      </c>
      <c r="M24" s="3513">
        <v>2</v>
      </c>
      <c r="N24" s="3490" t="s">
        <v>3467</v>
      </c>
      <c r="O24" s="3490">
        <v>40.700000000000003</v>
      </c>
      <c r="P24" s="3490" t="s">
        <v>3468</v>
      </c>
      <c r="Q24" s="3494">
        <v>408876</v>
      </c>
      <c r="R24" s="3492">
        <v>7800</v>
      </c>
      <c r="S24" s="3492">
        <v>40.590000000000003</v>
      </c>
      <c r="T24" s="3495">
        <v>405900</v>
      </c>
      <c r="U24" s="3494">
        <v>7745</v>
      </c>
      <c r="V24" s="3514">
        <v>0.1</v>
      </c>
      <c r="W24" s="3497">
        <v>36.53</v>
      </c>
      <c r="X24" s="3498">
        <v>365300</v>
      </c>
      <c r="Y24" s="3490">
        <v>2004</v>
      </c>
      <c r="Z24" s="3490">
        <v>4</v>
      </c>
      <c r="AA24" s="3490">
        <v>29</v>
      </c>
      <c r="AB24" s="3489">
        <v>2025</v>
      </c>
      <c r="AC24" s="3490" t="s">
        <v>3720</v>
      </c>
      <c r="AD24" s="3490"/>
      <c r="AE24" s="3490" t="s">
        <v>3446</v>
      </c>
      <c r="AF24" s="3490" t="s">
        <v>3580</v>
      </c>
      <c r="AG24" s="3490" t="s">
        <v>3447</v>
      </c>
      <c r="AH24" s="3490"/>
      <c r="AI24" s="3490" t="s">
        <v>3448</v>
      </c>
      <c r="AJ24" s="3550">
        <v>38107</v>
      </c>
      <c r="AK24" s="3501">
        <v>4</v>
      </c>
      <c r="AL24" s="3490">
        <v>67641700</v>
      </c>
      <c r="AM24" s="3490"/>
      <c r="AN24" s="3502" t="s">
        <v>3687</v>
      </c>
      <c r="AO24" s="3490" t="s">
        <v>3657</v>
      </c>
      <c r="AP24" s="3490" t="s">
        <v>3450</v>
      </c>
      <c r="AQ24" s="3490" t="s">
        <v>3451</v>
      </c>
      <c r="AR24" s="3490"/>
      <c r="AS24" s="3490"/>
      <c r="AT24" s="3490"/>
      <c r="AU24" s="3490"/>
      <c r="AV24" s="3490"/>
      <c r="AW24" s="3490" t="s">
        <v>3452</v>
      </c>
      <c r="AX24" s="3490"/>
      <c r="AY24" s="3502">
        <v>620322</v>
      </c>
      <c r="AZ24" s="3490" t="s">
        <v>3664</v>
      </c>
      <c r="BA24" s="3490" t="s">
        <v>3678</v>
      </c>
      <c r="BB24" s="3490" t="s">
        <v>3699</v>
      </c>
      <c r="BC24" s="3490" t="s">
        <v>3764</v>
      </c>
      <c r="BD24" s="3490" t="s">
        <v>3657</v>
      </c>
      <c r="BE24" s="3490">
        <v>68706390</v>
      </c>
      <c r="BF24" s="3490">
        <v>2.8</v>
      </c>
      <c r="BG24" s="3515">
        <v>38041</v>
      </c>
      <c r="BH24" s="3490"/>
      <c r="BI24" s="3502" t="s">
        <v>3690</v>
      </c>
      <c r="BJ24" s="3507">
        <v>38104</v>
      </c>
      <c r="BK24" s="3507">
        <v>38100</v>
      </c>
      <c r="BL24" s="3490" t="s">
        <v>3454</v>
      </c>
      <c r="BM24" s="3490"/>
      <c r="BN24" s="3490"/>
      <c r="BO24" s="3490"/>
      <c r="BP24" s="3490"/>
      <c r="BQ24" s="3490">
        <v>9975</v>
      </c>
      <c r="BR24" s="3490">
        <v>10046</v>
      </c>
    </row>
    <row r="25" spans="1:253" s="3509" customFormat="1" ht="12" hidden="1">
      <c r="A25" s="3490" t="s">
        <v>3765</v>
      </c>
      <c r="B25" s="3490" t="s">
        <v>3766</v>
      </c>
      <c r="C25" s="3491" t="s">
        <v>3767</v>
      </c>
      <c r="D25" s="3493">
        <v>13301286528</v>
      </c>
      <c r="E25" s="3490" t="s">
        <v>3553</v>
      </c>
      <c r="F25" s="3490" t="s">
        <v>3684</v>
      </c>
      <c r="G25" s="3490"/>
      <c r="H25" s="3513" t="s">
        <v>3657</v>
      </c>
      <c r="I25" s="3493" t="s">
        <v>3685</v>
      </c>
      <c r="J25" s="3513" t="s">
        <v>3768</v>
      </c>
      <c r="K25" s="3490" t="s">
        <v>3664</v>
      </c>
      <c r="L25" s="3492">
        <v>48.52</v>
      </c>
      <c r="M25" s="3513">
        <v>7</v>
      </c>
      <c r="N25" s="3490" t="s">
        <v>3467</v>
      </c>
      <c r="O25" s="3490">
        <v>37.67</v>
      </c>
      <c r="P25" s="3490" t="s">
        <v>3468</v>
      </c>
      <c r="Q25" s="3494">
        <v>344492</v>
      </c>
      <c r="R25" s="3492">
        <v>7100</v>
      </c>
      <c r="S25" s="3492">
        <v>34.200000000000003</v>
      </c>
      <c r="T25" s="3495">
        <v>342000</v>
      </c>
      <c r="U25" s="3494">
        <v>7050</v>
      </c>
      <c r="V25" s="3514">
        <v>0.1</v>
      </c>
      <c r="W25" s="3497">
        <v>30.78</v>
      </c>
      <c r="X25" s="3498">
        <v>307800</v>
      </c>
      <c r="Y25" s="3490">
        <v>2004</v>
      </c>
      <c r="Z25" s="3490">
        <v>5</v>
      </c>
      <c r="AA25" s="3490">
        <v>8</v>
      </c>
      <c r="AB25" s="3489">
        <v>1710</v>
      </c>
      <c r="AC25" s="3490" t="s">
        <v>3720</v>
      </c>
      <c r="AD25" s="3490"/>
      <c r="AE25" s="3490" t="s">
        <v>3446</v>
      </c>
      <c r="AF25" s="3490" t="s">
        <v>3740</v>
      </c>
      <c r="AG25" s="3490" t="s">
        <v>3447</v>
      </c>
      <c r="AH25" s="3490"/>
      <c r="AI25" s="3490" t="s">
        <v>3448</v>
      </c>
      <c r="AJ25" s="3550">
        <v>38107</v>
      </c>
      <c r="AK25" s="3501">
        <v>5</v>
      </c>
      <c r="AL25" s="3490">
        <v>67641700</v>
      </c>
      <c r="AM25" s="3490"/>
      <c r="AN25" s="3493" t="s">
        <v>3463</v>
      </c>
      <c r="AO25" s="3490" t="s">
        <v>3657</v>
      </c>
      <c r="AP25" s="3490" t="s">
        <v>3450</v>
      </c>
      <c r="AQ25" s="3490" t="s">
        <v>3451</v>
      </c>
      <c r="AR25" s="3490"/>
      <c r="AS25" s="3490"/>
      <c r="AT25" s="3490"/>
      <c r="AU25" s="3490"/>
      <c r="AV25" s="3490"/>
      <c r="AW25" s="3490" t="s">
        <v>3452</v>
      </c>
      <c r="AX25" s="3490"/>
      <c r="AY25" s="3502">
        <v>620302</v>
      </c>
      <c r="AZ25" s="3490" t="s">
        <v>3664</v>
      </c>
      <c r="BA25" s="3490" t="s">
        <v>3678</v>
      </c>
      <c r="BB25" s="3490" t="s">
        <v>3699</v>
      </c>
      <c r="BC25" s="3490" t="s">
        <v>3764</v>
      </c>
      <c r="BD25" s="3490" t="s">
        <v>3657</v>
      </c>
      <c r="BE25" s="3490">
        <v>68706390</v>
      </c>
      <c r="BF25" s="3490">
        <v>2.8</v>
      </c>
      <c r="BG25" s="3515">
        <v>38043</v>
      </c>
      <c r="BH25" s="3490"/>
      <c r="BI25" s="3502" t="s">
        <v>3690</v>
      </c>
      <c r="BJ25" s="3507">
        <v>38100</v>
      </c>
      <c r="BK25" s="3507">
        <v>38074</v>
      </c>
      <c r="BL25" s="3490" t="s">
        <v>3454</v>
      </c>
      <c r="BM25" s="3490"/>
      <c r="BN25" s="3490"/>
      <c r="BO25" s="3490"/>
      <c r="BP25" s="3490"/>
      <c r="BQ25" s="3490">
        <v>9081</v>
      </c>
      <c r="BR25" s="3490">
        <v>9145</v>
      </c>
    </row>
    <row r="26" spans="1:253" s="3509" customFormat="1" ht="12" hidden="1">
      <c r="A26" s="3490" t="s">
        <v>3769</v>
      </c>
      <c r="B26" s="3490" t="s">
        <v>3770</v>
      </c>
      <c r="C26" s="3491" t="s">
        <v>3771</v>
      </c>
      <c r="D26" s="3493">
        <v>13911002883</v>
      </c>
      <c r="E26" s="3490" t="s">
        <v>3553</v>
      </c>
      <c r="F26" s="3490" t="s">
        <v>3684</v>
      </c>
      <c r="G26" s="3490"/>
      <c r="H26" s="3513" t="s">
        <v>3657</v>
      </c>
      <c r="I26" s="3493" t="s">
        <v>3470</v>
      </c>
      <c r="J26" s="3513" t="s">
        <v>3772</v>
      </c>
      <c r="K26" s="3490" t="s">
        <v>3664</v>
      </c>
      <c r="L26" s="3492">
        <v>52.42</v>
      </c>
      <c r="M26" s="3513">
        <v>3</v>
      </c>
      <c r="N26" s="3490" t="s">
        <v>3467</v>
      </c>
      <c r="O26" s="3490">
        <v>40.700000000000003</v>
      </c>
      <c r="P26" s="3490" t="s">
        <v>3468</v>
      </c>
      <c r="Q26" s="3494">
        <v>395771</v>
      </c>
      <c r="R26" s="3492">
        <v>7550</v>
      </c>
      <c r="S26" s="3492">
        <v>39.31</v>
      </c>
      <c r="T26" s="3495">
        <v>393100</v>
      </c>
      <c r="U26" s="3494">
        <v>7500</v>
      </c>
      <c r="V26" s="3514">
        <v>0.1</v>
      </c>
      <c r="W26" s="3497">
        <v>35.369999999999997</v>
      </c>
      <c r="X26" s="3498">
        <v>353700</v>
      </c>
      <c r="Y26" s="3490">
        <v>2004</v>
      </c>
      <c r="Z26" s="3490">
        <v>5</v>
      </c>
      <c r="AA26" s="3490">
        <v>8</v>
      </c>
      <c r="AB26" s="3489">
        <v>1965</v>
      </c>
      <c r="AC26" s="3490" t="s">
        <v>3720</v>
      </c>
      <c r="AD26" s="3490"/>
      <c r="AE26" s="3490" t="s">
        <v>3446</v>
      </c>
      <c r="AF26" s="3490" t="s">
        <v>3740</v>
      </c>
      <c r="AG26" s="3490" t="s">
        <v>3447</v>
      </c>
      <c r="AH26" s="3490"/>
      <c r="AI26" s="3490" t="s">
        <v>3448</v>
      </c>
      <c r="AJ26" s="3550">
        <v>38107</v>
      </c>
      <c r="AK26" s="3501">
        <v>5</v>
      </c>
      <c r="AL26" s="3490">
        <v>67641700</v>
      </c>
      <c r="AM26" s="3490"/>
      <c r="AN26" s="3493" t="s">
        <v>3463</v>
      </c>
      <c r="AO26" s="3490" t="s">
        <v>3657</v>
      </c>
      <c r="AP26" s="3490" t="s">
        <v>3450</v>
      </c>
      <c r="AQ26" s="3490" t="s">
        <v>3451</v>
      </c>
      <c r="AR26" s="3490"/>
      <c r="AS26" s="3490"/>
      <c r="AT26" s="3490"/>
      <c r="AU26" s="3490"/>
      <c r="AV26" s="3490"/>
      <c r="AW26" s="3490" t="s">
        <v>3452</v>
      </c>
      <c r="AX26" s="3490"/>
      <c r="AY26" s="3502">
        <v>620305</v>
      </c>
      <c r="AZ26" s="3490" t="s">
        <v>3664</v>
      </c>
      <c r="BA26" s="3490" t="s">
        <v>3678</v>
      </c>
      <c r="BB26" s="3490" t="s">
        <v>3699</v>
      </c>
      <c r="BC26" s="3490" t="s">
        <v>3764</v>
      </c>
      <c r="BD26" s="3490" t="s">
        <v>3657</v>
      </c>
      <c r="BE26" s="3490">
        <v>68706390</v>
      </c>
      <c r="BF26" s="3490">
        <v>2.8</v>
      </c>
      <c r="BG26" s="3515">
        <v>38047</v>
      </c>
      <c r="BH26" s="3490"/>
      <c r="BI26" s="3502" t="s">
        <v>3690</v>
      </c>
      <c r="BJ26" s="3507">
        <v>38100</v>
      </c>
      <c r="BK26" s="3507">
        <v>38097</v>
      </c>
      <c r="BL26" s="3490" t="s">
        <v>3454</v>
      </c>
      <c r="BM26" s="3490"/>
      <c r="BN26" s="3490"/>
      <c r="BO26" s="3490"/>
      <c r="BP26" s="3490"/>
      <c r="BQ26" s="3490">
        <v>9660</v>
      </c>
      <c r="BR26" s="3490">
        <v>9724</v>
      </c>
    </row>
    <row r="27" spans="1:253" s="3509" customFormat="1" ht="12" hidden="1">
      <c r="A27" s="3490" t="s">
        <v>3773</v>
      </c>
      <c r="B27" s="3490" t="s">
        <v>3774</v>
      </c>
      <c r="C27" s="3491" t="s">
        <v>3775</v>
      </c>
      <c r="D27" s="3493">
        <v>13683520477</v>
      </c>
      <c r="E27" s="3490" t="s">
        <v>3553</v>
      </c>
      <c r="F27" s="3490" t="s">
        <v>3684</v>
      </c>
      <c r="G27" s="3490"/>
      <c r="H27" s="3502" t="s">
        <v>3657</v>
      </c>
      <c r="I27" s="3493" t="s">
        <v>3685</v>
      </c>
      <c r="J27" s="3513" t="s">
        <v>3776</v>
      </c>
      <c r="K27" s="3493" t="s">
        <v>3664</v>
      </c>
      <c r="L27" s="3492">
        <v>48.52</v>
      </c>
      <c r="M27" s="3513">
        <v>7</v>
      </c>
      <c r="N27" s="3490" t="s">
        <v>3467</v>
      </c>
      <c r="O27" s="3490">
        <v>37.67</v>
      </c>
      <c r="P27" s="3490" t="s">
        <v>3468</v>
      </c>
      <c r="Q27" s="3494">
        <v>363900</v>
      </c>
      <c r="R27" s="3492">
        <v>7500</v>
      </c>
      <c r="S27" s="3492">
        <v>36.14</v>
      </c>
      <c r="T27" s="3495">
        <v>361400</v>
      </c>
      <c r="U27" s="3494">
        <v>7450</v>
      </c>
      <c r="V27" s="3514">
        <v>0.05</v>
      </c>
      <c r="W27" s="3497">
        <v>34.33</v>
      </c>
      <c r="X27" s="3498">
        <v>343300</v>
      </c>
      <c r="Y27" s="3490">
        <v>2004</v>
      </c>
      <c r="Z27" s="3490">
        <v>5</v>
      </c>
      <c r="AA27" s="3490">
        <v>18</v>
      </c>
      <c r="AB27" s="3489">
        <v>1805</v>
      </c>
      <c r="AC27" s="3490" t="s">
        <v>3720</v>
      </c>
      <c r="AD27" s="3490"/>
      <c r="AE27" s="3490" t="s">
        <v>3446</v>
      </c>
      <c r="AF27" s="3490" t="s">
        <v>3472</v>
      </c>
      <c r="AG27" s="3490" t="s">
        <v>3447</v>
      </c>
      <c r="AH27" s="3490"/>
      <c r="AI27" s="3490" t="s">
        <v>3448</v>
      </c>
      <c r="AJ27" s="3550">
        <v>38107</v>
      </c>
      <c r="AK27" s="3501">
        <v>5</v>
      </c>
      <c r="AL27" s="3490">
        <v>67641700</v>
      </c>
      <c r="AM27" s="3490"/>
      <c r="AN27" s="3502" t="s">
        <v>3705</v>
      </c>
      <c r="AO27" s="3490" t="s">
        <v>3657</v>
      </c>
      <c r="AP27" s="3490" t="s">
        <v>3450</v>
      </c>
      <c r="AQ27" s="3490" t="s">
        <v>3451</v>
      </c>
      <c r="AR27" s="3490">
        <v>2004</v>
      </c>
      <c r="AS27" s="3490">
        <v>5</v>
      </c>
      <c r="AT27" s="3490">
        <v>18</v>
      </c>
      <c r="AU27" s="3490" t="s">
        <v>3777</v>
      </c>
      <c r="AV27" s="3490"/>
      <c r="AW27" s="3490" t="s">
        <v>3452</v>
      </c>
      <c r="AX27" s="3490"/>
      <c r="AY27" s="3502">
        <v>620373</v>
      </c>
      <c r="AZ27" s="3490" t="s">
        <v>3664</v>
      </c>
      <c r="BA27" s="3490" t="s">
        <v>3678</v>
      </c>
      <c r="BB27" s="3490" t="s">
        <v>3699</v>
      </c>
      <c r="BC27" s="3490" t="s">
        <v>3764</v>
      </c>
      <c r="BD27" s="3490" t="s">
        <v>3657</v>
      </c>
      <c r="BE27" s="3490">
        <v>68706390</v>
      </c>
      <c r="BF27" s="3490">
        <v>2.8</v>
      </c>
      <c r="BG27" s="3515">
        <v>38055</v>
      </c>
      <c r="BH27" s="3490"/>
      <c r="BI27" s="3502" t="s">
        <v>3690</v>
      </c>
      <c r="BJ27" s="3507">
        <v>38069</v>
      </c>
      <c r="BK27" s="3507">
        <v>38066</v>
      </c>
      <c r="BL27" s="3490" t="s">
        <v>3454</v>
      </c>
      <c r="BM27" s="3490"/>
      <c r="BN27" s="3490"/>
      <c r="BO27" s="3490"/>
      <c r="BP27" s="3490"/>
      <c r="BQ27" s="3490">
        <v>9596</v>
      </c>
      <c r="BR27" s="3490">
        <v>9660</v>
      </c>
    </row>
    <row r="28" spans="1:253" s="3509" customFormat="1" ht="12" hidden="1">
      <c r="A28" s="3490" t="s">
        <v>3778</v>
      </c>
      <c r="B28" s="3490" t="s">
        <v>3779</v>
      </c>
      <c r="C28" s="3491" t="s">
        <v>3780</v>
      </c>
      <c r="D28" s="3493">
        <v>13911230224</v>
      </c>
      <c r="E28" s="3490" t="s">
        <v>3553</v>
      </c>
      <c r="F28" s="3490" t="s">
        <v>3684</v>
      </c>
      <c r="G28" s="3490"/>
      <c r="H28" s="3513" t="s">
        <v>3657</v>
      </c>
      <c r="I28" s="3493" t="s">
        <v>3674</v>
      </c>
      <c r="J28" s="3513" t="s">
        <v>3781</v>
      </c>
      <c r="K28" s="3490" t="s">
        <v>3664</v>
      </c>
      <c r="L28" s="3492">
        <v>48.52</v>
      </c>
      <c r="M28" s="3513">
        <v>6</v>
      </c>
      <c r="N28" s="3490" t="s">
        <v>3467</v>
      </c>
      <c r="O28" s="3490">
        <v>37.67</v>
      </c>
      <c r="P28" s="3490" t="s">
        <v>3468</v>
      </c>
      <c r="Q28" s="3494">
        <v>356622</v>
      </c>
      <c r="R28" s="3492">
        <v>7350</v>
      </c>
      <c r="S28" s="3492">
        <v>35.409999999999997</v>
      </c>
      <c r="T28" s="3495">
        <v>354100</v>
      </c>
      <c r="U28" s="3494">
        <v>7300</v>
      </c>
      <c r="V28" s="3514">
        <v>0.1</v>
      </c>
      <c r="W28" s="3497">
        <v>31.86</v>
      </c>
      <c r="X28" s="3498">
        <v>318600</v>
      </c>
      <c r="Y28" s="3490">
        <v>2004</v>
      </c>
      <c r="Z28" s="3490">
        <v>5</v>
      </c>
      <c r="AA28" s="3490">
        <v>8</v>
      </c>
      <c r="AB28" s="3489">
        <v>1770</v>
      </c>
      <c r="AC28" s="3490" t="s">
        <v>3720</v>
      </c>
      <c r="AD28" s="3490"/>
      <c r="AE28" s="3490" t="s">
        <v>3446</v>
      </c>
      <c r="AF28" s="3490" t="s">
        <v>3740</v>
      </c>
      <c r="AG28" s="3490" t="s">
        <v>3447</v>
      </c>
      <c r="AH28" s="3490"/>
      <c r="AI28" s="3490" t="s">
        <v>3448</v>
      </c>
      <c r="AJ28" s="3550">
        <v>38107</v>
      </c>
      <c r="AK28" s="3501">
        <v>5</v>
      </c>
      <c r="AL28" s="3490">
        <v>67641700</v>
      </c>
      <c r="AM28" s="3490"/>
      <c r="AN28" s="3493" t="s">
        <v>3463</v>
      </c>
      <c r="AO28" s="3490" t="s">
        <v>3657</v>
      </c>
      <c r="AP28" s="3490" t="s">
        <v>3450</v>
      </c>
      <c r="AQ28" s="3490" t="s">
        <v>3451</v>
      </c>
      <c r="AR28" s="3490"/>
      <c r="AS28" s="3490"/>
      <c r="AT28" s="3490"/>
      <c r="AU28" s="3490"/>
      <c r="AV28" s="3490"/>
      <c r="AW28" s="3490" t="s">
        <v>3452</v>
      </c>
      <c r="AX28" s="3490"/>
      <c r="AY28" s="3502">
        <v>620320</v>
      </c>
      <c r="AZ28" s="3490" t="s">
        <v>3664</v>
      </c>
      <c r="BA28" s="3490" t="s">
        <v>3678</v>
      </c>
      <c r="BB28" s="3490" t="s">
        <v>3699</v>
      </c>
      <c r="BC28" s="3490" t="s">
        <v>3764</v>
      </c>
      <c r="BD28" s="3490" t="s">
        <v>3657</v>
      </c>
      <c r="BE28" s="3490">
        <v>68706390</v>
      </c>
      <c r="BF28" s="3490">
        <v>2.8</v>
      </c>
      <c r="BG28" s="3515">
        <v>38043</v>
      </c>
      <c r="BH28" s="3490"/>
      <c r="BI28" s="3502" t="s">
        <v>3690</v>
      </c>
      <c r="BJ28" s="3507">
        <v>38100</v>
      </c>
      <c r="BK28" s="3507">
        <v>38066</v>
      </c>
      <c r="BL28" s="3490" t="s">
        <v>3454</v>
      </c>
      <c r="BM28" s="3490"/>
      <c r="BN28" s="3490"/>
      <c r="BO28" s="3490"/>
      <c r="BP28" s="3490"/>
      <c r="BQ28" s="3490">
        <v>9403</v>
      </c>
      <c r="BR28" s="3490">
        <v>9467</v>
      </c>
    </row>
    <row r="29" spans="1:253" s="3509" customFormat="1" ht="12" hidden="1">
      <c r="A29" s="3490" t="s">
        <v>3782</v>
      </c>
      <c r="B29" s="3490" t="s">
        <v>3783</v>
      </c>
      <c r="C29" s="3491" t="s">
        <v>3784</v>
      </c>
      <c r="D29" s="3493">
        <v>13693333619</v>
      </c>
      <c r="E29" s="3490" t="s">
        <v>3553</v>
      </c>
      <c r="F29" s="3490" t="s">
        <v>3684</v>
      </c>
      <c r="G29" s="3490"/>
      <c r="H29" s="3513" t="s">
        <v>3657</v>
      </c>
      <c r="I29" s="3493" t="s">
        <v>3685</v>
      </c>
      <c r="J29" s="3513" t="s">
        <v>3785</v>
      </c>
      <c r="K29" s="3490" t="s">
        <v>3664</v>
      </c>
      <c r="L29" s="3492">
        <v>48.47</v>
      </c>
      <c r="M29" s="3513">
        <v>7</v>
      </c>
      <c r="N29" s="3490" t="s">
        <v>3467</v>
      </c>
      <c r="O29" s="3490">
        <v>37.630000000000003</v>
      </c>
      <c r="P29" s="3490" t="s">
        <v>3468</v>
      </c>
      <c r="Q29" s="3494">
        <v>353831</v>
      </c>
      <c r="R29" s="3492">
        <v>7300</v>
      </c>
      <c r="S29" s="3492">
        <v>35.14</v>
      </c>
      <c r="T29" s="3495">
        <v>351400</v>
      </c>
      <c r="U29" s="3494">
        <v>7250</v>
      </c>
      <c r="V29" s="3514">
        <v>0.1</v>
      </c>
      <c r="W29" s="3497">
        <v>31.62</v>
      </c>
      <c r="X29" s="3498">
        <v>316200</v>
      </c>
      <c r="Y29" s="3490">
        <v>2004</v>
      </c>
      <c r="Z29" s="3490">
        <v>5</v>
      </c>
      <c r="AA29" s="3490">
        <v>8</v>
      </c>
      <c r="AB29" s="3489">
        <v>1755</v>
      </c>
      <c r="AC29" s="3490" t="s">
        <v>3720</v>
      </c>
      <c r="AD29" s="3490"/>
      <c r="AE29" s="3490" t="s">
        <v>3446</v>
      </c>
      <c r="AF29" s="3490" t="s">
        <v>3740</v>
      </c>
      <c r="AG29" s="3490" t="s">
        <v>3447</v>
      </c>
      <c r="AH29" s="3490"/>
      <c r="AI29" s="3490" t="s">
        <v>3448</v>
      </c>
      <c r="AJ29" s="3550">
        <v>38107</v>
      </c>
      <c r="AK29" s="3501">
        <v>5</v>
      </c>
      <c r="AL29" s="3490">
        <v>67641700</v>
      </c>
      <c r="AM29" s="3490"/>
      <c r="AN29" s="3493" t="s">
        <v>3463</v>
      </c>
      <c r="AO29" s="3490" t="s">
        <v>3657</v>
      </c>
      <c r="AP29" s="3490" t="s">
        <v>3450</v>
      </c>
      <c r="AQ29" s="3490" t="s">
        <v>3451</v>
      </c>
      <c r="AR29" s="3490"/>
      <c r="AS29" s="3490"/>
      <c r="AT29" s="3490"/>
      <c r="AU29" s="3490"/>
      <c r="AV29" s="3490"/>
      <c r="AW29" s="3490" t="s">
        <v>3452</v>
      </c>
      <c r="AX29" s="3490"/>
      <c r="AY29" s="3502">
        <v>620312</v>
      </c>
      <c r="AZ29" s="3490" t="s">
        <v>3664</v>
      </c>
      <c r="BA29" s="3490" t="s">
        <v>3678</v>
      </c>
      <c r="BB29" s="3490" t="s">
        <v>3699</v>
      </c>
      <c r="BC29" s="3490" t="s">
        <v>3764</v>
      </c>
      <c r="BD29" s="3490" t="s">
        <v>3657</v>
      </c>
      <c r="BE29" s="3490">
        <v>68706390</v>
      </c>
      <c r="BF29" s="3490">
        <v>2.8</v>
      </c>
      <c r="BG29" s="3515">
        <v>38050</v>
      </c>
      <c r="BH29" s="3490"/>
      <c r="BI29" s="3502" t="s">
        <v>3690</v>
      </c>
      <c r="BJ29" s="3507">
        <v>38100</v>
      </c>
      <c r="BK29" s="3507">
        <v>38071</v>
      </c>
      <c r="BL29" s="3490" t="s">
        <v>3454</v>
      </c>
      <c r="BM29" s="3490"/>
      <c r="BN29" s="3490"/>
      <c r="BO29" s="3490"/>
      <c r="BP29" s="3490"/>
      <c r="BQ29" s="3490">
        <v>9338</v>
      </c>
      <c r="BR29" s="3490">
        <v>9403</v>
      </c>
    </row>
    <row r="30" spans="1:253" s="3509" customFormat="1" ht="12" hidden="1">
      <c r="A30" s="3490" t="s">
        <v>3786</v>
      </c>
      <c r="B30" s="3490" t="s">
        <v>3787</v>
      </c>
      <c r="C30" s="3491" t="s">
        <v>3788</v>
      </c>
      <c r="D30" s="3493">
        <v>13693397816</v>
      </c>
      <c r="E30" s="3490" t="s">
        <v>3553</v>
      </c>
      <c r="F30" s="3490" t="s">
        <v>3684</v>
      </c>
      <c r="G30" s="3490"/>
      <c r="H30" s="3513" t="s">
        <v>3657</v>
      </c>
      <c r="I30" s="3493" t="s">
        <v>3674</v>
      </c>
      <c r="J30" s="3513" t="s">
        <v>3789</v>
      </c>
      <c r="K30" s="3490" t="s">
        <v>3664</v>
      </c>
      <c r="L30" s="3492">
        <v>48.52</v>
      </c>
      <c r="M30" s="3513">
        <v>6</v>
      </c>
      <c r="N30" s="3490" t="s">
        <v>3467</v>
      </c>
      <c r="O30" s="3490">
        <v>37.67</v>
      </c>
      <c r="P30" s="3490" t="s">
        <v>3468</v>
      </c>
      <c r="Q30" s="3494">
        <v>354196</v>
      </c>
      <c r="R30" s="3492">
        <v>7300</v>
      </c>
      <c r="S30" s="3492">
        <v>35.17</v>
      </c>
      <c r="T30" s="3495">
        <v>351700</v>
      </c>
      <c r="U30" s="3494">
        <v>7250</v>
      </c>
      <c r="V30" s="3514">
        <v>0.1</v>
      </c>
      <c r="W30" s="3497">
        <v>31.65</v>
      </c>
      <c r="X30" s="3498">
        <v>316500</v>
      </c>
      <c r="Y30" s="3490">
        <v>2004</v>
      </c>
      <c r="Z30" s="3490">
        <v>5</v>
      </c>
      <c r="AA30" s="3490">
        <v>8</v>
      </c>
      <c r="AB30" s="3489">
        <v>1755</v>
      </c>
      <c r="AC30" s="3490" t="s">
        <v>3720</v>
      </c>
      <c r="AD30" s="3490"/>
      <c r="AE30" s="3490" t="s">
        <v>3446</v>
      </c>
      <c r="AF30" s="3490" t="s">
        <v>3740</v>
      </c>
      <c r="AG30" s="3490" t="s">
        <v>3447</v>
      </c>
      <c r="AH30" s="3490"/>
      <c r="AI30" s="3490" t="s">
        <v>3448</v>
      </c>
      <c r="AJ30" s="3550">
        <v>38107</v>
      </c>
      <c r="AK30" s="3501">
        <v>5</v>
      </c>
      <c r="AL30" s="3490">
        <v>67641700</v>
      </c>
      <c r="AM30" s="3490"/>
      <c r="AN30" s="3493" t="s">
        <v>3463</v>
      </c>
      <c r="AO30" s="3490" t="s">
        <v>3657</v>
      </c>
      <c r="AP30" s="3490" t="s">
        <v>3450</v>
      </c>
      <c r="AQ30" s="3490" t="s">
        <v>3451</v>
      </c>
      <c r="AR30" s="3490"/>
      <c r="AS30" s="3490"/>
      <c r="AT30" s="3490"/>
      <c r="AU30" s="3490"/>
      <c r="AV30" s="3490"/>
      <c r="AW30" s="3490" t="s">
        <v>3452</v>
      </c>
      <c r="AX30" s="3490"/>
      <c r="AY30" s="3502">
        <v>620361</v>
      </c>
      <c r="AZ30" s="3490" t="s">
        <v>3664</v>
      </c>
      <c r="BA30" s="3490" t="s">
        <v>3678</v>
      </c>
      <c r="BB30" s="3490" t="s">
        <v>3699</v>
      </c>
      <c r="BC30" s="3490" t="s">
        <v>3764</v>
      </c>
      <c r="BD30" s="3490" t="s">
        <v>3657</v>
      </c>
      <c r="BE30" s="3490">
        <v>68706390</v>
      </c>
      <c r="BF30" s="3490">
        <v>2.8</v>
      </c>
      <c r="BG30" s="3515">
        <v>38063</v>
      </c>
      <c r="BH30" s="3490"/>
      <c r="BI30" s="3502" t="s">
        <v>3690</v>
      </c>
      <c r="BJ30" s="3507">
        <v>38100</v>
      </c>
      <c r="BK30" s="3507">
        <v>38102</v>
      </c>
      <c r="BL30" s="3490" t="s">
        <v>3454</v>
      </c>
      <c r="BM30" s="3490"/>
      <c r="BN30" s="3490"/>
      <c r="BO30" s="3490"/>
      <c r="BP30" s="3490"/>
      <c r="BQ30" s="3490">
        <v>9338</v>
      </c>
      <c r="BR30" s="3490">
        <v>9403</v>
      </c>
    </row>
    <row r="31" spans="1:253" s="3509" customFormat="1" ht="12" hidden="1">
      <c r="A31" s="3490" t="s">
        <v>3790</v>
      </c>
      <c r="B31" s="3490" t="s">
        <v>3791</v>
      </c>
      <c r="C31" s="3491" t="s">
        <v>3792</v>
      </c>
      <c r="D31" s="3493" t="s">
        <v>3793</v>
      </c>
      <c r="E31" s="3490" t="s">
        <v>3553</v>
      </c>
      <c r="F31" s="3490" t="s">
        <v>3684</v>
      </c>
      <c r="G31" s="3490"/>
      <c r="H31" s="3513" t="s">
        <v>3657</v>
      </c>
      <c r="I31" s="3493" t="s">
        <v>3695</v>
      </c>
      <c r="J31" s="3513" t="s">
        <v>3794</v>
      </c>
      <c r="K31" s="3490" t="s">
        <v>3664</v>
      </c>
      <c r="L31" s="3492">
        <v>44.64</v>
      </c>
      <c r="M31" s="3513">
        <v>2</v>
      </c>
      <c r="N31" s="3490" t="s">
        <v>3467</v>
      </c>
      <c r="O31" s="3490">
        <v>34.659999999999997</v>
      </c>
      <c r="P31" s="3490" t="s">
        <v>3468</v>
      </c>
      <c r="Q31" s="3494">
        <v>325872</v>
      </c>
      <c r="R31" s="3492">
        <v>7300</v>
      </c>
      <c r="S31" s="3492">
        <v>32.36</v>
      </c>
      <c r="T31" s="3495">
        <v>323600</v>
      </c>
      <c r="U31" s="3494">
        <v>7250</v>
      </c>
      <c r="V31" s="3514">
        <v>0.1</v>
      </c>
      <c r="W31" s="3497">
        <v>29.12</v>
      </c>
      <c r="X31" s="3498">
        <v>291200</v>
      </c>
      <c r="Y31" s="3490">
        <v>2004</v>
      </c>
      <c r="Z31" s="3490">
        <v>5</v>
      </c>
      <c r="AA31" s="3490">
        <v>9</v>
      </c>
      <c r="AB31" s="3489">
        <v>1615</v>
      </c>
      <c r="AC31" s="3490" t="s">
        <v>3720</v>
      </c>
      <c r="AD31" s="3490"/>
      <c r="AE31" s="3490" t="s">
        <v>3446</v>
      </c>
      <c r="AF31" s="3490" t="s">
        <v>3740</v>
      </c>
      <c r="AG31" s="3490" t="s">
        <v>3447</v>
      </c>
      <c r="AH31" s="3490"/>
      <c r="AI31" s="3490" t="s">
        <v>3448</v>
      </c>
      <c r="AJ31" s="3550">
        <v>38107</v>
      </c>
      <c r="AK31" s="3501">
        <v>5</v>
      </c>
      <c r="AL31" s="3490">
        <v>67641700</v>
      </c>
      <c r="AM31" s="3490"/>
      <c r="AN31" s="3502" t="s">
        <v>3463</v>
      </c>
      <c r="AO31" s="3490" t="s">
        <v>3657</v>
      </c>
      <c r="AP31" s="3490" t="s">
        <v>3450</v>
      </c>
      <c r="AQ31" s="3490" t="s">
        <v>3451</v>
      </c>
      <c r="AR31" s="3490"/>
      <c r="AS31" s="3490"/>
      <c r="AT31" s="3490"/>
      <c r="AU31" s="3490"/>
      <c r="AV31" s="3490"/>
      <c r="AW31" s="3490" t="s">
        <v>3452</v>
      </c>
      <c r="AX31" s="3490"/>
      <c r="AY31" s="3502">
        <v>620343</v>
      </c>
      <c r="AZ31" s="3490" t="s">
        <v>3664</v>
      </c>
      <c r="BA31" s="3490" t="s">
        <v>3678</v>
      </c>
      <c r="BB31" s="3490" t="s">
        <v>3699</v>
      </c>
      <c r="BC31" s="3490" t="s">
        <v>3764</v>
      </c>
      <c r="BD31" s="3490" t="s">
        <v>3657</v>
      </c>
      <c r="BE31" s="3490">
        <v>68706390</v>
      </c>
      <c r="BF31" s="3490">
        <v>2.8</v>
      </c>
      <c r="BG31" s="3515">
        <v>38040</v>
      </c>
      <c r="BH31" s="3490"/>
      <c r="BI31" s="3502" t="s">
        <v>3690</v>
      </c>
      <c r="BJ31" s="3507">
        <v>38100</v>
      </c>
      <c r="BK31" s="3507">
        <v>38066</v>
      </c>
      <c r="BL31" s="3490" t="s">
        <v>3454</v>
      </c>
      <c r="BM31" s="3490"/>
      <c r="BN31" s="3490"/>
      <c r="BO31" s="3490"/>
      <c r="BP31" s="3490"/>
      <c r="BQ31" s="3490">
        <v>9338</v>
      </c>
      <c r="BR31" s="3490">
        <v>9402</v>
      </c>
    </row>
    <row r="32" spans="1:253" s="3509" customFormat="1" ht="12" hidden="1">
      <c r="A32" s="3490" t="s">
        <v>3795</v>
      </c>
      <c r="B32" s="3490" t="s">
        <v>3796</v>
      </c>
      <c r="C32" s="3491" t="s">
        <v>3797</v>
      </c>
      <c r="D32" s="3493">
        <v>13366038726</v>
      </c>
      <c r="E32" s="3490" t="s">
        <v>3553</v>
      </c>
      <c r="F32" s="3490" t="s">
        <v>3684</v>
      </c>
      <c r="G32" s="3490"/>
      <c r="H32" s="3513" t="s">
        <v>3668</v>
      </c>
      <c r="I32" s="3493" t="s">
        <v>3674</v>
      </c>
      <c r="J32" s="3513" t="s">
        <v>3798</v>
      </c>
      <c r="K32" s="3490" t="s">
        <v>3664</v>
      </c>
      <c r="L32" s="3492">
        <v>48.03</v>
      </c>
      <c r="M32" s="3513">
        <v>6</v>
      </c>
      <c r="N32" s="3490" t="s">
        <v>3661</v>
      </c>
      <c r="O32" s="3490">
        <v>37.29</v>
      </c>
      <c r="P32" s="3490" t="s">
        <v>3468</v>
      </c>
      <c r="Q32" s="3494">
        <v>345816</v>
      </c>
      <c r="R32" s="3492">
        <v>7200</v>
      </c>
      <c r="S32" s="3492">
        <v>34.340000000000003</v>
      </c>
      <c r="T32" s="3495">
        <v>343400</v>
      </c>
      <c r="U32" s="3494">
        <v>7150</v>
      </c>
      <c r="V32" s="3514">
        <v>0.1</v>
      </c>
      <c r="W32" s="3497">
        <v>30.9</v>
      </c>
      <c r="X32" s="3498">
        <v>309000</v>
      </c>
      <c r="Y32" s="3490">
        <v>2004</v>
      </c>
      <c r="Z32" s="3490">
        <v>5</v>
      </c>
      <c r="AA32" s="3490">
        <v>9</v>
      </c>
      <c r="AB32" s="3489">
        <v>1715</v>
      </c>
      <c r="AC32" s="3490" t="s">
        <v>3720</v>
      </c>
      <c r="AD32" s="3490"/>
      <c r="AE32" s="3490" t="s">
        <v>3446</v>
      </c>
      <c r="AF32" s="3490" t="s">
        <v>3740</v>
      </c>
      <c r="AG32" s="3490" t="s">
        <v>3447</v>
      </c>
      <c r="AH32" s="3490"/>
      <c r="AI32" s="3490" t="s">
        <v>3448</v>
      </c>
      <c r="AJ32" s="3550">
        <v>38107</v>
      </c>
      <c r="AK32" s="3501">
        <v>5</v>
      </c>
      <c r="AL32" s="3490">
        <v>67641700</v>
      </c>
      <c r="AM32" s="3490"/>
      <c r="AN32" s="3502" t="s">
        <v>3463</v>
      </c>
      <c r="AO32" s="3490" t="s">
        <v>3657</v>
      </c>
      <c r="AP32" s="3490" t="s">
        <v>3450</v>
      </c>
      <c r="AQ32" s="3490" t="s">
        <v>3451</v>
      </c>
      <c r="AR32" s="3490"/>
      <c r="AS32" s="3490"/>
      <c r="AT32" s="3490"/>
      <c r="AU32" s="3490"/>
      <c r="AV32" s="3490"/>
      <c r="AW32" s="3490" t="s">
        <v>3452</v>
      </c>
      <c r="AX32" s="3490"/>
      <c r="AY32" s="3502">
        <v>620338</v>
      </c>
      <c r="AZ32" s="3490" t="s">
        <v>3660</v>
      </c>
      <c r="BA32" s="3490" t="s">
        <v>3665</v>
      </c>
      <c r="BB32" s="3490" t="s">
        <v>3699</v>
      </c>
      <c r="BC32" s="3490" t="s">
        <v>3764</v>
      </c>
      <c r="BD32" s="3490" t="s">
        <v>3657</v>
      </c>
      <c r="BE32" s="3490">
        <v>68706390</v>
      </c>
      <c r="BF32" s="3490">
        <v>2.8</v>
      </c>
      <c r="BG32" s="3515">
        <v>37988</v>
      </c>
      <c r="BH32" s="3490"/>
      <c r="BI32" s="3502" t="s">
        <v>3690</v>
      </c>
      <c r="BJ32" s="3507">
        <v>38100</v>
      </c>
      <c r="BK32" s="3507">
        <v>38078</v>
      </c>
      <c r="BL32" s="3490" t="s">
        <v>3454</v>
      </c>
      <c r="BM32" s="3490"/>
      <c r="BN32" s="3490"/>
      <c r="BO32" s="3490"/>
      <c r="BP32" s="3490"/>
      <c r="BQ32" s="3490">
        <v>9209</v>
      </c>
      <c r="BR32" s="3490">
        <v>9274</v>
      </c>
    </row>
    <row r="33" spans="1:253" s="3509" customFormat="1" ht="12" hidden="1">
      <c r="A33" s="3489" t="s">
        <v>3799</v>
      </c>
      <c r="B33" s="3490" t="s">
        <v>3800</v>
      </c>
      <c r="C33" s="3491" t="s">
        <v>3801</v>
      </c>
      <c r="D33" s="3491" t="s">
        <v>3802</v>
      </c>
      <c r="E33" s="3490" t="s">
        <v>3553</v>
      </c>
      <c r="F33" s="3490" t="s">
        <v>3684</v>
      </c>
      <c r="G33" s="3490"/>
      <c r="H33" s="3502" t="s">
        <v>3657</v>
      </c>
      <c r="I33" s="3490" t="s">
        <v>3685</v>
      </c>
      <c r="J33" s="3491" t="s">
        <v>3803</v>
      </c>
      <c r="K33" s="3493" t="s">
        <v>3664</v>
      </c>
      <c r="L33" s="3492">
        <v>48.03</v>
      </c>
      <c r="M33" s="3490">
        <v>7</v>
      </c>
      <c r="N33" s="3490" t="s">
        <v>3467</v>
      </c>
      <c r="O33" s="3490">
        <v>37.29</v>
      </c>
      <c r="P33" s="3490" t="s">
        <v>3468</v>
      </c>
      <c r="Q33" s="3494">
        <v>353021</v>
      </c>
      <c r="R33" s="3492">
        <v>7350</v>
      </c>
      <c r="S33" s="3492">
        <v>34.979999999999997</v>
      </c>
      <c r="T33" s="3517">
        <v>349800</v>
      </c>
      <c r="U33" s="3494">
        <v>7285</v>
      </c>
      <c r="V33" s="3514">
        <v>0.05</v>
      </c>
      <c r="W33" s="3497">
        <v>33.229999999999997</v>
      </c>
      <c r="X33" s="3549">
        <v>332300</v>
      </c>
      <c r="Y33" s="3499">
        <v>2004</v>
      </c>
      <c r="Z33" s="3490">
        <v>5</v>
      </c>
      <c r="AA33" s="3490">
        <v>14</v>
      </c>
      <c r="AB33" s="3489">
        <v>1745</v>
      </c>
      <c r="AC33" s="3490" t="s">
        <v>3720</v>
      </c>
      <c r="AD33" s="3489"/>
      <c r="AE33" s="3499" t="s">
        <v>3446</v>
      </c>
      <c r="AF33" s="3490" t="s">
        <v>3586</v>
      </c>
      <c r="AG33" s="3500" t="s">
        <v>3447</v>
      </c>
      <c r="AH33" s="3489"/>
      <c r="AI33" s="3490" t="s">
        <v>3448</v>
      </c>
      <c r="AJ33" s="3550">
        <v>38107</v>
      </c>
      <c r="AK33" s="3501">
        <v>5</v>
      </c>
      <c r="AL33" s="3499">
        <v>67641700</v>
      </c>
      <c r="AM33" s="3499"/>
      <c r="AN33" s="3502" t="s">
        <v>3461</v>
      </c>
      <c r="AO33" s="3490" t="s">
        <v>3657</v>
      </c>
      <c r="AP33" s="3499" t="s">
        <v>3450</v>
      </c>
      <c r="AQ33" s="3499" t="s">
        <v>3451</v>
      </c>
      <c r="AR33" s="3499"/>
      <c r="AS33" s="3499"/>
      <c r="AT33" s="3499"/>
      <c r="AU33" s="3499"/>
      <c r="AV33" s="3499"/>
      <c r="AW33" s="3499" t="s">
        <v>3452</v>
      </c>
      <c r="AX33" s="3499"/>
      <c r="AY33" s="3503" t="s">
        <v>3804</v>
      </c>
      <c r="AZ33" s="3490" t="s">
        <v>3664</v>
      </c>
      <c r="BA33" s="3499" t="s">
        <v>3678</v>
      </c>
      <c r="BB33" s="3503" t="s">
        <v>3699</v>
      </c>
      <c r="BC33" s="3499" t="s">
        <v>3689</v>
      </c>
      <c r="BD33" s="3504" t="s">
        <v>3657</v>
      </c>
      <c r="BE33" s="3499">
        <v>68706390</v>
      </c>
      <c r="BF33" s="3558">
        <v>2.8</v>
      </c>
      <c r="BG33" s="3555">
        <v>38040</v>
      </c>
      <c r="BH33" s="3499"/>
      <c r="BI33" s="3502" t="s">
        <v>3569</v>
      </c>
      <c r="BJ33" s="3512">
        <v>38115</v>
      </c>
      <c r="BK33" s="3512">
        <v>38072</v>
      </c>
      <c r="BL33" s="3490" t="s">
        <v>3454</v>
      </c>
      <c r="BM33" s="3499"/>
      <c r="BN33" s="3499"/>
      <c r="BO33" s="3499"/>
      <c r="BP33" s="3499"/>
      <c r="BQ33" s="3499">
        <v>9383</v>
      </c>
      <c r="BR33" s="3499">
        <v>9467</v>
      </c>
    </row>
    <row r="34" spans="1:253" s="3509" customFormat="1" ht="12" hidden="1">
      <c r="A34" s="3489" t="s">
        <v>3805</v>
      </c>
      <c r="B34" s="3490" t="s">
        <v>3806</v>
      </c>
      <c r="C34" s="3491" t="s">
        <v>3807</v>
      </c>
      <c r="D34" s="3491" t="s">
        <v>3808</v>
      </c>
      <c r="E34" s="3490" t="s">
        <v>3553</v>
      </c>
      <c r="F34" s="3490" t="s">
        <v>3656</v>
      </c>
      <c r="G34" s="3490"/>
      <c r="H34" s="3513" t="s">
        <v>3668</v>
      </c>
      <c r="I34" s="3490" t="s">
        <v>3809</v>
      </c>
      <c r="J34" s="3491" t="s">
        <v>3810</v>
      </c>
      <c r="K34" s="3490" t="s">
        <v>3664</v>
      </c>
      <c r="L34" s="3492">
        <v>48.52</v>
      </c>
      <c r="M34" s="3490">
        <v>4</v>
      </c>
      <c r="N34" s="3490" t="s">
        <v>3467</v>
      </c>
      <c r="O34" s="3490">
        <v>37.67</v>
      </c>
      <c r="P34" s="3490" t="s">
        <v>3468</v>
      </c>
      <c r="Q34" s="3494">
        <v>344492</v>
      </c>
      <c r="R34" s="3492">
        <v>7100</v>
      </c>
      <c r="S34" s="3492">
        <v>34.130000000000003</v>
      </c>
      <c r="T34" s="3517">
        <v>341300</v>
      </c>
      <c r="U34" s="3494">
        <v>7035</v>
      </c>
      <c r="V34" s="3514">
        <v>0.05</v>
      </c>
      <c r="W34" s="3497">
        <v>32.42</v>
      </c>
      <c r="X34" s="3549">
        <v>324200</v>
      </c>
      <c r="Y34" s="3499">
        <v>2004</v>
      </c>
      <c r="Z34" s="3490">
        <v>5</v>
      </c>
      <c r="AA34" s="3490">
        <v>13</v>
      </c>
      <c r="AB34" s="3489">
        <v>1705</v>
      </c>
      <c r="AC34" s="3490" t="s">
        <v>3720</v>
      </c>
      <c r="AD34" s="3489"/>
      <c r="AE34" s="3499" t="s">
        <v>3446</v>
      </c>
      <c r="AF34" s="3490" t="s">
        <v>3586</v>
      </c>
      <c r="AG34" s="3500" t="s">
        <v>3447</v>
      </c>
      <c r="AH34" s="3489"/>
      <c r="AI34" s="3490" t="s">
        <v>3448</v>
      </c>
      <c r="AJ34" s="3550">
        <v>38107</v>
      </c>
      <c r="AK34" s="3501">
        <v>5</v>
      </c>
      <c r="AL34" s="3499">
        <v>67641700</v>
      </c>
      <c r="AM34" s="3499"/>
      <c r="AN34" s="3502" t="s">
        <v>3747</v>
      </c>
      <c r="AO34" s="3490" t="s">
        <v>3657</v>
      </c>
      <c r="AP34" s="3499" t="s">
        <v>3450</v>
      </c>
      <c r="AQ34" s="3499" t="s">
        <v>3451</v>
      </c>
      <c r="AR34" s="3499"/>
      <c r="AS34" s="3499"/>
      <c r="AT34" s="3499"/>
      <c r="AU34" s="3499"/>
      <c r="AV34" s="3499"/>
      <c r="AW34" s="3499" t="s">
        <v>3452</v>
      </c>
      <c r="AX34" s="3499"/>
      <c r="AY34" s="3503" t="s">
        <v>3811</v>
      </c>
      <c r="AZ34" s="3490" t="s">
        <v>3664</v>
      </c>
      <c r="BA34" s="3499" t="s">
        <v>3678</v>
      </c>
      <c r="BB34" s="3503" t="s">
        <v>3699</v>
      </c>
      <c r="BC34" s="3499" t="s">
        <v>3689</v>
      </c>
      <c r="BD34" s="3504" t="s">
        <v>3657</v>
      </c>
      <c r="BE34" s="3499">
        <v>68706390</v>
      </c>
      <c r="BF34" s="3558">
        <v>2.8</v>
      </c>
      <c r="BG34" s="3555">
        <v>38072</v>
      </c>
      <c r="BH34" s="3499"/>
      <c r="BI34" s="3506" t="s">
        <v>3450</v>
      </c>
      <c r="BJ34" s="3512">
        <v>38117</v>
      </c>
      <c r="BK34" s="3512">
        <v>38117</v>
      </c>
      <c r="BL34" s="3490" t="s">
        <v>3454</v>
      </c>
      <c r="BM34" s="3499"/>
      <c r="BN34" s="3499"/>
      <c r="BO34" s="3499"/>
      <c r="BP34" s="3499"/>
      <c r="BQ34" s="3499">
        <v>9061</v>
      </c>
      <c r="BR34" s="3499">
        <v>9145</v>
      </c>
    </row>
    <row r="35" spans="1:253" s="3509" customFormat="1" ht="12" hidden="1">
      <c r="A35" s="3489" t="s">
        <v>3812</v>
      </c>
      <c r="B35" s="3490" t="s">
        <v>3813</v>
      </c>
      <c r="C35" s="3491" t="s">
        <v>3814</v>
      </c>
      <c r="D35" s="3491" t="s">
        <v>3815</v>
      </c>
      <c r="E35" s="3490" t="s">
        <v>3542</v>
      </c>
      <c r="F35" s="3490" t="s">
        <v>3684</v>
      </c>
      <c r="G35" s="3490"/>
      <c r="H35" s="3502" t="s">
        <v>3657</v>
      </c>
      <c r="I35" s="3490" t="s">
        <v>3470</v>
      </c>
      <c r="J35" s="3491" t="s">
        <v>3816</v>
      </c>
      <c r="K35" s="3493" t="s">
        <v>3664</v>
      </c>
      <c r="L35" s="3492">
        <v>48.03</v>
      </c>
      <c r="M35" s="3490">
        <v>3</v>
      </c>
      <c r="N35" s="3490" t="s">
        <v>3467</v>
      </c>
      <c r="O35" s="3490">
        <v>37.29</v>
      </c>
      <c r="P35" s="3490" t="s">
        <v>3468</v>
      </c>
      <c r="Q35" s="3494">
        <v>336210</v>
      </c>
      <c r="R35" s="3492">
        <v>7000</v>
      </c>
      <c r="S35" s="3492">
        <v>33.35</v>
      </c>
      <c r="T35" s="3517">
        <v>333500</v>
      </c>
      <c r="U35" s="3494">
        <v>6945</v>
      </c>
      <c r="V35" s="3514">
        <v>0.05</v>
      </c>
      <c r="W35" s="3497">
        <v>31.68</v>
      </c>
      <c r="X35" s="3549">
        <v>316800</v>
      </c>
      <c r="Y35" s="3499">
        <v>2004</v>
      </c>
      <c r="Z35" s="3490">
        <v>5</v>
      </c>
      <c r="AA35" s="3490">
        <v>14</v>
      </c>
      <c r="AB35" s="3489">
        <v>1665</v>
      </c>
      <c r="AC35" s="3490" t="s">
        <v>3720</v>
      </c>
      <c r="AD35" s="3489"/>
      <c r="AE35" s="3499" t="s">
        <v>3446</v>
      </c>
      <c r="AF35" s="3490" t="s">
        <v>3472</v>
      </c>
      <c r="AG35" s="3500" t="s">
        <v>3447</v>
      </c>
      <c r="AH35" s="3489"/>
      <c r="AI35" s="3490" t="s">
        <v>3448</v>
      </c>
      <c r="AJ35" s="3550">
        <v>38107</v>
      </c>
      <c r="AK35" s="3501">
        <v>5</v>
      </c>
      <c r="AL35" s="3499">
        <v>67641700</v>
      </c>
      <c r="AM35" s="3499"/>
      <c r="AN35" s="3502" t="s">
        <v>3461</v>
      </c>
      <c r="AO35" s="3490" t="s">
        <v>3657</v>
      </c>
      <c r="AP35" s="3499" t="s">
        <v>3450</v>
      </c>
      <c r="AQ35" s="3499" t="s">
        <v>3451</v>
      </c>
      <c r="AR35" s="3499"/>
      <c r="AS35" s="3499"/>
      <c r="AT35" s="3499"/>
      <c r="AU35" s="3499"/>
      <c r="AV35" s="3499"/>
      <c r="AW35" s="3499" t="s">
        <v>3452</v>
      </c>
      <c r="AX35" s="3499"/>
      <c r="AY35" s="3503" t="s">
        <v>3817</v>
      </c>
      <c r="AZ35" s="3490" t="s">
        <v>3664</v>
      </c>
      <c r="BA35" s="3499" t="s">
        <v>3678</v>
      </c>
      <c r="BB35" s="3503" t="s">
        <v>3699</v>
      </c>
      <c r="BC35" s="3499" t="s">
        <v>3689</v>
      </c>
      <c r="BD35" s="3504" t="s">
        <v>3657</v>
      </c>
      <c r="BE35" s="3499">
        <v>68706390</v>
      </c>
      <c r="BF35" s="3558">
        <v>2.8</v>
      </c>
      <c r="BG35" s="3555">
        <v>38073</v>
      </c>
      <c r="BH35" s="3499"/>
      <c r="BI35" s="3502" t="s">
        <v>3569</v>
      </c>
      <c r="BJ35" s="3512">
        <v>38119</v>
      </c>
      <c r="BK35" s="3512">
        <v>38099</v>
      </c>
      <c r="BL35" s="3490" t="s">
        <v>3454</v>
      </c>
      <c r="BM35" s="3499"/>
      <c r="BN35" s="3499"/>
      <c r="BO35" s="3499"/>
      <c r="BP35" s="3499"/>
      <c r="BQ35" s="3499">
        <v>8945</v>
      </c>
      <c r="BR35" s="3499">
        <v>9016</v>
      </c>
    </row>
    <row r="36" spans="1:253" s="3509" customFormat="1" ht="12" hidden="1">
      <c r="A36" s="3489" t="s">
        <v>3818</v>
      </c>
      <c r="B36" s="3490" t="s">
        <v>3819</v>
      </c>
      <c r="C36" s="3491" t="s">
        <v>3820</v>
      </c>
      <c r="D36" s="3491" t="s">
        <v>3821</v>
      </c>
      <c r="E36" s="3490" t="s">
        <v>3542</v>
      </c>
      <c r="F36" s="3490" t="s">
        <v>3684</v>
      </c>
      <c r="G36" s="3490"/>
      <c r="H36" s="3502" t="s">
        <v>3668</v>
      </c>
      <c r="I36" s="3490" t="s">
        <v>3695</v>
      </c>
      <c r="J36" s="3491" t="s">
        <v>3822</v>
      </c>
      <c r="K36" s="3493" t="s">
        <v>3664</v>
      </c>
      <c r="L36" s="3492">
        <v>48.48</v>
      </c>
      <c r="M36" s="3490">
        <v>2</v>
      </c>
      <c r="N36" s="3490" t="s">
        <v>3467</v>
      </c>
      <c r="O36" s="3490">
        <v>37.64</v>
      </c>
      <c r="P36" s="3490" t="s">
        <v>3468</v>
      </c>
      <c r="Q36" s="3494">
        <v>339360</v>
      </c>
      <c r="R36" s="3492">
        <v>7000</v>
      </c>
      <c r="S36" s="3492">
        <v>33.69</v>
      </c>
      <c r="T36" s="3517">
        <v>336900</v>
      </c>
      <c r="U36" s="3494">
        <v>6950</v>
      </c>
      <c r="V36" s="3514">
        <v>0.05</v>
      </c>
      <c r="W36" s="3497">
        <v>32</v>
      </c>
      <c r="X36" s="3549">
        <v>320000</v>
      </c>
      <c r="Y36" s="3499">
        <v>2004</v>
      </c>
      <c r="Z36" s="3490">
        <v>5</v>
      </c>
      <c r="AA36" s="3490">
        <v>17</v>
      </c>
      <c r="AB36" s="3489">
        <v>1680</v>
      </c>
      <c r="AC36" s="3490" t="s">
        <v>3713</v>
      </c>
      <c r="AD36" s="3489"/>
      <c r="AE36" s="3499" t="s">
        <v>3446</v>
      </c>
      <c r="AF36" s="3490" t="s">
        <v>3586</v>
      </c>
      <c r="AG36" s="3500" t="s">
        <v>3447</v>
      </c>
      <c r="AH36" s="3489"/>
      <c r="AI36" s="3490" t="s">
        <v>3448</v>
      </c>
      <c r="AJ36" s="3550">
        <v>38107</v>
      </c>
      <c r="AK36" s="3501">
        <v>5</v>
      </c>
      <c r="AL36" s="3499">
        <v>67641700</v>
      </c>
      <c r="AM36" s="3499"/>
      <c r="AN36" s="3502" t="s">
        <v>3449</v>
      </c>
      <c r="AO36" s="3490" t="s">
        <v>3657</v>
      </c>
      <c r="AP36" s="3499" t="s">
        <v>3450</v>
      </c>
      <c r="AQ36" s="3499" t="s">
        <v>3451</v>
      </c>
      <c r="AR36" s="3499"/>
      <c r="AS36" s="3499"/>
      <c r="AT36" s="3499"/>
      <c r="AU36" s="3499"/>
      <c r="AV36" s="3499"/>
      <c r="AW36" s="3499" t="s">
        <v>3452</v>
      </c>
      <c r="AX36" s="3499"/>
      <c r="AY36" s="3503" t="s">
        <v>3823</v>
      </c>
      <c r="AZ36" s="3490" t="s">
        <v>3664</v>
      </c>
      <c r="BA36" s="3499" t="s">
        <v>3678</v>
      </c>
      <c r="BB36" s="3503" t="s">
        <v>3699</v>
      </c>
      <c r="BC36" s="3499" t="s">
        <v>3689</v>
      </c>
      <c r="BD36" s="3504" t="s">
        <v>3657</v>
      </c>
      <c r="BE36" s="3499">
        <v>68706390</v>
      </c>
      <c r="BF36" s="3558">
        <v>2.8</v>
      </c>
      <c r="BG36" s="3555">
        <v>38075</v>
      </c>
      <c r="BH36" s="3499"/>
      <c r="BI36" s="3506" t="s">
        <v>3450</v>
      </c>
      <c r="BJ36" s="3512">
        <v>38118</v>
      </c>
      <c r="BK36" s="3512">
        <v>38099</v>
      </c>
      <c r="BL36" s="3490" t="s">
        <v>3454</v>
      </c>
      <c r="BM36" s="3499"/>
      <c r="BN36" s="3499"/>
      <c r="BO36" s="3499"/>
      <c r="BP36" s="3499"/>
      <c r="BQ36" s="3499">
        <v>8952</v>
      </c>
      <c r="BR36" s="3499">
        <v>9016</v>
      </c>
    </row>
    <row r="37" spans="1:253" s="3509" customFormat="1" ht="12" hidden="1">
      <c r="A37" s="3489" t="s">
        <v>3824</v>
      </c>
      <c r="B37" s="3490" t="s">
        <v>3825</v>
      </c>
      <c r="C37" s="3491" t="s">
        <v>3826</v>
      </c>
      <c r="D37" s="3491" t="s">
        <v>3827</v>
      </c>
      <c r="E37" s="3490" t="s">
        <v>3553</v>
      </c>
      <c r="F37" s="3490" t="s">
        <v>3656</v>
      </c>
      <c r="G37" s="3490"/>
      <c r="H37" s="3502" t="s">
        <v>3657</v>
      </c>
      <c r="I37" s="3490" t="s">
        <v>3828</v>
      </c>
      <c r="J37" s="3491" t="s">
        <v>3829</v>
      </c>
      <c r="K37" s="3493" t="s">
        <v>3664</v>
      </c>
      <c r="L37" s="3492">
        <v>48.48</v>
      </c>
      <c r="M37" s="3490">
        <v>2</v>
      </c>
      <c r="N37" s="3490" t="s">
        <v>3467</v>
      </c>
      <c r="O37" s="3490">
        <v>37.64</v>
      </c>
      <c r="P37" s="3490" t="s">
        <v>3468</v>
      </c>
      <c r="Q37" s="3494">
        <v>339360</v>
      </c>
      <c r="R37" s="3492">
        <v>7000</v>
      </c>
      <c r="S37" s="3492">
        <v>33.69</v>
      </c>
      <c r="T37" s="3517">
        <v>336900</v>
      </c>
      <c r="U37" s="3494">
        <v>6950</v>
      </c>
      <c r="V37" s="3514">
        <v>0.05</v>
      </c>
      <c r="W37" s="3497">
        <v>32</v>
      </c>
      <c r="X37" s="3549">
        <v>320000</v>
      </c>
      <c r="Y37" s="3499">
        <v>2004</v>
      </c>
      <c r="Z37" s="3490">
        <v>5</v>
      </c>
      <c r="AA37" s="3490">
        <v>17</v>
      </c>
      <c r="AB37" s="3489">
        <v>1680</v>
      </c>
      <c r="AC37" s="3490" t="s">
        <v>3720</v>
      </c>
      <c r="AD37" s="3489"/>
      <c r="AE37" s="3499" t="s">
        <v>3446</v>
      </c>
      <c r="AF37" s="3490" t="s">
        <v>3472</v>
      </c>
      <c r="AG37" s="3500" t="s">
        <v>3447</v>
      </c>
      <c r="AH37" s="3489"/>
      <c r="AI37" s="3490" t="s">
        <v>3448</v>
      </c>
      <c r="AJ37" s="3550">
        <v>38107</v>
      </c>
      <c r="AK37" s="3501">
        <v>5</v>
      </c>
      <c r="AL37" s="3499">
        <v>67641700</v>
      </c>
      <c r="AM37" s="3499"/>
      <c r="AN37" s="3502" t="s">
        <v>3449</v>
      </c>
      <c r="AO37" s="3490" t="s">
        <v>3657</v>
      </c>
      <c r="AP37" s="3499" t="s">
        <v>3450</v>
      </c>
      <c r="AQ37" s="3499" t="s">
        <v>3451</v>
      </c>
      <c r="AR37" s="3499"/>
      <c r="AS37" s="3499"/>
      <c r="AT37" s="3499"/>
      <c r="AU37" s="3499"/>
      <c r="AV37" s="3499"/>
      <c r="AW37" s="3499" t="s">
        <v>3452</v>
      </c>
      <c r="AX37" s="3499"/>
      <c r="AY37" s="3503" t="s">
        <v>3830</v>
      </c>
      <c r="AZ37" s="3490" t="s">
        <v>3664</v>
      </c>
      <c r="BA37" s="3499" t="s">
        <v>3665</v>
      </c>
      <c r="BB37" s="3503" t="s">
        <v>3699</v>
      </c>
      <c r="BC37" s="3499" t="s">
        <v>3689</v>
      </c>
      <c r="BD37" s="3504" t="s">
        <v>3657</v>
      </c>
      <c r="BE37" s="3499">
        <v>68706390</v>
      </c>
      <c r="BF37" s="3558">
        <v>2.8</v>
      </c>
      <c r="BG37" s="3555">
        <v>38075</v>
      </c>
      <c r="BH37" s="3499"/>
      <c r="BI37" s="3506" t="s">
        <v>3450</v>
      </c>
      <c r="BJ37" s="3512">
        <v>38118</v>
      </c>
      <c r="BK37" s="3512">
        <v>38099</v>
      </c>
      <c r="BL37" s="3490" t="s">
        <v>3454</v>
      </c>
      <c r="BM37" s="3499"/>
      <c r="BN37" s="3499"/>
      <c r="BO37" s="3499"/>
      <c r="BP37" s="3499"/>
      <c r="BQ37" s="3499">
        <v>8952</v>
      </c>
      <c r="BR37" s="3499">
        <v>9016</v>
      </c>
    </row>
    <row r="38" spans="1:253" s="3509" customFormat="1" ht="12" hidden="1">
      <c r="A38" s="3489" t="s">
        <v>3831</v>
      </c>
      <c r="B38" s="3490" t="s">
        <v>3832</v>
      </c>
      <c r="C38" s="3491" t="s">
        <v>3833</v>
      </c>
      <c r="D38" s="3491" t="s">
        <v>3834</v>
      </c>
      <c r="E38" s="3490" t="s">
        <v>3553</v>
      </c>
      <c r="F38" s="3490" t="s">
        <v>3684</v>
      </c>
      <c r="G38" s="3490"/>
      <c r="H38" s="3502" t="s">
        <v>3657</v>
      </c>
      <c r="I38" s="3490" t="s">
        <v>3809</v>
      </c>
      <c r="J38" s="3491" t="s">
        <v>3835</v>
      </c>
      <c r="K38" s="3493" t="s">
        <v>3664</v>
      </c>
      <c r="L38" s="3492">
        <v>48.03</v>
      </c>
      <c r="M38" s="3490">
        <v>4</v>
      </c>
      <c r="N38" s="3490" t="s">
        <v>3661</v>
      </c>
      <c r="O38" s="3490">
        <v>37.29</v>
      </c>
      <c r="P38" s="3490" t="s">
        <v>3662</v>
      </c>
      <c r="Q38" s="3494">
        <v>343415</v>
      </c>
      <c r="R38" s="3492">
        <v>7150</v>
      </c>
      <c r="S38" s="3492">
        <v>34.1</v>
      </c>
      <c r="T38" s="3517">
        <v>341000</v>
      </c>
      <c r="U38" s="3494">
        <v>7100</v>
      </c>
      <c r="V38" s="3514">
        <v>0.05</v>
      </c>
      <c r="W38" s="3497">
        <v>32.39</v>
      </c>
      <c r="X38" s="3549">
        <v>323900</v>
      </c>
      <c r="Y38" s="3499">
        <v>2004</v>
      </c>
      <c r="Z38" s="3490">
        <v>5</v>
      </c>
      <c r="AA38" s="3490">
        <v>20</v>
      </c>
      <c r="AB38" s="3489">
        <v>1705</v>
      </c>
      <c r="AC38" s="3490" t="s">
        <v>3720</v>
      </c>
      <c r="AD38" s="3489"/>
      <c r="AE38" s="3499" t="s">
        <v>3446</v>
      </c>
      <c r="AF38" s="3490" t="s">
        <v>3472</v>
      </c>
      <c r="AG38" s="3500" t="s">
        <v>3447</v>
      </c>
      <c r="AH38" s="3489"/>
      <c r="AI38" s="3490" t="s">
        <v>3448</v>
      </c>
      <c r="AJ38" s="3550">
        <v>38107</v>
      </c>
      <c r="AK38" s="3501">
        <v>5</v>
      </c>
      <c r="AL38" s="3499">
        <v>67641700</v>
      </c>
      <c r="AM38" s="3499"/>
      <c r="AN38" s="3502" t="s">
        <v>3449</v>
      </c>
      <c r="AO38" s="3490" t="s">
        <v>3657</v>
      </c>
      <c r="AP38" s="3499" t="s">
        <v>3450</v>
      </c>
      <c r="AQ38" s="3499" t="s">
        <v>3451</v>
      </c>
      <c r="AR38" s="3499"/>
      <c r="AS38" s="3499"/>
      <c r="AT38" s="3499"/>
      <c r="AU38" s="3499"/>
      <c r="AV38" s="3499"/>
      <c r="AW38" s="3499" t="s">
        <v>3452</v>
      </c>
      <c r="AX38" s="3499"/>
      <c r="AY38" s="3503" t="s">
        <v>3836</v>
      </c>
      <c r="AZ38" s="3490" t="s">
        <v>3664</v>
      </c>
      <c r="BA38" s="3499" t="s">
        <v>3678</v>
      </c>
      <c r="BB38" s="3503" t="s">
        <v>3699</v>
      </c>
      <c r="BC38" s="3499" t="s">
        <v>3689</v>
      </c>
      <c r="BD38" s="3504" t="s">
        <v>3657</v>
      </c>
      <c r="BE38" s="3499">
        <v>68706390</v>
      </c>
      <c r="BF38" s="3558">
        <v>2.8</v>
      </c>
      <c r="BG38" s="3555">
        <v>38047</v>
      </c>
      <c r="BH38" s="3499"/>
      <c r="BI38" s="3506" t="s">
        <v>3450</v>
      </c>
      <c r="BJ38" s="3512">
        <v>38119</v>
      </c>
      <c r="BK38" s="3512">
        <v>38115</v>
      </c>
      <c r="BL38" s="3490" t="s">
        <v>3454</v>
      </c>
      <c r="BM38" s="3499"/>
      <c r="BN38" s="3499"/>
      <c r="BO38" s="3499"/>
      <c r="BP38" s="3499"/>
      <c r="BQ38" s="3499">
        <v>9145</v>
      </c>
      <c r="BR38" s="3499">
        <v>9209</v>
      </c>
    </row>
    <row r="39" spans="1:253" s="3556" customFormat="1" ht="12" hidden="1">
      <c r="A39" s="3489" t="s">
        <v>3837</v>
      </c>
      <c r="B39" s="3490" t="s">
        <v>3838</v>
      </c>
      <c r="C39" s="3491" t="s">
        <v>3839</v>
      </c>
      <c r="D39" s="3491" t="s">
        <v>3840</v>
      </c>
      <c r="E39" s="3490" t="s">
        <v>3553</v>
      </c>
      <c r="F39" s="3490" t="s">
        <v>3684</v>
      </c>
      <c r="G39" s="3490"/>
      <c r="H39" s="3490" t="s">
        <v>3657</v>
      </c>
      <c r="I39" s="3490" t="s">
        <v>3674</v>
      </c>
      <c r="J39" s="3491" t="s">
        <v>3841</v>
      </c>
      <c r="K39" s="3490" t="s">
        <v>3664</v>
      </c>
      <c r="L39" s="3492">
        <v>48.03</v>
      </c>
      <c r="M39" s="3490">
        <v>6</v>
      </c>
      <c r="N39" s="3490" t="s">
        <v>3467</v>
      </c>
      <c r="O39" s="3490">
        <v>37.29</v>
      </c>
      <c r="P39" s="3490" t="s">
        <v>3468</v>
      </c>
      <c r="Q39" s="3494">
        <v>343415</v>
      </c>
      <c r="R39" s="3492">
        <v>7150</v>
      </c>
      <c r="S39" s="3492">
        <v>34.1</v>
      </c>
      <c r="T39" s="3517">
        <v>341000</v>
      </c>
      <c r="U39" s="3494">
        <v>7100</v>
      </c>
      <c r="V39" s="3514">
        <v>0.05</v>
      </c>
      <c r="W39" s="3497">
        <v>32.39</v>
      </c>
      <c r="X39" s="3549">
        <v>323900</v>
      </c>
      <c r="Y39" s="3499">
        <v>2004</v>
      </c>
      <c r="Z39" s="3490">
        <v>5</v>
      </c>
      <c r="AA39" s="3499">
        <v>26</v>
      </c>
      <c r="AB39" s="3489">
        <v>1705</v>
      </c>
      <c r="AC39" s="3490" t="s">
        <v>3842</v>
      </c>
      <c r="AD39" s="3489"/>
      <c r="AE39" s="3499" t="s">
        <v>3446</v>
      </c>
      <c r="AF39" s="3490" t="s">
        <v>3472</v>
      </c>
      <c r="AG39" s="3500" t="s">
        <v>3447</v>
      </c>
      <c r="AH39" s="3489"/>
      <c r="AI39" s="3490" t="s">
        <v>3448</v>
      </c>
      <c r="AJ39" s="3550" t="s">
        <v>3657</v>
      </c>
      <c r="AK39" s="3501">
        <v>5</v>
      </c>
      <c r="AL39" s="3499">
        <v>67641700</v>
      </c>
      <c r="AM39" s="3499"/>
      <c r="AN39" s="3502" t="s">
        <v>3456</v>
      </c>
      <c r="AO39" s="3490" t="s">
        <v>3657</v>
      </c>
      <c r="AP39" s="3499" t="s">
        <v>3450</v>
      </c>
      <c r="AQ39" s="3499" t="s">
        <v>3451</v>
      </c>
      <c r="AR39" s="3499"/>
      <c r="AS39" s="3499"/>
      <c r="AT39" s="3499"/>
      <c r="AU39" s="3499"/>
      <c r="AV39" s="3499"/>
      <c r="AW39" s="3499" t="s">
        <v>3452</v>
      </c>
      <c r="AX39" s="3499"/>
      <c r="AY39" s="3503" t="s">
        <v>3843</v>
      </c>
      <c r="AZ39" s="3490" t="s">
        <v>3664</v>
      </c>
      <c r="BA39" s="3499" t="s">
        <v>3678</v>
      </c>
      <c r="BB39" s="3503" t="s">
        <v>3666</v>
      </c>
      <c r="BC39" s="3499" t="s">
        <v>3689</v>
      </c>
      <c r="BD39" s="3504" t="s">
        <v>3657</v>
      </c>
      <c r="BE39" s="3499">
        <v>68706390</v>
      </c>
      <c r="BF39" s="3558">
        <v>2.8</v>
      </c>
      <c r="BG39" s="3555">
        <v>38050</v>
      </c>
      <c r="BH39" s="3499"/>
      <c r="BI39" s="3506" t="s">
        <v>3450</v>
      </c>
      <c r="BJ39" s="3512">
        <v>38121</v>
      </c>
      <c r="BK39" s="3512">
        <v>38115</v>
      </c>
      <c r="BL39" s="3490" t="s">
        <v>3454</v>
      </c>
      <c r="BM39" s="3499"/>
      <c r="BN39" s="3499"/>
      <c r="BO39" s="3499"/>
      <c r="BP39" s="3499"/>
      <c r="BQ39" s="3499">
        <v>9145</v>
      </c>
      <c r="BR39" s="3499">
        <v>9209</v>
      </c>
      <c r="BS39" s="3509"/>
      <c r="BT39" s="3509"/>
      <c r="BU39" s="3509"/>
      <c r="BV39" s="3510"/>
      <c r="BW39" s="3510"/>
      <c r="BX39" s="3510"/>
      <c r="BY39" s="3510"/>
      <c r="BZ39" s="3510"/>
      <c r="CA39" s="3510"/>
      <c r="CB39" s="3510"/>
      <c r="CC39" s="3510"/>
      <c r="CD39" s="3510"/>
      <c r="CE39" s="3510"/>
      <c r="CF39" s="3510"/>
      <c r="CG39" s="3510"/>
      <c r="CH39" s="3510"/>
      <c r="CI39" s="3510"/>
      <c r="CJ39" s="3510"/>
      <c r="CK39" s="3510"/>
      <c r="CL39" s="3510"/>
      <c r="CM39" s="3510"/>
      <c r="CN39" s="3510"/>
      <c r="CO39" s="3510"/>
      <c r="CP39" s="3510"/>
      <c r="CQ39" s="3510"/>
      <c r="CR39" s="3510"/>
      <c r="CS39" s="3510"/>
      <c r="CT39" s="3510"/>
      <c r="CU39" s="3510"/>
      <c r="CV39" s="3510"/>
      <c r="CW39" s="3510"/>
      <c r="CX39" s="3510"/>
      <c r="CY39" s="3510"/>
      <c r="CZ39" s="3510"/>
      <c r="DA39" s="3510"/>
      <c r="DB39" s="3510"/>
      <c r="DC39" s="3510"/>
      <c r="DD39" s="3510"/>
      <c r="DE39" s="3510"/>
      <c r="DF39" s="3510"/>
      <c r="DG39" s="3510"/>
      <c r="DH39" s="3510"/>
      <c r="DI39" s="3510"/>
      <c r="DJ39" s="3510"/>
      <c r="DK39" s="3510"/>
      <c r="DL39" s="3510"/>
      <c r="DM39" s="3510"/>
      <c r="DN39" s="3510"/>
      <c r="DO39" s="3510"/>
      <c r="DP39" s="3510"/>
      <c r="DQ39" s="3510"/>
      <c r="DR39" s="3510"/>
      <c r="DS39" s="3510"/>
      <c r="DT39" s="3510"/>
      <c r="DU39" s="3510"/>
      <c r="DV39" s="3510"/>
      <c r="DW39" s="3510"/>
      <c r="DX39" s="3510"/>
      <c r="DY39" s="3510"/>
      <c r="DZ39" s="3510"/>
      <c r="EA39" s="3510"/>
      <c r="EB39" s="3510"/>
      <c r="EC39" s="3510"/>
      <c r="ED39" s="3510"/>
      <c r="EE39" s="3510"/>
      <c r="EF39" s="3510"/>
      <c r="EG39" s="3510"/>
      <c r="EH39" s="3510"/>
      <c r="EI39" s="3510"/>
      <c r="EJ39" s="3510"/>
      <c r="EK39" s="3510"/>
      <c r="EL39" s="3510"/>
      <c r="EM39" s="3510"/>
      <c r="EN39" s="3510"/>
      <c r="EO39" s="3510"/>
      <c r="EP39" s="3510"/>
      <c r="EQ39" s="3510"/>
      <c r="ER39" s="3510"/>
      <c r="ES39" s="3510"/>
      <c r="ET39" s="3510"/>
      <c r="EU39" s="3510"/>
      <c r="EV39" s="3510"/>
      <c r="EW39" s="3510"/>
      <c r="EX39" s="3510"/>
      <c r="EY39" s="3510"/>
      <c r="EZ39" s="3510"/>
      <c r="FA39" s="3510"/>
      <c r="FB39" s="3510"/>
      <c r="FC39" s="3510"/>
      <c r="FD39" s="3510"/>
      <c r="FE39" s="3510"/>
      <c r="FF39" s="3510"/>
      <c r="FG39" s="3510"/>
      <c r="FH39" s="3510"/>
      <c r="FI39" s="3510"/>
      <c r="FJ39" s="3510"/>
      <c r="FK39" s="3510"/>
      <c r="FL39" s="3510"/>
      <c r="FM39" s="3510"/>
      <c r="FN39" s="3510"/>
      <c r="FO39" s="3510"/>
      <c r="FP39" s="3510"/>
      <c r="FQ39" s="3510"/>
      <c r="FR39" s="3510"/>
      <c r="FS39" s="3510"/>
      <c r="FT39" s="3510"/>
      <c r="FU39" s="3510"/>
      <c r="FV39" s="3510"/>
      <c r="FW39" s="3510"/>
      <c r="FX39" s="3510"/>
      <c r="FY39" s="3510"/>
      <c r="FZ39" s="3510"/>
      <c r="GA39" s="3510"/>
      <c r="GB39" s="3510"/>
      <c r="GC39" s="3510"/>
      <c r="GD39" s="3510"/>
      <c r="GE39" s="3510"/>
      <c r="GF39" s="3510"/>
      <c r="GG39" s="3510"/>
      <c r="GH39" s="3510"/>
      <c r="GI39" s="3510"/>
      <c r="GJ39" s="3510"/>
      <c r="GK39" s="3510"/>
      <c r="GL39" s="3510"/>
      <c r="GM39" s="3510"/>
      <c r="GN39" s="3510"/>
      <c r="GO39" s="3510"/>
      <c r="GP39" s="3510"/>
      <c r="GQ39" s="3510"/>
      <c r="GR39" s="3510"/>
      <c r="GS39" s="3510"/>
      <c r="GT39" s="3510"/>
      <c r="GU39" s="3510"/>
      <c r="GV39" s="3510"/>
      <c r="GW39" s="3510"/>
      <c r="GX39" s="3510"/>
      <c r="GY39" s="3510"/>
      <c r="GZ39" s="3510"/>
      <c r="HA39" s="3510"/>
      <c r="HB39" s="3510"/>
      <c r="HC39" s="3510"/>
      <c r="HD39" s="3510"/>
      <c r="HE39" s="3510"/>
      <c r="HF39" s="3510"/>
      <c r="HG39" s="3510"/>
      <c r="HH39" s="3510"/>
      <c r="HI39" s="3510"/>
      <c r="HJ39" s="3510"/>
      <c r="HK39" s="3510"/>
      <c r="HL39" s="3510"/>
      <c r="HM39" s="3510"/>
      <c r="HN39" s="3510"/>
      <c r="HO39" s="3510"/>
      <c r="HP39" s="3510"/>
      <c r="HQ39" s="3510"/>
      <c r="HR39" s="3510"/>
      <c r="HS39" s="3510"/>
      <c r="HT39" s="3510"/>
      <c r="HU39" s="3510"/>
      <c r="HV39" s="3510"/>
      <c r="HW39" s="3510"/>
      <c r="HX39" s="3510"/>
      <c r="HY39" s="3510"/>
      <c r="HZ39" s="3510"/>
      <c r="IA39" s="3510"/>
      <c r="IB39" s="3510"/>
      <c r="IC39" s="3510"/>
      <c r="ID39" s="3510"/>
      <c r="IE39" s="3510"/>
      <c r="IF39" s="3510"/>
      <c r="IG39" s="3510"/>
      <c r="IH39" s="3510"/>
      <c r="II39" s="3510"/>
      <c r="IJ39" s="3510"/>
      <c r="IK39" s="3510"/>
      <c r="IL39" s="3510"/>
      <c r="IM39" s="3510"/>
      <c r="IN39" s="3510"/>
      <c r="IO39" s="3510"/>
      <c r="IP39" s="3510"/>
      <c r="IQ39" s="3510"/>
      <c r="IR39" s="3510"/>
      <c r="IS39" s="3510"/>
    </row>
    <row r="40" spans="1:253" s="3509" customFormat="1" ht="12" hidden="1">
      <c r="A40" s="3489" t="s">
        <v>3844</v>
      </c>
      <c r="B40" s="3490" t="s">
        <v>3845</v>
      </c>
      <c r="C40" s="3491" t="s">
        <v>3846</v>
      </c>
      <c r="D40" s="3491" t="s">
        <v>3847</v>
      </c>
      <c r="E40" s="3490" t="s">
        <v>3542</v>
      </c>
      <c r="F40" s="3490" t="s">
        <v>3684</v>
      </c>
      <c r="G40" s="3490"/>
      <c r="H40" s="3502" t="s">
        <v>3657</v>
      </c>
      <c r="I40" s="3490" t="s">
        <v>3848</v>
      </c>
      <c r="J40" s="3491" t="s">
        <v>3849</v>
      </c>
      <c r="K40" s="3493" t="s">
        <v>3664</v>
      </c>
      <c r="L40" s="3492">
        <v>48.52</v>
      </c>
      <c r="M40" s="3490">
        <v>5</v>
      </c>
      <c r="N40" s="3490" t="s">
        <v>3467</v>
      </c>
      <c r="O40" s="3490">
        <v>37.67</v>
      </c>
      <c r="P40" s="3490" t="s">
        <v>3468</v>
      </c>
      <c r="Q40" s="3494">
        <v>349344</v>
      </c>
      <c r="R40" s="3492">
        <v>7200</v>
      </c>
      <c r="S40" s="3492">
        <v>34.659999999999997</v>
      </c>
      <c r="T40" s="3517">
        <v>346600</v>
      </c>
      <c r="U40" s="3494">
        <v>7145</v>
      </c>
      <c r="V40" s="3514">
        <v>0.05</v>
      </c>
      <c r="W40" s="3497">
        <v>32.92</v>
      </c>
      <c r="X40" s="3549">
        <v>329200</v>
      </c>
      <c r="Y40" s="3499">
        <v>2004</v>
      </c>
      <c r="Z40" s="3490">
        <v>5</v>
      </c>
      <c r="AA40" s="3490">
        <v>19</v>
      </c>
      <c r="AB40" s="3489">
        <v>1730</v>
      </c>
      <c r="AC40" s="3490" t="s">
        <v>3720</v>
      </c>
      <c r="AD40" s="3489"/>
      <c r="AE40" s="3499" t="s">
        <v>3446</v>
      </c>
      <c r="AF40" s="3490" t="s">
        <v>3472</v>
      </c>
      <c r="AG40" s="3500" t="s">
        <v>3447</v>
      </c>
      <c r="AH40" s="3489"/>
      <c r="AI40" s="3490" t="s">
        <v>3448</v>
      </c>
      <c r="AJ40" s="3550">
        <v>38107</v>
      </c>
      <c r="AK40" s="3501">
        <v>5</v>
      </c>
      <c r="AL40" s="3499">
        <v>67641700</v>
      </c>
      <c r="AM40" s="3499"/>
      <c r="AN40" s="3502" t="s">
        <v>3449</v>
      </c>
      <c r="AO40" s="3490" t="s">
        <v>3668</v>
      </c>
      <c r="AP40" s="3499" t="s">
        <v>3450</v>
      </c>
      <c r="AQ40" s="3499" t="s">
        <v>3451</v>
      </c>
      <c r="AR40" s="3499"/>
      <c r="AS40" s="3499"/>
      <c r="AT40" s="3499"/>
      <c r="AU40" s="3499"/>
      <c r="AV40" s="3499"/>
      <c r="AW40" s="3499" t="s">
        <v>3452</v>
      </c>
      <c r="AX40" s="3499"/>
      <c r="AY40" s="3503" t="s">
        <v>3850</v>
      </c>
      <c r="AZ40" s="3490" t="s">
        <v>3664</v>
      </c>
      <c r="BA40" s="3499" t="s">
        <v>3678</v>
      </c>
      <c r="BB40" s="3503" t="s">
        <v>3699</v>
      </c>
      <c r="BC40" s="3499" t="s">
        <v>3689</v>
      </c>
      <c r="BD40" s="3504" t="s">
        <v>3657</v>
      </c>
      <c r="BE40" s="3499">
        <v>68706390</v>
      </c>
      <c r="BF40" s="3558">
        <v>2.8</v>
      </c>
      <c r="BG40" s="3555">
        <v>38075</v>
      </c>
      <c r="BH40" s="3499"/>
      <c r="BI40" s="3506" t="s">
        <v>3450</v>
      </c>
      <c r="BJ40" s="3512">
        <v>38120</v>
      </c>
      <c r="BK40" s="3512">
        <v>38099</v>
      </c>
      <c r="BL40" s="3490" t="s">
        <v>3454</v>
      </c>
      <c r="BM40" s="3499"/>
      <c r="BN40" s="3499"/>
      <c r="BO40" s="3499"/>
      <c r="BP40" s="3499"/>
      <c r="BQ40" s="3499">
        <v>9203</v>
      </c>
      <c r="BR40" s="3499">
        <v>9274</v>
      </c>
    </row>
    <row r="41" spans="1:253" s="3509" customFormat="1" ht="12" hidden="1">
      <c r="A41" s="3489" t="s">
        <v>3851</v>
      </c>
      <c r="B41" s="3490" t="s">
        <v>3852</v>
      </c>
      <c r="C41" s="3491" t="s">
        <v>3853</v>
      </c>
      <c r="D41" s="3491" t="s">
        <v>3854</v>
      </c>
      <c r="E41" s="3490" t="s">
        <v>3553</v>
      </c>
      <c r="F41" s="3490" t="s">
        <v>3684</v>
      </c>
      <c r="G41" s="3490"/>
      <c r="H41" s="3502" t="s">
        <v>3657</v>
      </c>
      <c r="I41" s="3490" t="s">
        <v>3809</v>
      </c>
      <c r="J41" s="3491" t="s">
        <v>3855</v>
      </c>
      <c r="K41" s="3493" t="s">
        <v>3664</v>
      </c>
      <c r="L41" s="3492">
        <v>48.52</v>
      </c>
      <c r="M41" s="3490">
        <v>4</v>
      </c>
      <c r="N41" s="3490" t="s">
        <v>3467</v>
      </c>
      <c r="O41" s="3490">
        <v>37.67</v>
      </c>
      <c r="P41" s="3490" t="s">
        <v>3468</v>
      </c>
      <c r="Q41" s="3494">
        <v>349344</v>
      </c>
      <c r="R41" s="3492">
        <v>7200</v>
      </c>
      <c r="S41" s="3492">
        <v>34.69</v>
      </c>
      <c r="T41" s="3517">
        <v>346900</v>
      </c>
      <c r="U41" s="3494">
        <v>7150</v>
      </c>
      <c r="V41" s="3514">
        <v>0.05</v>
      </c>
      <c r="W41" s="3497">
        <v>32.950000000000003</v>
      </c>
      <c r="X41" s="3549">
        <v>329500</v>
      </c>
      <c r="Y41" s="3499">
        <v>2004</v>
      </c>
      <c r="Z41" s="3490">
        <v>5</v>
      </c>
      <c r="AA41" s="3490">
        <v>20</v>
      </c>
      <c r="AB41" s="3489">
        <v>1730</v>
      </c>
      <c r="AC41" s="3490" t="s">
        <v>3720</v>
      </c>
      <c r="AD41" s="3489"/>
      <c r="AE41" s="3499" t="s">
        <v>3446</v>
      </c>
      <c r="AF41" s="3490" t="s">
        <v>3472</v>
      </c>
      <c r="AG41" s="3500" t="s">
        <v>3447</v>
      </c>
      <c r="AH41" s="3489"/>
      <c r="AI41" s="3490" t="s">
        <v>3448</v>
      </c>
      <c r="AJ41" s="3550">
        <v>38107</v>
      </c>
      <c r="AK41" s="3501">
        <v>5</v>
      </c>
      <c r="AL41" s="3499">
        <v>67641700</v>
      </c>
      <c r="AM41" s="3499"/>
      <c r="AN41" s="3502" t="s">
        <v>3449</v>
      </c>
      <c r="AO41" s="3490" t="s">
        <v>3657</v>
      </c>
      <c r="AP41" s="3499" t="s">
        <v>3450</v>
      </c>
      <c r="AQ41" s="3499" t="s">
        <v>3451</v>
      </c>
      <c r="AR41" s="3499"/>
      <c r="AS41" s="3499"/>
      <c r="AT41" s="3499"/>
      <c r="AU41" s="3499"/>
      <c r="AV41" s="3499"/>
      <c r="AW41" s="3499" t="s">
        <v>3452</v>
      </c>
      <c r="AX41" s="3499"/>
      <c r="AY41" s="3503" t="s">
        <v>3856</v>
      </c>
      <c r="AZ41" s="3490" t="s">
        <v>3664</v>
      </c>
      <c r="BA41" s="3499" t="s">
        <v>3665</v>
      </c>
      <c r="BB41" s="3503" t="s">
        <v>3699</v>
      </c>
      <c r="BC41" s="3499" t="s">
        <v>3689</v>
      </c>
      <c r="BD41" s="3504" t="s">
        <v>3657</v>
      </c>
      <c r="BE41" s="3499">
        <v>68706390</v>
      </c>
      <c r="BF41" s="3558">
        <v>2.8</v>
      </c>
      <c r="BG41" s="3555">
        <v>38075</v>
      </c>
      <c r="BH41" s="3499"/>
      <c r="BI41" s="3506" t="s">
        <v>3450</v>
      </c>
      <c r="BJ41" s="3512">
        <v>38120</v>
      </c>
      <c r="BK41" s="3512">
        <v>38115</v>
      </c>
      <c r="BL41" s="3490" t="s">
        <v>3454</v>
      </c>
      <c r="BM41" s="3499"/>
      <c r="BN41" s="3499"/>
      <c r="BO41" s="3499"/>
      <c r="BP41" s="3499"/>
      <c r="BQ41" s="3499">
        <v>9209</v>
      </c>
      <c r="BR41" s="3499">
        <v>9274</v>
      </c>
    </row>
    <row r="42" spans="1:253" s="3509" customFormat="1" ht="12" hidden="1">
      <c r="A42" s="3489" t="s">
        <v>3857</v>
      </c>
      <c r="B42" s="3490" t="s">
        <v>3858</v>
      </c>
      <c r="C42" s="3491" t="s">
        <v>3859</v>
      </c>
      <c r="D42" s="3491" t="s">
        <v>3860</v>
      </c>
      <c r="E42" s="3490" t="s">
        <v>3553</v>
      </c>
      <c r="F42" s="3490" t="s">
        <v>3684</v>
      </c>
      <c r="G42" s="3490"/>
      <c r="H42" s="3502" t="s">
        <v>3668</v>
      </c>
      <c r="I42" s="3490" t="s">
        <v>3828</v>
      </c>
      <c r="J42" s="3491" t="s">
        <v>3861</v>
      </c>
      <c r="K42" s="3493" t="s">
        <v>3664</v>
      </c>
      <c r="L42" s="3492">
        <v>52.38</v>
      </c>
      <c r="M42" s="3490">
        <v>2</v>
      </c>
      <c r="N42" s="3490" t="s">
        <v>3661</v>
      </c>
      <c r="O42" s="3490">
        <v>40.67</v>
      </c>
      <c r="P42" s="3490" t="s">
        <v>3468</v>
      </c>
      <c r="Q42" s="3494">
        <v>392850</v>
      </c>
      <c r="R42" s="3492">
        <v>7500</v>
      </c>
      <c r="S42" s="3492">
        <v>39.020000000000003</v>
      </c>
      <c r="T42" s="3517">
        <v>390200</v>
      </c>
      <c r="U42" s="3494">
        <v>7450</v>
      </c>
      <c r="V42" s="3514">
        <v>0.05</v>
      </c>
      <c r="W42" s="3497">
        <v>37.06</v>
      </c>
      <c r="X42" s="3549">
        <v>370600</v>
      </c>
      <c r="Y42" s="3499">
        <v>2004</v>
      </c>
      <c r="Z42" s="3490">
        <v>5</v>
      </c>
      <c r="AA42" s="3490">
        <v>20</v>
      </c>
      <c r="AB42" s="3489">
        <v>1950</v>
      </c>
      <c r="AC42" s="3490" t="s">
        <v>3713</v>
      </c>
      <c r="AD42" s="3489"/>
      <c r="AE42" s="3499" t="s">
        <v>3446</v>
      </c>
      <c r="AF42" s="3490" t="s">
        <v>3472</v>
      </c>
      <c r="AG42" s="3500" t="s">
        <v>3447</v>
      </c>
      <c r="AH42" s="3489"/>
      <c r="AI42" s="3490" t="s">
        <v>3448</v>
      </c>
      <c r="AJ42" s="3550">
        <v>38107</v>
      </c>
      <c r="AK42" s="3501">
        <v>5</v>
      </c>
      <c r="AL42" s="3499">
        <v>67641700</v>
      </c>
      <c r="AM42" s="3499"/>
      <c r="AN42" s="3502" t="s">
        <v>3449</v>
      </c>
      <c r="AO42" s="3490" t="s">
        <v>3657</v>
      </c>
      <c r="AP42" s="3499" t="s">
        <v>3450</v>
      </c>
      <c r="AQ42" s="3499" t="s">
        <v>3451</v>
      </c>
      <c r="AR42" s="3499"/>
      <c r="AS42" s="3499"/>
      <c r="AT42" s="3499"/>
      <c r="AU42" s="3499"/>
      <c r="AV42" s="3499"/>
      <c r="AW42" s="3499" t="s">
        <v>3452</v>
      </c>
      <c r="AX42" s="3499"/>
      <c r="AY42" s="3503" t="s">
        <v>3862</v>
      </c>
      <c r="AZ42" s="3490" t="s">
        <v>3660</v>
      </c>
      <c r="BA42" s="3499" t="s">
        <v>3678</v>
      </c>
      <c r="BB42" s="3503" t="s">
        <v>3699</v>
      </c>
      <c r="BC42" s="3499" t="s">
        <v>3689</v>
      </c>
      <c r="BD42" s="3504" t="s">
        <v>3657</v>
      </c>
      <c r="BE42" s="3499">
        <v>68706390</v>
      </c>
      <c r="BF42" s="3558">
        <v>2.8</v>
      </c>
      <c r="BG42" s="3555">
        <v>38068</v>
      </c>
      <c r="BH42" s="3499"/>
      <c r="BI42" s="3506" t="s">
        <v>3450</v>
      </c>
      <c r="BJ42" s="3512">
        <v>38121</v>
      </c>
      <c r="BK42" s="3512">
        <v>38102</v>
      </c>
      <c r="BL42" s="3490" t="s">
        <v>3454</v>
      </c>
      <c r="BM42" s="3499"/>
      <c r="BN42" s="3499"/>
      <c r="BO42" s="3499"/>
      <c r="BP42" s="3499"/>
      <c r="BQ42" s="3499">
        <v>9595</v>
      </c>
      <c r="BR42" s="3499">
        <v>9659</v>
      </c>
    </row>
    <row r="43" spans="1:253" s="3509" customFormat="1" ht="12" hidden="1">
      <c r="A43" s="3489" t="s">
        <v>3863</v>
      </c>
      <c r="B43" s="3490" t="s">
        <v>3864</v>
      </c>
      <c r="C43" s="3491" t="s">
        <v>3865</v>
      </c>
      <c r="D43" s="3491" t="s">
        <v>3866</v>
      </c>
      <c r="E43" s="3490" t="s">
        <v>3553</v>
      </c>
      <c r="F43" s="3490" t="s">
        <v>3684</v>
      </c>
      <c r="G43" s="3490"/>
      <c r="H43" s="3502" t="s">
        <v>3657</v>
      </c>
      <c r="I43" s="3490" t="s">
        <v>3809</v>
      </c>
      <c r="J43" s="3491" t="s">
        <v>3867</v>
      </c>
      <c r="K43" s="3493" t="s">
        <v>3660</v>
      </c>
      <c r="L43" s="3492">
        <v>48.52</v>
      </c>
      <c r="M43" s="3490">
        <v>4</v>
      </c>
      <c r="N43" s="3490" t="s">
        <v>3467</v>
      </c>
      <c r="O43" s="3490">
        <v>37.67</v>
      </c>
      <c r="P43" s="3490" t="s">
        <v>3662</v>
      </c>
      <c r="Q43" s="3494">
        <v>349344</v>
      </c>
      <c r="R43" s="3492">
        <v>7200</v>
      </c>
      <c r="S43" s="3492">
        <v>34.68</v>
      </c>
      <c r="T43" s="3517">
        <v>346800</v>
      </c>
      <c r="U43" s="3494">
        <v>7148</v>
      </c>
      <c r="V43" s="3496">
        <v>0.05</v>
      </c>
      <c r="W43" s="3497">
        <v>32.94</v>
      </c>
      <c r="X43" s="3549">
        <v>329400</v>
      </c>
      <c r="Y43" s="3499">
        <v>2004</v>
      </c>
      <c r="Z43" s="3490">
        <v>5</v>
      </c>
      <c r="AA43" s="3490">
        <v>21</v>
      </c>
      <c r="AB43" s="3489">
        <v>1730</v>
      </c>
      <c r="AC43" s="3490" t="s">
        <v>3868</v>
      </c>
      <c r="AD43" s="3489"/>
      <c r="AE43" s="3499" t="s">
        <v>3446</v>
      </c>
      <c r="AF43" s="3490" t="s">
        <v>3472</v>
      </c>
      <c r="AG43" s="3500" t="s">
        <v>3447</v>
      </c>
      <c r="AH43" s="3489"/>
      <c r="AI43" s="3490" t="s">
        <v>3448</v>
      </c>
      <c r="AJ43" s="3550">
        <v>38107</v>
      </c>
      <c r="AK43" s="3501">
        <v>5</v>
      </c>
      <c r="AL43" s="3499">
        <v>67641700</v>
      </c>
      <c r="AM43" s="3499"/>
      <c r="AN43" s="3502" t="s">
        <v>3449</v>
      </c>
      <c r="AO43" s="3490" t="s">
        <v>3657</v>
      </c>
      <c r="AP43" s="3499" t="s">
        <v>3450</v>
      </c>
      <c r="AQ43" s="3499" t="s">
        <v>3451</v>
      </c>
      <c r="AR43" s="3499"/>
      <c r="AS43" s="3499"/>
      <c r="AT43" s="3499"/>
      <c r="AU43" s="3499"/>
      <c r="AV43" s="3499"/>
      <c r="AW43" s="3499" t="s">
        <v>3452</v>
      </c>
      <c r="AX43" s="3499"/>
      <c r="AY43" s="3503" t="s">
        <v>3869</v>
      </c>
      <c r="AZ43" s="3490" t="s">
        <v>3664</v>
      </c>
      <c r="BA43" s="3499" t="s">
        <v>3678</v>
      </c>
      <c r="BB43" s="3503" t="s">
        <v>3699</v>
      </c>
      <c r="BC43" s="3499" t="s">
        <v>3667</v>
      </c>
      <c r="BD43" s="3504" t="s">
        <v>3657</v>
      </c>
      <c r="BE43" s="3499">
        <v>68706390</v>
      </c>
      <c r="BF43" s="3558">
        <v>2.8</v>
      </c>
      <c r="BG43" s="3555">
        <v>38071</v>
      </c>
      <c r="BH43" s="3499"/>
      <c r="BI43" s="3506" t="s">
        <v>3690</v>
      </c>
      <c r="BJ43" s="3512">
        <v>38126</v>
      </c>
      <c r="BK43" s="3512">
        <v>38098</v>
      </c>
      <c r="BL43" s="3490" t="s">
        <v>3454</v>
      </c>
      <c r="BM43" s="3499"/>
      <c r="BN43" s="3499"/>
      <c r="BO43" s="3499"/>
      <c r="BP43" s="3499"/>
      <c r="BQ43" s="3499">
        <v>9207</v>
      </c>
      <c r="BR43" s="3499">
        <v>9274</v>
      </c>
    </row>
    <row r="44" spans="1:253" s="3509" customFormat="1" ht="12" hidden="1">
      <c r="A44" s="3489" t="s">
        <v>3870</v>
      </c>
      <c r="B44" s="3490" t="s">
        <v>3871</v>
      </c>
      <c r="C44" s="3491" t="s">
        <v>3872</v>
      </c>
      <c r="D44" s="3491" t="s">
        <v>3873</v>
      </c>
      <c r="E44" s="3490" t="s">
        <v>3553</v>
      </c>
      <c r="F44" s="3490" t="s">
        <v>3684</v>
      </c>
      <c r="G44" s="3490"/>
      <c r="H44" s="3502" t="s">
        <v>3657</v>
      </c>
      <c r="I44" s="3490" t="s">
        <v>3874</v>
      </c>
      <c r="J44" s="3491" t="s">
        <v>3875</v>
      </c>
      <c r="K44" s="3493" t="s">
        <v>3664</v>
      </c>
      <c r="L44" s="3492">
        <v>48.52</v>
      </c>
      <c r="M44" s="3490">
        <v>6</v>
      </c>
      <c r="N44" s="3490" t="s">
        <v>3467</v>
      </c>
      <c r="O44" s="3490">
        <v>37.67</v>
      </c>
      <c r="P44" s="3490" t="s">
        <v>3468</v>
      </c>
      <c r="Q44" s="3494">
        <v>349344</v>
      </c>
      <c r="R44" s="3492">
        <v>7200</v>
      </c>
      <c r="S44" s="3492">
        <v>34.68</v>
      </c>
      <c r="T44" s="3517">
        <v>346800</v>
      </c>
      <c r="U44" s="3494">
        <v>7148</v>
      </c>
      <c r="V44" s="3496">
        <v>0.05</v>
      </c>
      <c r="W44" s="3497">
        <v>32.94</v>
      </c>
      <c r="X44" s="3549">
        <v>329400</v>
      </c>
      <c r="Y44" s="3499">
        <v>2004</v>
      </c>
      <c r="Z44" s="3490">
        <v>5</v>
      </c>
      <c r="AA44" s="3490">
        <v>21</v>
      </c>
      <c r="AB44" s="3489">
        <v>1730</v>
      </c>
      <c r="AC44" s="3490" t="s">
        <v>3555</v>
      </c>
      <c r="AD44" s="3489"/>
      <c r="AE44" s="3499" t="s">
        <v>3446</v>
      </c>
      <c r="AF44" s="3490" t="s">
        <v>3586</v>
      </c>
      <c r="AG44" s="3500" t="s">
        <v>3447</v>
      </c>
      <c r="AH44" s="3489"/>
      <c r="AI44" s="3490" t="s">
        <v>3448</v>
      </c>
      <c r="AJ44" s="3550">
        <v>38107</v>
      </c>
      <c r="AK44" s="3501">
        <v>5</v>
      </c>
      <c r="AL44" s="3499">
        <v>67641700</v>
      </c>
      <c r="AM44" s="3499"/>
      <c r="AN44" s="3502" t="s">
        <v>3449</v>
      </c>
      <c r="AO44" s="3490" t="s">
        <v>3657</v>
      </c>
      <c r="AP44" s="3499" t="s">
        <v>3450</v>
      </c>
      <c r="AQ44" s="3499" t="s">
        <v>3451</v>
      </c>
      <c r="AR44" s="3499"/>
      <c r="AS44" s="3499"/>
      <c r="AT44" s="3499"/>
      <c r="AU44" s="3499"/>
      <c r="AV44" s="3499"/>
      <c r="AW44" s="3499" t="s">
        <v>3452</v>
      </c>
      <c r="AX44" s="3499"/>
      <c r="AY44" s="3503" t="s">
        <v>3876</v>
      </c>
      <c r="AZ44" s="3490" t="s">
        <v>3664</v>
      </c>
      <c r="BA44" s="3499" t="s">
        <v>3665</v>
      </c>
      <c r="BB44" s="3503" t="s">
        <v>3666</v>
      </c>
      <c r="BC44" s="3499" t="s">
        <v>3689</v>
      </c>
      <c r="BD44" s="3504" t="s">
        <v>3657</v>
      </c>
      <c r="BE44" s="3499">
        <v>68706390</v>
      </c>
      <c r="BF44" s="3558">
        <v>2.8</v>
      </c>
      <c r="BG44" s="3555">
        <v>38054</v>
      </c>
      <c r="BH44" s="3499"/>
      <c r="BI44" s="3506" t="s">
        <v>3690</v>
      </c>
      <c r="BJ44" s="3512">
        <v>38126</v>
      </c>
      <c r="BK44" s="3512">
        <v>38071</v>
      </c>
      <c r="BL44" s="3490" t="s">
        <v>3454</v>
      </c>
      <c r="BM44" s="3499"/>
      <c r="BN44" s="3499"/>
      <c r="BO44" s="3499"/>
      <c r="BP44" s="3499"/>
      <c r="BQ44" s="3499">
        <v>9207</v>
      </c>
      <c r="BR44" s="3499">
        <v>9274</v>
      </c>
    </row>
    <row r="45" spans="1:253" s="3556" customFormat="1" ht="12" hidden="1">
      <c r="A45" s="3489" t="s">
        <v>3877</v>
      </c>
      <c r="B45" s="3490" t="s">
        <v>3878</v>
      </c>
      <c r="C45" s="3491" t="s">
        <v>3879</v>
      </c>
      <c r="D45" s="3491" t="s">
        <v>3880</v>
      </c>
      <c r="E45" s="3490" t="s">
        <v>3542</v>
      </c>
      <c r="F45" s="3490" t="s">
        <v>3684</v>
      </c>
      <c r="G45" s="3490"/>
      <c r="H45" s="3490" t="s">
        <v>3657</v>
      </c>
      <c r="I45" s="3490" t="s">
        <v>3809</v>
      </c>
      <c r="J45" s="3491" t="s">
        <v>3881</v>
      </c>
      <c r="K45" s="3490" t="s">
        <v>3664</v>
      </c>
      <c r="L45" s="3492">
        <v>48.52</v>
      </c>
      <c r="M45" s="3490">
        <v>4</v>
      </c>
      <c r="N45" s="3490" t="s">
        <v>3467</v>
      </c>
      <c r="O45" s="3490">
        <v>37.67</v>
      </c>
      <c r="P45" s="3490" t="s">
        <v>3468</v>
      </c>
      <c r="Q45" s="3494">
        <v>346918</v>
      </c>
      <c r="R45" s="3492">
        <v>7150</v>
      </c>
      <c r="S45" s="3492">
        <v>34.450000000000003</v>
      </c>
      <c r="T45" s="3517">
        <v>344500</v>
      </c>
      <c r="U45" s="3494">
        <v>7102</v>
      </c>
      <c r="V45" s="3514">
        <v>0.05</v>
      </c>
      <c r="W45" s="3497">
        <v>32.72</v>
      </c>
      <c r="X45" s="3549">
        <v>327200</v>
      </c>
      <c r="Y45" s="3499">
        <v>2004</v>
      </c>
      <c r="Z45" s="3490">
        <v>6</v>
      </c>
      <c r="AA45" s="3499">
        <v>9</v>
      </c>
      <c r="AB45" s="3489">
        <v>1720</v>
      </c>
      <c r="AC45" s="3490" t="s">
        <v>3868</v>
      </c>
      <c r="AD45" s="3489"/>
      <c r="AE45" s="3499" t="s">
        <v>3446</v>
      </c>
      <c r="AF45" s="3490" t="s">
        <v>3472</v>
      </c>
      <c r="AG45" s="3500" t="s">
        <v>3447</v>
      </c>
      <c r="AH45" s="3489"/>
      <c r="AI45" s="3490" t="s">
        <v>3448</v>
      </c>
      <c r="AJ45" s="3550">
        <v>38107</v>
      </c>
      <c r="AK45" s="3501">
        <v>6</v>
      </c>
      <c r="AL45" s="3499">
        <v>67641700</v>
      </c>
      <c r="AM45" s="3499"/>
      <c r="AN45" s="3502" t="s">
        <v>3449</v>
      </c>
      <c r="AO45" s="3490" t="s">
        <v>3657</v>
      </c>
      <c r="AP45" s="3499" t="s">
        <v>3450</v>
      </c>
      <c r="AQ45" s="3499" t="s">
        <v>3451</v>
      </c>
      <c r="AR45" s="3499"/>
      <c r="AS45" s="3499"/>
      <c r="AT45" s="3499"/>
      <c r="AU45" s="3499"/>
      <c r="AV45" s="3499"/>
      <c r="AW45" s="3499" t="s">
        <v>3452</v>
      </c>
      <c r="AX45" s="3499"/>
      <c r="AY45" s="3503" t="s">
        <v>3657</v>
      </c>
      <c r="AZ45" s="3490" t="s">
        <v>3664</v>
      </c>
      <c r="BA45" s="3499" t="s">
        <v>3678</v>
      </c>
      <c r="BB45" s="3503" t="s">
        <v>3699</v>
      </c>
      <c r="BC45" s="3499" t="s">
        <v>3689</v>
      </c>
      <c r="BD45" s="3504" t="s">
        <v>3668</v>
      </c>
      <c r="BE45" s="3499">
        <v>68706390</v>
      </c>
      <c r="BF45" s="3558">
        <v>2.8</v>
      </c>
      <c r="BG45" s="3555">
        <v>38082</v>
      </c>
      <c r="BH45" s="3499"/>
      <c r="BI45" s="3506" t="s">
        <v>3450</v>
      </c>
      <c r="BJ45" s="3512">
        <v>38145</v>
      </c>
      <c r="BK45" s="3512">
        <v>38135</v>
      </c>
      <c r="BL45" s="3490" t="s">
        <v>3454</v>
      </c>
      <c r="BM45" s="3499"/>
      <c r="BN45" s="3499"/>
      <c r="BO45" s="3499"/>
      <c r="BP45" s="3499"/>
      <c r="BQ45" s="3499">
        <v>9148</v>
      </c>
      <c r="BR45" s="3499">
        <v>9209</v>
      </c>
      <c r="BS45" s="3509"/>
      <c r="BT45" s="3509"/>
      <c r="BU45" s="3509"/>
      <c r="BV45" s="3510"/>
      <c r="BW45" s="3510"/>
      <c r="BX45" s="3510"/>
      <c r="BY45" s="3510"/>
      <c r="BZ45" s="3510"/>
      <c r="CA45" s="3510"/>
      <c r="CB45" s="3510"/>
      <c r="CC45" s="3510"/>
      <c r="CD45" s="3510"/>
      <c r="CE45" s="3510"/>
      <c r="CF45" s="3510"/>
      <c r="CG45" s="3510"/>
      <c r="CH45" s="3510"/>
      <c r="CI45" s="3510"/>
      <c r="CJ45" s="3510"/>
      <c r="CK45" s="3510"/>
      <c r="CL45" s="3510"/>
      <c r="CM45" s="3510"/>
      <c r="CN45" s="3510"/>
      <c r="CO45" s="3510"/>
      <c r="CP45" s="3510"/>
      <c r="CQ45" s="3510"/>
      <c r="CR45" s="3510"/>
      <c r="CS45" s="3510"/>
      <c r="CT45" s="3510"/>
      <c r="CU45" s="3510"/>
      <c r="CV45" s="3510"/>
      <c r="CW45" s="3510"/>
      <c r="CX45" s="3510"/>
      <c r="CY45" s="3510"/>
      <c r="CZ45" s="3510"/>
      <c r="DA45" s="3510"/>
      <c r="DB45" s="3510"/>
      <c r="DC45" s="3510"/>
      <c r="DD45" s="3510"/>
      <c r="DE45" s="3510"/>
      <c r="DF45" s="3510"/>
      <c r="DG45" s="3510"/>
      <c r="DH45" s="3510"/>
      <c r="DI45" s="3510"/>
      <c r="DJ45" s="3510"/>
      <c r="DK45" s="3510"/>
      <c r="DL45" s="3510"/>
      <c r="DM45" s="3510"/>
      <c r="DN45" s="3510"/>
      <c r="DO45" s="3510"/>
      <c r="DP45" s="3510"/>
      <c r="DQ45" s="3510"/>
      <c r="DR45" s="3510"/>
      <c r="DS45" s="3510"/>
      <c r="DT45" s="3510"/>
      <c r="DU45" s="3510"/>
      <c r="DV45" s="3510"/>
      <c r="DW45" s="3510"/>
      <c r="DX45" s="3510"/>
      <c r="DY45" s="3510"/>
      <c r="DZ45" s="3510"/>
      <c r="EA45" s="3510"/>
      <c r="EB45" s="3510"/>
      <c r="EC45" s="3510"/>
      <c r="ED45" s="3510"/>
      <c r="EE45" s="3510"/>
      <c r="EF45" s="3510"/>
      <c r="EG45" s="3510"/>
      <c r="EH45" s="3510"/>
      <c r="EI45" s="3510"/>
      <c r="EJ45" s="3510"/>
      <c r="EK45" s="3510"/>
      <c r="EL45" s="3510"/>
      <c r="EM45" s="3510"/>
      <c r="EN45" s="3510"/>
      <c r="EO45" s="3510"/>
      <c r="EP45" s="3510"/>
      <c r="EQ45" s="3510"/>
      <c r="ER45" s="3510"/>
      <c r="ES45" s="3510"/>
      <c r="ET45" s="3510"/>
      <c r="EU45" s="3510"/>
      <c r="EV45" s="3510"/>
      <c r="EW45" s="3510"/>
      <c r="EX45" s="3510"/>
      <c r="EY45" s="3510"/>
      <c r="EZ45" s="3510"/>
      <c r="FA45" s="3510"/>
      <c r="FB45" s="3510"/>
      <c r="FC45" s="3510"/>
      <c r="FD45" s="3510"/>
      <c r="FE45" s="3510"/>
      <c r="FF45" s="3510"/>
      <c r="FG45" s="3510"/>
      <c r="FH45" s="3510"/>
      <c r="FI45" s="3510"/>
      <c r="FJ45" s="3510"/>
      <c r="FK45" s="3510"/>
      <c r="FL45" s="3510"/>
      <c r="FM45" s="3510"/>
      <c r="FN45" s="3510"/>
      <c r="FO45" s="3510"/>
      <c r="FP45" s="3510"/>
      <c r="FQ45" s="3510"/>
      <c r="FR45" s="3510"/>
      <c r="FS45" s="3510"/>
      <c r="FT45" s="3510"/>
      <c r="FU45" s="3510"/>
      <c r="FV45" s="3510"/>
      <c r="FW45" s="3510"/>
      <c r="FX45" s="3510"/>
      <c r="FY45" s="3510"/>
      <c r="FZ45" s="3510"/>
      <c r="GA45" s="3510"/>
      <c r="GB45" s="3510"/>
      <c r="GC45" s="3510"/>
      <c r="GD45" s="3510"/>
      <c r="GE45" s="3510"/>
      <c r="GF45" s="3510"/>
      <c r="GG45" s="3510"/>
      <c r="GH45" s="3510"/>
      <c r="GI45" s="3510"/>
      <c r="GJ45" s="3510"/>
      <c r="GK45" s="3510"/>
      <c r="GL45" s="3510"/>
      <c r="GM45" s="3510"/>
      <c r="GN45" s="3510"/>
      <c r="GO45" s="3510"/>
      <c r="GP45" s="3510"/>
      <c r="GQ45" s="3510"/>
      <c r="GR45" s="3510"/>
      <c r="GS45" s="3510"/>
      <c r="GT45" s="3510"/>
      <c r="GU45" s="3510"/>
      <c r="GV45" s="3510"/>
      <c r="GW45" s="3510"/>
      <c r="GX45" s="3510"/>
      <c r="GY45" s="3510"/>
      <c r="GZ45" s="3510"/>
      <c r="HA45" s="3510"/>
      <c r="HB45" s="3510"/>
      <c r="HC45" s="3510"/>
      <c r="HD45" s="3510"/>
      <c r="HE45" s="3510"/>
      <c r="HF45" s="3510"/>
      <c r="HG45" s="3510"/>
      <c r="HH45" s="3510"/>
      <c r="HI45" s="3510"/>
      <c r="HJ45" s="3510"/>
      <c r="HK45" s="3510"/>
      <c r="HL45" s="3510"/>
      <c r="HM45" s="3510"/>
      <c r="HN45" s="3510"/>
      <c r="HO45" s="3510"/>
      <c r="HP45" s="3510"/>
      <c r="HQ45" s="3510"/>
      <c r="HR45" s="3510"/>
      <c r="HS45" s="3510"/>
      <c r="HT45" s="3510"/>
      <c r="HU45" s="3510"/>
      <c r="HV45" s="3510"/>
      <c r="HW45" s="3510"/>
      <c r="HX45" s="3510"/>
      <c r="HY45" s="3510"/>
      <c r="HZ45" s="3510"/>
      <c r="IA45" s="3510"/>
      <c r="IB45" s="3510"/>
      <c r="IC45" s="3510"/>
      <c r="ID45" s="3510"/>
      <c r="IE45" s="3510"/>
      <c r="IF45" s="3510"/>
      <c r="IG45" s="3510"/>
      <c r="IH45" s="3510"/>
      <c r="II45" s="3510"/>
      <c r="IJ45" s="3510"/>
      <c r="IK45" s="3510"/>
      <c r="IL45" s="3510"/>
      <c r="IM45" s="3510"/>
      <c r="IN45" s="3510"/>
      <c r="IO45" s="3510"/>
      <c r="IP45" s="3510"/>
      <c r="IQ45" s="3510"/>
      <c r="IR45" s="3510"/>
      <c r="IS45" s="3510"/>
    </row>
    <row r="46" spans="1:253" s="3556" customFormat="1" ht="12" hidden="1">
      <c r="A46" s="3489" t="s">
        <v>3882</v>
      </c>
      <c r="B46" s="3490" t="s">
        <v>3883</v>
      </c>
      <c r="C46" s="3491" t="s">
        <v>3884</v>
      </c>
      <c r="D46" s="3491" t="s">
        <v>3885</v>
      </c>
      <c r="E46" s="3490" t="s">
        <v>3553</v>
      </c>
      <c r="F46" s="3490" t="s">
        <v>3684</v>
      </c>
      <c r="G46" s="3490"/>
      <c r="H46" s="3490" t="s">
        <v>3668</v>
      </c>
      <c r="I46" s="3490" t="s">
        <v>3886</v>
      </c>
      <c r="J46" s="3491" t="s">
        <v>3887</v>
      </c>
      <c r="K46" s="3490" t="s">
        <v>3664</v>
      </c>
      <c r="L46" s="3492">
        <v>48.47</v>
      </c>
      <c r="M46" s="3490">
        <v>5</v>
      </c>
      <c r="N46" s="3490" t="s">
        <v>3888</v>
      </c>
      <c r="O46" s="3490">
        <v>37.630000000000003</v>
      </c>
      <c r="P46" s="3490" t="s">
        <v>3468</v>
      </c>
      <c r="Q46" s="3494">
        <v>358678</v>
      </c>
      <c r="R46" s="3492">
        <v>7400</v>
      </c>
      <c r="S46" s="3492">
        <v>35.58</v>
      </c>
      <c r="T46" s="3517">
        <v>355800</v>
      </c>
      <c r="U46" s="3494">
        <v>7342</v>
      </c>
      <c r="V46" s="3514">
        <v>0.05</v>
      </c>
      <c r="W46" s="3497">
        <v>33.799999999999997</v>
      </c>
      <c r="X46" s="3549">
        <v>338000</v>
      </c>
      <c r="Y46" s="3499">
        <v>2004</v>
      </c>
      <c r="Z46" s="3490">
        <v>6</v>
      </c>
      <c r="AA46" s="3499">
        <v>14</v>
      </c>
      <c r="AB46" s="3489">
        <v>1775</v>
      </c>
      <c r="AC46" s="3490" t="s">
        <v>3720</v>
      </c>
      <c r="AD46" s="3489"/>
      <c r="AE46" s="3499" t="s">
        <v>3446</v>
      </c>
      <c r="AF46" s="3490" t="s">
        <v>3472</v>
      </c>
      <c r="AG46" s="3500" t="s">
        <v>3447</v>
      </c>
      <c r="AH46" s="3489"/>
      <c r="AI46" s="3490" t="s">
        <v>3448</v>
      </c>
      <c r="AJ46" s="3550">
        <v>38107</v>
      </c>
      <c r="AK46" s="3501">
        <v>6</v>
      </c>
      <c r="AL46" s="3499">
        <v>67641700</v>
      </c>
      <c r="AM46" s="3499"/>
      <c r="AN46" s="3502" t="s">
        <v>3705</v>
      </c>
      <c r="AO46" s="3490" t="s">
        <v>3668</v>
      </c>
      <c r="AP46" s="3499" t="s">
        <v>3450</v>
      </c>
      <c r="AQ46" s="3499" t="s">
        <v>3451</v>
      </c>
      <c r="AR46" s="3499"/>
      <c r="AS46" s="3499"/>
      <c r="AT46" s="3499"/>
      <c r="AU46" s="3499"/>
      <c r="AV46" s="3499"/>
      <c r="AW46" s="3499" t="s">
        <v>3452</v>
      </c>
      <c r="AX46" s="3499"/>
      <c r="AY46" s="3503" t="s">
        <v>3889</v>
      </c>
      <c r="AZ46" s="3490" t="s">
        <v>3660</v>
      </c>
      <c r="BA46" s="3499" t="s">
        <v>3678</v>
      </c>
      <c r="BB46" s="3503" t="s">
        <v>3699</v>
      </c>
      <c r="BC46" s="3499" t="s">
        <v>3689</v>
      </c>
      <c r="BD46" s="3504" t="s">
        <v>3657</v>
      </c>
      <c r="BE46" s="3499">
        <v>68706390</v>
      </c>
      <c r="BF46" s="3558">
        <v>2.8</v>
      </c>
      <c r="BG46" s="3555">
        <v>38038</v>
      </c>
      <c r="BH46" s="3499"/>
      <c r="BI46" s="3502" t="s">
        <v>3466</v>
      </c>
      <c r="BJ46" s="3512">
        <v>38146</v>
      </c>
      <c r="BK46" s="3512">
        <v>38117</v>
      </c>
      <c r="BL46" s="3490" t="s">
        <v>3890</v>
      </c>
      <c r="BM46" s="3499"/>
      <c r="BN46" s="3499"/>
      <c r="BO46" s="3499"/>
      <c r="BP46" s="3499"/>
      <c r="BQ46" s="3499">
        <v>9457</v>
      </c>
      <c r="BR46" s="3499">
        <v>9532</v>
      </c>
      <c r="BS46" s="3509"/>
      <c r="BT46" s="3509"/>
      <c r="BU46" s="3509"/>
      <c r="BV46" s="3510"/>
      <c r="BW46" s="3510"/>
      <c r="BX46" s="3510"/>
      <c r="BY46" s="3510"/>
      <c r="BZ46" s="3510"/>
      <c r="CA46" s="3510"/>
      <c r="CB46" s="3510"/>
      <c r="CC46" s="3510"/>
      <c r="CD46" s="3510"/>
      <c r="CE46" s="3510"/>
      <c r="CF46" s="3510"/>
      <c r="CG46" s="3510"/>
      <c r="CH46" s="3510"/>
      <c r="CI46" s="3510"/>
      <c r="CJ46" s="3510"/>
      <c r="CK46" s="3510"/>
      <c r="CL46" s="3510"/>
      <c r="CM46" s="3510"/>
      <c r="CN46" s="3510"/>
      <c r="CO46" s="3510"/>
      <c r="CP46" s="3510"/>
      <c r="CQ46" s="3510"/>
      <c r="CR46" s="3510"/>
      <c r="CS46" s="3510"/>
      <c r="CT46" s="3510"/>
      <c r="CU46" s="3510"/>
      <c r="CV46" s="3510"/>
      <c r="CW46" s="3510"/>
      <c r="CX46" s="3510"/>
      <c r="CY46" s="3510"/>
      <c r="CZ46" s="3510"/>
      <c r="DA46" s="3510"/>
      <c r="DB46" s="3510"/>
      <c r="DC46" s="3510"/>
      <c r="DD46" s="3510"/>
      <c r="DE46" s="3510"/>
      <c r="DF46" s="3510"/>
      <c r="DG46" s="3510"/>
      <c r="DH46" s="3510"/>
      <c r="DI46" s="3510"/>
      <c r="DJ46" s="3510"/>
      <c r="DK46" s="3510"/>
      <c r="DL46" s="3510"/>
      <c r="DM46" s="3510"/>
      <c r="DN46" s="3510"/>
      <c r="DO46" s="3510"/>
      <c r="DP46" s="3510"/>
      <c r="DQ46" s="3510"/>
      <c r="DR46" s="3510"/>
      <c r="DS46" s="3510"/>
      <c r="DT46" s="3510"/>
      <c r="DU46" s="3510"/>
      <c r="DV46" s="3510"/>
      <c r="DW46" s="3510"/>
      <c r="DX46" s="3510"/>
      <c r="DY46" s="3510"/>
      <c r="DZ46" s="3510"/>
      <c r="EA46" s="3510"/>
      <c r="EB46" s="3510"/>
      <c r="EC46" s="3510"/>
      <c r="ED46" s="3510"/>
      <c r="EE46" s="3510"/>
      <c r="EF46" s="3510"/>
      <c r="EG46" s="3510"/>
      <c r="EH46" s="3510"/>
      <c r="EI46" s="3510"/>
      <c r="EJ46" s="3510"/>
      <c r="EK46" s="3510"/>
      <c r="EL46" s="3510"/>
      <c r="EM46" s="3510"/>
      <c r="EN46" s="3510"/>
      <c r="EO46" s="3510"/>
      <c r="EP46" s="3510"/>
      <c r="EQ46" s="3510"/>
      <c r="ER46" s="3510"/>
      <c r="ES46" s="3510"/>
      <c r="ET46" s="3510"/>
      <c r="EU46" s="3510"/>
      <c r="EV46" s="3510"/>
      <c r="EW46" s="3510"/>
      <c r="EX46" s="3510"/>
      <c r="EY46" s="3510"/>
      <c r="EZ46" s="3510"/>
      <c r="FA46" s="3510"/>
      <c r="FB46" s="3510"/>
      <c r="FC46" s="3510"/>
      <c r="FD46" s="3510"/>
      <c r="FE46" s="3510"/>
      <c r="FF46" s="3510"/>
      <c r="FG46" s="3510"/>
      <c r="FH46" s="3510"/>
      <c r="FI46" s="3510"/>
      <c r="FJ46" s="3510"/>
      <c r="FK46" s="3510"/>
      <c r="FL46" s="3510"/>
      <c r="FM46" s="3510"/>
      <c r="FN46" s="3510"/>
      <c r="FO46" s="3510"/>
      <c r="FP46" s="3510"/>
      <c r="FQ46" s="3510"/>
      <c r="FR46" s="3510"/>
      <c r="FS46" s="3510"/>
      <c r="FT46" s="3510"/>
      <c r="FU46" s="3510"/>
      <c r="FV46" s="3510"/>
      <c r="FW46" s="3510"/>
      <c r="FX46" s="3510"/>
      <c r="FY46" s="3510"/>
      <c r="FZ46" s="3510"/>
      <c r="GA46" s="3510"/>
      <c r="GB46" s="3510"/>
      <c r="GC46" s="3510"/>
      <c r="GD46" s="3510"/>
      <c r="GE46" s="3510"/>
      <c r="GF46" s="3510"/>
      <c r="GG46" s="3510"/>
      <c r="GH46" s="3510"/>
      <c r="GI46" s="3510"/>
      <c r="GJ46" s="3510"/>
      <c r="GK46" s="3510"/>
      <c r="GL46" s="3510"/>
      <c r="GM46" s="3510"/>
      <c r="GN46" s="3510"/>
      <c r="GO46" s="3510"/>
      <c r="GP46" s="3510"/>
      <c r="GQ46" s="3510"/>
      <c r="GR46" s="3510"/>
      <c r="GS46" s="3510"/>
      <c r="GT46" s="3510"/>
      <c r="GU46" s="3510"/>
      <c r="GV46" s="3510"/>
      <c r="GW46" s="3510"/>
      <c r="GX46" s="3510"/>
      <c r="GY46" s="3510"/>
      <c r="GZ46" s="3510"/>
      <c r="HA46" s="3510"/>
      <c r="HB46" s="3510"/>
      <c r="HC46" s="3510"/>
      <c r="HD46" s="3510"/>
      <c r="HE46" s="3510"/>
      <c r="HF46" s="3510"/>
      <c r="HG46" s="3510"/>
      <c r="HH46" s="3510"/>
      <c r="HI46" s="3510"/>
      <c r="HJ46" s="3510"/>
      <c r="HK46" s="3510"/>
      <c r="HL46" s="3510"/>
      <c r="HM46" s="3510"/>
      <c r="HN46" s="3510"/>
      <c r="HO46" s="3510"/>
      <c r="HP46" s="3510"/>
      <c r="HQ46" s="3510"/>
      <c r="HR46" s="3510"/>
      <c r="HS46" s="3510"/>
      <c r="HT46" s="3510"/>
      <c r="HU46" s="3510"/>
      <c r="HV46" s="3510"/>
      <c r="HW46" s="3510"/>
      <c r="HX46" s="3510"/>
      <c r="HY46" s="3510"/>
      <c r="HZ46" s="3510"/>
      <c r="IA46" s="3510"/>
      <c r="IB46" s="3510"/>
      <c r="IC46" s="3510"/>
      <c r="ID46" s="3510"/>
      <c r="IE46" s="3510"/>
      <c r="IF46" s="3510"/>
      <c r="IG46" s="3510"/>
      <c r="IH46" s="3510"/>
      <c r="II46" s="3510"/>
      <c r="IJ46" s="3510"/>
      <c r="IK46" s="3510"/>
      <c r="IL46" s="3510"/>
      <c r="IM46" s="3510"/>
      <c r="IN46" s="3510"/>
      <c r="IO46" s="3510"/>
      <c r="IP46" s="3510"/>
      <c r="IQ46" s="3510"/>
      <c r="IR46" s="3510"/>
      <c r="IS46" s="3510"/>
    </row>
    <row r="47" spans="1:253" s="3509" customFormat="1" ht="12" hidden="1">
      <c r="A47" s="3489" t="s">
        <v>3891</v>
      </c>
      <c r="B47" s="3493" t="s">
        <v>3892</v>
      </c>
      <c r="C47" s="3491" t="s">
        <v>3893</v>
      </c>
      <c r="D47" s="3493">
        <v>13911102930</v>
      </c>
      <c r="E47" s="3493" t="s">
        <v>3553</v>
      </c>
      <c r="F47" s="3493" t="s">
        <v>3894</v>
      </c>
      <c r="G47" s="3493"/>
      <c r="H47" s="3493" t="s">
        <v>3895</v>
      </c>
      <c r="I47" s="3493" t="s">
        <v>3685</v>
      </c>
      <c r="J47" s="3493" t="s">
        <v>3896</v>
      </c>
      <c r="K47" s="3493" t="s">
        <v>3664</v>
      </c>
      <c r="L47" s="3492">
        <v>43.12</v>
      </c>
      <c r="M47" s="3513">
        <v>7</v>
      </c>
      <c r="N47" s="3511" t="s">
        <v>3897</v>
      </c>
      <c r="O47" s="3513">
        <v>33.479999999999997</v>
      </c>
      <c r="P47" s="3493" t="s">
        <v>3468</v>
      </c>
      <c r="Q47" s="3494">
        <v>316932</v>
      </c>
      <c r="R47" s="3490">
        <v>7350</v>
      </c>
      <c r="S47" s="3519">
        <v>31.45</v>
      </c>
      <c r="T47" s="3517">
        <v>314500</v>
      </c>
      <c r="U47" s="3490">
        <v>7295</v>
      </c>
      <c r="V47" s="3496">
        <v>0.05</v>
      </c>
      <c r="W47" s="3497">
        <v>29.87</v>
      </c>
      <c r="X47" s="3521">
        <v>298700</v>
      </c>
      <c r="Y47" s="3499">
        <v>2004</v>
      </c>
      <c r="Z47" s="3490">
        <v>7</v>
      </c>
      <c r="AA47" s="3499">
        <v>19</v>
      </c>
      <c r="AB47" s="3490">
        <v>940</v>
      </c>
      <c r="AC47" s="3490" t="s">
        <v>3720</v>
      </c>
      <c r="AD47" s="3493"/>
      <c r="AE47" s="3493" t="s">
        <v>3446</v>
      </c>
      <c r="AF47" s="3493" t="s">
        <v>3898</v>
      </c>
      <c r="AG47" s="3493" t="s">
        <v>3447</v>
      </c>
      <c r="AH47" s="3493"/>
      <c r="AI47" s="3493" t="s">
        <v>3448</v>
      </c>
      <c r="AJ47" s="3515">
        <v>38107</v>
      </c>
      <c r="AK47" s="3501">
        <v>7</v>
      </c>
      <c r="AL47" s="3499">
        <v>67641700</v>
      </c>
      <c r="AM47" s="3499"/>
      <c r="AN47" s="3502" t="s">
        <v>3460</v>
      </c>
      <c r="AO47" s="3499" t="s">
        <v>3895</v>
      </c>
      <c r="AP47" s="3499" t="s">
        <v>3450</v>
      </c>
      <c r="AQ47" s="3499" t="s">
        <v>3451</v>
      </c>
      <c r="AR47" s="3490"/>
      <c r="AS47" s="3490"/>
      <c r="AT47" s="3490"/>
      <c r="AU47" s="3490"/>
      <c r="AV47" s="3520"/>
      <c r="AW47" s="3493" t="s">
        <v>3452</v>
      </c>
      <c r="AX47" s="3493"/>
      <c r="AY47" s="3493">
        <v>583854</v>
      </c>
      <c r="AZ47" s="3493" t="s">
        <v>3664</v>
      </c>
      <c r="BA47" s="3493" t="s">
        <v>3678</v>
      </c>
      <c r="BB47" s="3516" t="s">
        <v>3699</v>
      </c>
      <c r="BC47" s="3493" t="s">
        <v>3689</v>
      </c>
      <c r="BD47" s="3493" t="s">
        <v>3657</v>
      </c>
      <c r="BE47" s="3493">
        <v>68706390</v>
      </c>
      <c r="BF47" s="3505">
        <v>2.8</v>
      </c>
      <c r="BG47" s="3518">
        <v>38163</v>
      </c>
      <c r="BH47" s="3493"/>
      <c r="BI47" s="3490" t="s">
        <v>3679</v>
      </c>
      <c r="BJ47" s="3512">
        <v>38180</v>
      </c>
      <c r="BK47" s="3507"/>
      <c r="BL47" s="3499" t="s">
        <v>3899</v>
      </c>
      <c r="BM47" s="3490"/>
      <c r="BN47" s="3490"/>
      <c r="BO47" s="3490"/>
      <c r="BP47" s="3499"/>
      <c r="BQ47" s="3499">
        <v>9395</v>
      </c>
      <c r="BR47" s="3499">
        <v>9466</v>
      </c>
    </row>
    <row r="48" spans="1:253" s="3560" customFormat="1" hidden="1">
      <c r="A48" s="3489" t="s">
        <v>3900</v>
      </c>
      <c r="B48" s="3493" t="s">
        <v>3901</v>
      </c>
      <c r="C48" s="3491" t="s">
        <v>3902</v>
      </c>
      <c r="D48" s="3493">
        <v>13601361776</v>
      </c>
      <c r="E48" s="3493" t="s">
        <v>3553</v>
      </c>
      <c r="F48" s="3493" t="s">
        <v>3684</v>
      </c>
      <c r="G48" s="3493"/>
      <c r="H48" s="3493" t="s">
        <v>3657</v>
      </c>
      <c r="I48" s="3493" t="s">
        <v>3470</v>
      </c>
      <c r="J48" s="3493" t="s">
        <v>3903</v>
      </c>
      <c r="K48" s="3493" t="s">
        <v>3904</v>
      </c>
      <c r="L48" s="3492">
        <v>48.03</v>
      </c>
      <c r="M48" s="3513">
        <v>3</v>
      </c>
      <c r="N48" s="3511" t="s">
        <v>3467</v>
      </c>
      <c r="O48" s="3513">
        <v>37.29</v>
      </c>
      <c r="P48" s="3493" t="s">
        <v>3468</v>
      </c>
      <c r="Q48" s="3494">
        <v>336210</v>
      </c>
      <c r="R48" s="3490">
        <v>7000</v>
      </c>
      <c r="S48" s="3519">
        <v>33.35</v>
      </c>
      <c r="T48" s="3517">
        <v>333500</v>
      </c>
      <c r="U48" s="3490">
        <v>6945</v>
      </c>
      <c r="V48" s="3496">
        <v>0.05</v>
      </c>
      <c r="W48" s="3497">
        <v>31.68</v>
      </c>
      <c r="X48" s="3521">
        <v>316800</v>
      </c>
      <c r="Y48" s="3499">
        <v>2004</v>
      </c>
      <c r="Z48" s="3490">
        <v>7</v>
      </c>
      <c r="AA48" s="3499">
        <v>27</v>
      </c>
      <c r="AB48" s="3490">
        <v>1000</v>
      </c>
      <c r="AC48" s="3490" t="s">
        <v>3585</v>
      </c>
      <c r="AD48" s="3493"/>
      <c r="AE48" s="3493" t="s">
        <v>3446</v>
      </c>
      <c r="AF48" s="3493" t="s">
        <v>3898</v>
      </c>
      <c r="AG48" s="3493" t="s">
        <v>3447</v>
      </c>
      <c r="AH48" s="3493"/>
      <c r="AI48" s="3493" t="s">
        <v>3448</v>
      </c>
      <c r="AJ48" s="3515"/>
      <c r="AK48" s="3527">
        <v>7</v>
      </c>
      <c r="AL48" s="3499">
        <v>67641700</v>
      </c>
      <c r="AM48" s="3499"/>
      <c r="AN48" s="3559" t="s">
        <v>3905</v>
      </c>
      <c r="AO48" s="3499" t="s">
        <v>3657</v>
      </c>
      <c r="AP48" s="3499" t="s">
        <v>3450</v>
      </c>
      <c r="AQ48" s="3499" t="s">
        <v>3451</v>
      </c>
      <c r="AR48" s="3490"/>
      <c r="AS48" s="3490"/>
      <c r="AT48" s="3490"/>
      <c r="AU48" s="3490"/>
      <c r="AV48" s="3520"/>
      <c r="AW48" s="3493" t="s">
        <v>3452</v>
      </c>
      <c r="AX48" s="3493"/>
      <c r="AY48" s="3493">
        <v>620391</v>
      </c>
      <c r="AZ48" s="3493" t="s">
        <v>3660</v>
      </c>
      <c r="BA48" s="3493" t="s">
        <v>3678</v>
      </c>
      <c r="BB48" s="3516" t="s">
        <v>3699</v>
      </c>
      <c r="BC48" s="3493" t="s">
        <v>3689</v>
      </c>
      <c r="BD48" s="3493" t="s">
        <v>3657</v>
      </c>
      <c r="BE48" s="3493"/>
      <c r="BF48" s="3505">
        <v>2.8</v>
      </c>
      <c r="BG48" s="3518">
        <v>38082</v>
      </c>
      <c r="BH48" s="3493"/>
      <c r="BI48" s="3490" t="s">
        <v>3466</v>
      </c>
      <c r="BJ48" s="3512">
        <v>38191</v>
      </c>
      <c r="BK48" s="3507"/>
      <c r="BL48" s="3499" t="s">
        <v>3906</v>
      </c>
      <c r="BM48" s="3490"/>
      <c r="BN48" s="3490"/>
      <c r="BO48" s="3490"/>
      <c r="BP48" s="3499"/>
      <c r="BQ48" s="3499">
        <v>8945</v>
      </c>
      <c r="BR48" s="3499">
        <v>9016</v>
      </c>
      <c r="BS48" s="3509"/>
      <c r="BT48" s="3509"/>
      <c r="BU48" s="3509"/>
    </row>
    <row r="49" spans="1:73" s="3510" customFormat="1" ht="12" hidden="1">
      <c r="A49" s="3489" t="s">
        <v>3907</v>
      </c>
      <c r="B49" s="3490" t="s">
        <v>3908</v>
      </c>
      <c r="C49" s="3491" t="s">
        <v>3909</v>
      </c>
      <c r="D49" s="3491" t="s">
        <v>3910</v>
      </c>
      <c r="E49" s="3490" t="s">
        <v>3542</v>
      </c>
      <c r="F49" s="3490" t="s">
        <v>3911</v>
      </c>
      <c r="G49" s="3490"/>
      <c r="H49" s="3493" t="s">
        <v>3912</v>
      </c>
      <c r="I49" s="3490" t="s">
        <v>3759</v>
      </c>
      <c r="J49" s="3490" t="s">
        <v>3913</v>
      </c>
      <c r="K49" s="3490" t="s">
        <v>3914</v>
      </c>
      <c r="L49" s="3492">
        <v>76.959999999999994</v>
      </c>
      <c r="M49" s="3490">
        <v>5</v>
      </c>
      <c r="N49" s="3490" t="s">
        <v>3915</v>
      </c>
      <c r="O49" s="3490">
        <v>60.89</v>
      </c>
      <c r="P49" s="3490" t="s">
        <v>3458</v>
      </c>
      <c r="Q49" s="3494">
        <v>465608</v>
      </c>
      <c r="R49" s="3492">
        <v>6050</v>
      </c>
      <c r="S49" s="3492">
        <v>46.16</v>
      </c>
      <c r="T49" s="3517">
        <v>461600</v>
      </c>
      <c r="U49" s="3494">
        <v>5998</v>
      </c>
      <c r="V49" s="3514">
        <v>0.1</v>
      </c>
      <c r="W49" s="3497">
        <v>41.54</v>
      </c>
      <c r="X49" s="3593">
        <v>415400</v>
      </c>
      <c r="Y49" s="3499">
        <v>2004</v>
      </c>
      <c r="Z49" s="3490">
        <v>4</v>
      </c>
      <c r="AA49" s="3490">
        <v>19</v>
      </c>
      <c r="AB49" s="3553">
        <v>2305</v>
      </c>
      <c r="AC49" s="3490" t="s">
        <v>3465</v>
      </c>
      <c r="AD49" s="3489"/>
      <c r="AE49" s="3499" t="s">
        <v>3446</v>
      </c>
      <c r="AF49" s="3490" t="s">
        <v>3916</v>
      </c>
      <c r="AG49" s="3500" t="s">
        <v>3447</v>
      </c>
      <c r="AH49" s="3489"/>
      <c r="AI49" s="3490" t="s">
        <v>3448</v>
      </c>
      <c r="AJ49" s="3550">
        <v>38503</v>
      </c>
      <c r="AK49" s="3501">
        <v>4</v>
      </c>
      <c r="AL49" s="3499">
        <v>67641700</v>
      </c>
      <c r="AM49" s="3499"/>
      <c r="AN49" s="3502" t="s">
        <v>3462</v>
      </c>
      <c r="AO49" s="3490" t="s">
        <v>3668</v>
      </c>
      <c r="AP49" s="3499" t="s">
        <v>3450</v>
      </c>
      <c r="AQ49" s="3499" t="s">
        <v>3451</v>
      </c>
      <c r="AR49" s="3499"/>
      <c r="AS49" s="3499"/>
      <c r="AT49" s="3499"/>
      <c r="AU49" s="3499"/>
      <c r="AV49" s="3499"/>
      <c r="AW49" s="3499" t="s">
        <v>3452</v>
      </c>
      <c r="AX49" s="3499"/>
      <c r="AY49" s="3503" t="s">
        <v>3917</v>
      </c>
      <c r="AZ49" s="3490" t="s">
        <v>3918</v>
      </c>
      <c r="BA49" s="3499" t="s">
        <v>3919</v>
      </c>
      <c r="BB49" s="3503" t="s">
        <v>3920</v>
      </c>
      <c r="BC49" s="3499" t="s">
        <v>3921</v>
      </c>
      <c r="BD49" s="3504">
        <v>100037</v>
      </c>
      <c r="BE49" s="3499">
        <v>88423966</v>
      </c>
      <c r="BF49" s="3505">
        <v>2.75</v>
      </c>
      <c r="BG49" s="3515">
        <v>38076</v>
      </c>
      <c r="BH49" s="3499"/>
      <c r="BI49" s="3502" t="s">
        <v>3922</v>
      </c>
      <c r="BJ49" s="3512">
        <v>38090</v>
      </c>
      <c r="BK49" s="3512" t="s">
        <v>3668</v>
      </c>
      <c r="BL49" s="3490" t="s">
        <v>3454</v>
      </c>
      <c r="BM49" s="3499"/>
      <c r="BN49" s="3499"/>
      <c r="BO49" s="3499"/>
      <c r="BP49" s="3499"/>
      <c r="BQ49" s="3499">
        <v>7581</v>
      </c>
      <c r="BR49" s="3499">
        <v>7647</v>
      </c>
      <c r="BS49" s="3509"/>
      <c r="BT49" s="3509"/>
      <c r="BU49" s="3509"/>
    </row>
    <row r="50" spans="1:73" s="3510" customFormat="1" ht="12" hidden="1">
      <c r="A50" s="3489" t="s">
        <v>3923</v>
      </c>
      <c r="B50" s="3490" t="s">
        <v>3924</v>
      </c>
      <c r="C50" s="3491" t="s">
        <v>3925</v>
      </c>
      <c r="D50" s="3491" t="s">
        <v>3926</v>
      </c>
      <c r="E50" s="3490" t="s">
        <v>3542</v>
      </c>
      <c r="F50" s="3490" t="s">
        <v>3927</v>
      </c>
      <c r="G50" s="3490"/>
      <c r="H50" s="3493" t="s">
        <v>3928</v>
      </c>
      <c r="I50" s="3490" t="s">
        <v>3929</v>
      </c>
      <c r="J50" s="3490" t="s">
        <v>3930</v>
      </c>
      <c r="K50" s="3490" t="s">
        <v>3918</v>
      </c>
      <c r="L50" s="3492">
        <v>93.68</v>
      </c>
      <c r="M50" s="3490">
        <v>14</v>
      </c>
      <c r="N50" s="3490" t="s">
        <v>3931</v>
      </c>
      <c r="O50" s="3490">
        <v>74.12</v>
      </c>
      <c r="P50" s="3490" t="s">
        <v>3458</v>
      </c>
      <c r="Q50" s="3494">
        <v>637723</v>
      </c>
      <c r="R50" s="3492">
        <v>6807</v>
      </c>
      <c r="S50" s="3492">
        <v>63.28</v>
      </c>
      <c r="T50" s="3517">
        <v>632800</v>
      </c>
      <c r="U50" s="3494">
        <v>6755</v>
      </c>
      <c r="V50" s="3514">
        <v>0.1</v>
      </c>
      <c r="W50" s="3497">
        <v>56.95</v>
      </c>
      <c r="X50" s="3593">
        <v>569500</v>
      </c>
      <c r="Y50" s="3499">
        <v>2004</v>
      </c>
      <c r="Z50" s="3490">
        <v>4</v>
      </c>
      <c r="AA50" s="3490">
        <v>19</v>
      </c>
      <c r="AB50" s="3553">
        <v>3160</v>
      </c>
      <c r="AC50" s="3490" t="s">
        <v>3932</v>
      </c>
      <c r="AD50" s="3489"/>
      <c r="AE50" s="3499" t="s">
        <v>3446</v>
      </c>
      <c r="AF50" s="3490" t="s">
        <v>3916</v>
      </c>
      <c r="AG50" s="3500" t="s">
        <v>3447</v>
      </c>
      <c r="AH50" s="3489"/>
      <c r="AI50" s="3490" t="s">
        <v>3448</v>
      </c>
      <c r="AJ50" s="3550">
        <v>38503</v>
      </c>
      <c r="AK50" s="3501">
        <v>4</v>
      </c>
      <c r="AL50" s="3499">
        <v>67641700</v>
      </c>
      <c r="AM50" s="3499"/>
      <c r="AN50" s="3502" t="s">
        <v>3462</v>
      </c>
      <c r="AO50" s="3490" t="s">
        <v>3668</v>
      </c>
      <c r="AP50" s="3499" t="s">
        <v>3450</v>
      </c>
      <c r="AQ50" s="3499" t="s">
        <v>3451</v>
      </c>
      <c r="AR50" s="3499"/>
      <c r="AS50" s="3499"/>
      <c r="AT50" s="3499"/>
      <c r="AU50" s="3499"/>
      <c r="AV50" s="3499"/>
      <c r="AW50" s="3499" t="s">
        <v>3452</v>
      </c>
      <c r="AX50" s="3499"/>
      <c r="AY50" s="3503" t="s">
        <v>3933</v>
      </c>
      <c r="AZ50" s="3490" t="s">
        <v>3918</v>
      </c>
      <c r="BA50" s="3499" t="s">
        <v>3934</v>
      </c>
      <c r="BB50" s="3503" t="s">
        <v>3920</v>
      </c>
      <c r="BC50" s="3499" t="s">
        <v>3921</v>
      </c>
      <c r="BD50" s="3504">
        <v>100037</v>
      </c>
      <c r="BE50" s="3499">
        <v>88423966</v>
      </c>
      <c r="BF50" s="3505">
        <v>2.75</v>
      </c>
      <c r="BG50" s="3515">
        <v>38080</v>
      </c>
      <c r="BH50" s="3499"/>
      <c r="BI50" s="3502" t="s">
        <v>3922</v>
      </c>
      <c r="BJ50" s="3512">
        <v>38090</v>
      </c>
      <c r="BK50" s="3512" t="s">
        <v>3668</v>
      </c>
      <c r="BL50" s="3490" t="s">
        <v>3454</v>
      </c>
      <c r="BM50" s="3499"/>
      <c r="BN50" s="3499"/>
      <c r="BO50" s="3499"/>
      <c r="BP50" s="3499"/>
      <c r="BQ50" s="3499">
        <v>8538</v>
      </c>
      <c r="BR50" s="3499">
        <v>8604</v>
      </c>
      <c r="BS50" s="3509"/>
      <c r="BT50" s="3509"/>
      <c r="BU50" s="3509"/>
    </row>
    <row r="51" spans="1:73" s="3509" customFormat="1" ht="12" hidden="1">
      <c r="A51" s="3490" t="s">
        <v>3935</v>
      </c>
      <c r="B51" s="3490" t="s">
        <v>3936</v>
      </c>
      <c r="C51" s="3491" t="s">
        <v>3937</v>
      </c>
      <c r="D51" s="3493" t="s">
        <v>3938</v>
      </c>
      <c r="E51" s="3490" t="s">
        <v>3939</v>
      </c>
      <c r="F51" s="3490" t="s">
        <v>3911</v>
      </c>
      <c r="G51" s="3490"/>
      <c r="H51" s="3513" t="s">
        <v>3940</v>
      </c>
      <c r="I51" s="3493" t="s">
        <v>3929</v>
      </c>
      <c r="J51" s="3513" t="s">
        <v>3941</v>
      </c>
      <c r="K51" s="3490" t="s">
        <v>3942</v>
      </c>
      <c r="L51" s="3492">
        <v>107.58</v>
      </c>
      <c r="M51" s="3513">
        <v>10</v>
      </c>
      <c r="N51" s="3490" t="s">
        <v>3943</v>
      </c>
      <c r="O51" s="3490">
        <v>85.12</v>
      </c>
      <c r="P51" s="3490" t="s">
        <v>3458</v>
      </c>
      <c r="Q51" s="3494">
        <v>793243</v>
      </c>
      <c r="R51" s="3492">
        <v>7374</v>
      </c>
      <c r="S51" s="3492">
        <v>78.709999999999994</v>
      </c>
      <c r="T51" s="3495">
        <v>787100</v>
      </c>
      <c r="U51" s="3494">
        <v>7317</v>
      </c>
      <c r="V51" s="3514">
        <v>0.1</v>
      </c>
      <c r="W51" s="3497">
        <v>70.83</v>
      </c>
      <c r="X51" s="3498">
        <v>708300</v>
      </c>
      <c r="Y51" s="3490">
        <v>2004</v>
      </c>
      <c r="Z51" s="3490">
        <v>4</v>
      </c>
      <c r="AA51" s="3490">
        <v>27</v>
      </c>
      <c r="AB51" s="3489">
        <v>3935</v>
      </c>
      <c r="AC51" s="3490" t="s">
        <v>3720</v>
      </c>
      <c r="AD51" s="3490"/>
      <c r="AE51" s="3490" t="s">
        <v>3446</v>
      </c>
      <c r="AF51" s="3490" t="s">
        <v>3944</v>
      </c>
      <c r="AG51" s="3490" t="s">
        <v>3447</v>
      </c>
      <c r="AH51" s="3490"/>
      <c r="AI51" s="3490" t="s">
        <v>3448</v>
      </c>
      <c r="AJ51" s="3515">
        <v>38503</v>
      </c>
      <c r="AK51" s="3490" t="s">
        <v>3945</v>
      </c>
      <c r="AL51" s="3490">
        <v>67641700</v>
      </c>
      <c r="AM51" s="3490"/>
      <c r="AN51" s="3490" t="s">
        <v>3905</v>
      </c>
      <c r="AO51" s="3490" t="s">
        <v>3946</v>
      </c>
      <c r="AP51" s="3490" t="s">
        <v>3450</v>
      </c>
      <c r="AQ51" s="3490" t="s">
        <v>3451</v>
      </c>
      <c r="AR51" s="3490"/>
      <c r="AS51" s="3490"/>
      <c r="AT51" s="3490"/>
      <c r="AU51" s="3490"/>
      <c r="AV51" s="3490" t="s">
        <v>3453</v>
      </c>
      <c r="AW51" s="3490" t="s">
        <v>3452</v>
      </c>
      <c r="AX51" s="3490"/>
      <c r="AY51" s="3502">
        <v>733403</v>
      </c>
      <c r="AZ51" s="3490" t="s">
        <v>3918</v>
      </c>
      <c r="BA51" s="3490" t="s">
        <v>3934</v>
      </c>
      <c r="BB51" s="3490">
        <v>1102232177726</v>
      </c>
      <c r="BC51" s="3490" t="s">
        <v>3921</v>
      </c>
      <c r="BD51" s="3490">
        <v>100037</v>
      </c>
      <c r="BE51" s="3490">
        <v>88423966</v>
      </c>
      <c r="BF51" s="3490">
        <v>2.75</v>
      </c>
      <c r="BG51" s="3515">
        <v>38091</v>
      </c>
      <c r="BH51" s="3490"/>
      <c r="BI51" s="3502" t="s">
        <v>3947</v>
      </c>
      <c r="BJ51" s="3507">
        <v>38100</v>
      </c>
      <c r="BK51" s="3507"/>
      <c r="BL51" s="3490" t="s">
        <v>3454</v>
      </c>
      <c r="BM51" s="3490"/>
      <c r="BN51" s="3490"/>
      <c r="BO51" s="3490"/>
      <c r="BP51" s="3490"/>
      <c r="BQ51" s="3490">
        <v>9248</v>
      </c>
      <c r="BR51" s="3490">
        <v>9319</v>
      </c>
    </row>
    <row r="52" spans="1:73" s="3581" customFormat="1" ht="12">
      <c r="A52" s="3571" t="s">
        <v>4044</v>
      </c>
      <c r="B52" s="3561" t="s">
        <v>3948</v>
      </c>
      <c r="C52" s="3562" t="s">
        <v>3949</v>
      </c>
      <c r="D52" s="3562" t="s">
        <v>3950</v>
      </c>
      <c r="E52" s="3561" t="s">
        <v>3553</v>
      </c>
      <c r="F52" s="3561" t="s">
        <v>3911</v>
      </c>
      <c r="G52" s="3561"/>
      <c r="H52" s="3582" t="s">
        <v>3951</v>
      </c>
      <c r="I52" s="3561" t="s">
        <v>3952</v>
      </c>
      <c r="J52" s="3561" t="s">
        <v>3953</v>
      </c>
      <c r="K52" s="3561" t="s">
        <v>3914</v>
      </c>
      <c r="L52" s="3564">
        <v>68.31</v>
      </c>
      <c r="M52" s="3561">
        <v>2</v>
      </c>
      <c r="N52" s="3561" t="s">
        <v>3455</v>
      </c>
      <c r="O52" s="3561">
        <v>54.05</v>
      </c>
      <c r="P52" s="3561" t="s">
        <v>3458</v>
      </c>
      <c r="Q52" s="3565">
        <v>377754</v>
      </c>
      <c r="R52" s="3564">
        <v>5530</v>
      </c>
      <c r="S52" s="3564">
        <v>37.42</v>
      </c>
      <c r="T52" s="3566">
        <v>374200</v>
      </c>
      <c r="U52" s="3565">
        <v>5479</v>
      </c>
      <c r="V52" s="3567">
        <v>0.1</v>
      </c>
      <c r="W52" s="3568">
        <v>33.67</v>
      </c>
      <c r="X52" s="3594">
        <v>336700</v>
      </c>
      <c r="Y52" s="3570">
        <v>2004</v>
      </c>
      <c r="Z52" s="3561">
        <v>4</v>
      </c>
      <c r="AA52" s="3561">
        <v>29</v>
      </c>
      <c r="AB52" s="3595">
        <v>1870</v>
      </c>
      <c r="AC52" s="3561" t="s">
        <v>3954</v>
      </c>
      <c r="AD52" s="3571"/>
      <c r="AE52" s="3570" t="s">
        <v>3446</v>
      </c>
      <c r="AF52" s="3561" t="s">
        <v>3916</v>
      </c>
      <c r="AG52" s="3596" t="s">
        <v>3447</v>
      </c>
      <c r="AH52" s="3571"/>
      <c r="AI52" s="3561" t="s">
        <v>3448</v>
      </c>
      <c r="AJ52" s="3572">
        <v>38503</v>
      </c>
      <c r="AK52" s="3586">
        <v>4</v>
      </c>
      <c r="AL52" s="3570">
        <v>67641700</v>
      </c>
      <c r="AM52" s="3570"/>
      <c r="AN52" s="3587" t="s">
        <v>3955</v>
      </c>
      <c r="AO52" s="3561" t="s">
        <v>3956</v>
      </c>
      <c r="AP52" s="3570" t="s">
        <v>3450</v>
      </c>
      <c r="AQ52" s="3570" t="s">
        <v>3451</v>
      </c>
      <c r="AR52" s="3570"/>
      <c r="AS52" s="3570"/>
      <c r="AT52" s="3570"/>
      <c r="AU52" s="3570"/>
      <c r="AV52" s="3570"/>
      <c r="AW52" s="3570" t="s">
        <v>3452</v>
      </c>
      <c r="AX52" s="3570"/>
      <c r="AY52" s="3574" t="s">
        <v>3957</v>
      </c>
      <c r="AZ52" s="3561" t="s">
        <v>3918</v>
      </c>
      <c r="BA52" s="3570" t="s">
        <v>3958</v>
      </c>
      <c r="BB52" s="3574" t="s">
        <v>3920</v>
      </c>
      <c r="BC52" s="3570" t="s">
        <v>3959</v>
      </c>
      <c r="BD52" s="3575">
        <v>100037</v>
      </c>
      <c r="BE52" s="3570">
        <v>88423966</v>
      </c>
      <c r="BF52" s="3576">
        <v>2.75</v>
      </c>
      <c r="BG52" s="3588">
        <v>38087</v>
      </c>
      <c r="BH52" s="3570"/>
      <c r="BI52" s="3587" t="s">
        <v>3947</v>
      </c>
      <c r="BJ52" s="3579">
        <v>38104</v>
      </c>
      <c r="BK52" s="3579" t="s">
        <v>3657</v>
      </c>
      <c r="BL52" s="3561" t="s">
        <v>3454</v>
      </c>
      <c r="BM52" s="3570"/>
      <c r="BN52" s="3570"/>
      <c r="BO52" s="3570"/>
      <c r="BP52" s="3570"/>
      <c r="BQ52" s="3570">
        <v>6925</v>
      </c>
      <c r="BR52" s="3570">
        <v>6989</v>
      </c>
      <c r="BS52" s="3580"/>
      <c r="BT52" s="3580"/>
      <c r="BU52" s="3580"/>
    </row>
    <row r="53" spans="1:73" s="3509" customFormat="1" ht="12">
      <c r="A53" s="3489" t="s">
        <v>3960</v>
      </c>
      <c r="B53" s="3490" t="s">
        <v>3961</v>
      </c>
      <c r="C53" s="3491" t="s">
        <v>3962</v>
      </c>
      <c r="D53" s="3491" t="s">
        <v>3963</v>
      </c>
      <c r="E53" s="3490" t="s">
        <v>3553</v>
      </c>
      <c r="F53" s="3490" t="s">
        <v>3964</v>
      </c>
      <c r="G53" s="3490"/>
      <c r="H53" s="3513" t="s">
        <v>3928</v>
      </c>
      <c r="I53" s="3493" t="s">
        <v>3965</v>
      </c>
      <c r="J53" s="3490" t="s">
        <v>3966</v>
      </c>
      <c r="K53" s="3490" t="s">
        <v>3942</v>
      </c>
      <c r="L53" s="3492">
        <v>68.31</v>
      </c>
      <c r="M53" s="3490">
        <v>4</v>
      </c>
      <c r="N53" s="3490" t="s">
        <v>3455</v>
      </c>
      <c r="O53" s="3490">
        <v>54.05</v>
      </c>
      <c r="P53" s="3490" t="s">
        <v>3458</v>
      </c>
      <c r="Q53" s="3494">
        <v>398930</v>
      </c>
      <c r="R53" s="3492">
        <v>5840</v>
      </c>
      <c r="S53" s="3492">
        <v>39.520000000000003</v>
      </c>
      <c r="T53" s="3517">
        <v>395200</v>
      </c>
      <c r="U53" s="3494">
        <v>5786</v>
      </c>
      <c r="V53" s="3514">
        <v>0.1</v>
      </c>
      <c r="W53" s="3497">
        <v>35.56</v>
      </c>
      <c r="X53" s="3593">
        <v>355600</v>
      </c>
      <c r="Y53" s="3499">
        <v>2004</v>
      </c>
      <c r="Z53" s="3490">
        <v>5</v>
      </c>
      <c r="AA53" s="3490">
        <v>9</v>
      </c>
      <c r="AB53" s="3553">
        <v>1975</v>
      </c>
      <c r="AC53" s="3490" t="s">
        <v>3967</v>
      </c>
      <c r="AD53" s="3489"/>
      <c r="AE53" s="3499" t="s">
        <v>3446</v>
      </c>
      <c r="AF53" s="3490" t="s">
        <v>3944</v>
      </c>
      <c r="AG53" s="3500" t="s">
        <v>3447</v>
      </c>
      <c r="AH53" s="3489"/>
      <c r="AI53" s="3490" t="s">
        <v>3448</v>
      </c>
      <c r="AJ53" s="3550">
        <v>38503</v>
      </c>
      <c r="AK53" s="3501">
        <v>5</v>
      </c>
      <c r="AL53" s="3499">
        <v>67641700</v>
      </c>
      <c r="AM53" s="3499"/>
      <c r="AN53" s="3502" t="s">
        <v>3747</v>
      </c>
      <c r="AO53" s="3490" t="s">
        <v>3668</v>
      </c>
      <c r="AP53" s="3499" t="s">
        <v>3450</v>
      </c>
      <c r="AQ53" s="3499" t="s">
        <v>3451</v>
      </c>
      <c r="AR53" s="3499"/>
      <c r="AS53" s="3499"/>
      <c r="AT53" s="3499"/>
      <c r="AU53" s="3499"/>
      <c r="AV53" s="3499"/>
      <c r="AW53" s="3499" t="s">
        <v>3452</v>
      </c>
      <c r="AX53" s="3499"/>
      <c r="AY53" s="3503" t="s">
        <v>3968</v>
      </c>
      <c r="AZ53" s="3490" t="s">
        <v>3918</v>
      </c>
      <c r="BA53" s="3499" t="s">
        <v>3958</v>
      </c>
      <c r="BB53" s="3503" t="s">
        <v>3920</v>
      </c>
      <c r="BC53" s="3499" t="s">
        <v>3959</v>
      </c>
      <c r="BD53" s="3504">
        <v>100037</v>
      </c>
      <c r="BE53" s="3499">
        <v>88423966</v>
      </c>
      <c r="BF53" s="3505">
        <v>2.75</v>
      </c>
      <c r="BG53" s="3515">
        <v>38090</v>
      </c>
      <c r="BH53" s="3499"/>
      <c r="BI53" s="3502" t="s">
        <v>3922</v>
      </c>
      <c r="BJ53" s="3512">
        <v>38106</v>
      </c>
      <c r="BK53" s="3512" t="s">
        <v>3657</v>
      </c>
      <c r="BL53" s="3490" t="s">
        <v>3454</v>
      </c>
      <c r="BM53" s="3499"/>
      <c r="BN53" s="3499"/>
      <c r="BO53" s="3499"/>
      <c r="BP53" s="3499"/>
      <c r="BQ53" s="3499">
        <v>7313</v>
      </c>
      <c r="BR53" s="3499">
        <v>7381</v>
      </c>
    </row>
    <row r="54" spans="1:73" s="3509" customFormat="1" ht="12">
      <c r="A54" s="3489" t="s">
        <v>3969</v>
      </c>
      <c r="B54" s="3490" t="s">
        <v>3970</v>
      </c>
      <c r="C54" s="3491" t="s">
        <v>3971</v>
      </c>
      <c r="D54" s="3491" t="s">
        <v>3972</v>
      </c>
      <c r="E54" s="3490" t="s">
        <v>3553</v>
      </c>
      <c r="F54" s="3490" t="s">
        <v>3911</v>
      </c>
      <c r="G54" s="3490"/>
      <c r="H54" s="3513" t="s">
        <v>3912</v>
      </c>
      <c r="I54" s="3493" t="s">
        <v>3973</v>
      </c>
      <c r="J54" s="3490" t="s">
        <v>3974</v>
      </c>
      <c r="K54" s="3490" t="s">
        <v>3914</v>
      </c>
      <c r="L54" s="3492">
        <v>121.07</v>
      </c>
      <c r="M54" s="3490">
        <v>3</v>
      </c>
      <c r="N54" s="3490" t="s">
        <v>3578</v>
      </c>
      <c r="O54" s="3490">
        <v>95.79</v>
      </c>
      <c r="P54" s="3490" t="s">
        <v>3458</v>
      </c>
      <c r="Q54" s="3494">
        <v>767584</v>
      </c>
      <c r="R54" s="3492">
        <v>6340</v>
      </c>
      <c r="S54" s="3492">
        <v>76.150000000000006</v>
      </c>
      <c r="T54" s="3517">
        <v>761500</v>
      </c>
      <c r="U54" s="3494">
        <v>6290</v>
      </c>
      <c r="V54" s="3514">
        <v>0.1</v>
      </c>
      <c r="W54" s="3497">
        <v>68.53</v>
      </c>
      <c r="X54" s="3593">
        <v>685300</v>
      </c>
      <c r="Y54" s="3499">
        <v>2004</v>
      </c>
      <c r="Z54" s="3490">
        <v>5</v>
      </c>
      <c r="AA54" s="3490">
        <v>9</v>
      </c>
      <c r="AB54" s="3553">
        <v>3805</v>
      </c>
      <c r="AC54" s="3490" t="s">
        <v>3975</v>
      </c>
      <c r="AD54" s="3489"/>
      <c r="AE54" s="3499" t="s">
        <v>3446</v>
      </c>
      <c r="AF54" s="3490" t="s">
        <v>3976</v>
      </c>
      <c r="AG54" s="3500" t="s">
        <v>3447</v>
      </c>
      <c r="AH54" s="3489"/>
      <c r="AI54" s="3490" t="s">
        <v>3448</v>
      </c>
      <c r="AJ54" s="3550">
        <v>38503</v>
      </c>
      <c r="AK54" s="3501">
        <v>5</v>
      </c>
      <c r="AL54" s="3499">
        <v>67641700</v>
      </c>
      <c r="AM54" s="3499"/>
      <c r="AN54" s="3502" t="s">
        <v>3747</v>
      </c>
      <c r="AO54" s="3490" t="s">
        <v>3657</v>
      </c>
      <c r="AP54" s="3499" t="s">
        <v>3450</v>
      </c>
      <c r="AQ54" s="3499" t="s">
        <v>3451</v>
      </c>
      <c r="AR54" s="3499"/>
      <c r="AS54" s="3499"/>
      <c r="AT54" s="3499"/>
      <c r="AU54" s="3499"/>
      <c r="AV54" s="3499"/>
      <c r="AW54" s="3499" t="s">
        <v>3452</v>
      </c>
      <c r="AX54" s="3499"/>
      <c r="AY54" s="3503" t="s">
        <v>3977</v>
      </c>
      <c r="AZ54" s="3490" t="s">
        <v>3914</v>
      </c>
      <c r="BA54" s="3499" t="s">
        <v>3958</v>
      </c>
      <c r="BB54" s="3503" t="s">
        <v>3978</v>
      </c>
      <c r="BC54" s="3499" t="s">
        <v>3979</v>
      </c>
      <c r="BD54" s="3504">
        <v>100037</v>
      </c>
      <c r="BE54" s="3499">
        <v>88423966</v>
      </c>
      <c r="BF54" s="3505">
        <v>2.75</v>
      </c>
      <c r="BG54" s="3515">
        <v>38101</v>
      </c>
      <c r="BH54" s="3499"/>
      <c r="BI54" s="3502" t="s">
        <v>3922</v>
      </c>
      <c r="BJ54" s="3512">
        <v>38106</v>
      </c>
      <c r="BK54" s="3512" t="s">
        <v>3668</v>
      </c>
      <c r="BL54" s="3490" t="s">
        <v>3454</v>
      </c>
      <c r="BM54" s="3499"/>
      <c r="BN54" s="3499"/>
      <c r="BO54" s="3499"/>
      <c r="BP54" s="3499"/>
      <c r="BQ54" s="3499">
        <v>7950</v>
      </c>
      <c r="BR54" s="3499">
        <v>8013</v>
      </c>
    </row>
    <row r="55" spans="1:73" s="3509" customFormat="1" ht="12">
      <c r="A55" s="3489" t="s">
        <v>3980</v>
      </c>
      <c r="B55" s="3490" t="s">
        <v>3981</v>
      </c>
      <c r="C55" s="3491" t="s">
        <v>3982</v>
      </c>
      <c r="D55" s="3491" t="s">
        <v>3983</v>
      </c>
      <c r="E55" s="3490" t="s">
        <v>3553</v>
      </c>
      <c r="F55" s="3490" t="s">
        <v>3911</v>
      </c>
      <c r="G55" s="3490"/>
      <c r="H55" s="3513" t="s">
        <v>3928</v>
      </c>
      <c r="I55" s="3493" t="s">
        <v>3973</v>
      </c>
      <c r="J55" s="3490" t="s">
        <v>3984</v>
      </c>
      <c r="K55" s="3490" t="s">
        <v>3914</v>
      </c>
      <c r="L55" s="3492">
        <v>133.41999999999999</v>
      </c>
      <c r="M55" s="3490">
        <v>4</v>
      </c>
      <c r="N55" s="3490" t="s">
        <v>3985</v>
      </c>
      <c r="O55" s="3490">
        <v>105.56</v>
      </c>
      <c r="P55" s="3490" t="s">
        <v>3458</v>
      </c>
      <c r="Q55" s="3494">
        <v>896582</v>
      </c>
      <c r="R55" s="3492">
        <v>6720</v>
      </c>
      <c r="S55" s="3492">
        <v>88.97</v>
      </c>
      <c r="T55" s="3517">
        <v>889700</v>
      </c>
      <c r="U55" s="3494">
        <v>6669</v>
      </c>
      <c r="V55" s="3514">
        <v>0.1</v>
      </c>
      <c r="W55" s="3497">
        <v>80.069999999999993</v>
      </c>
      <c r="X55" s="3593">
        <v>800700</v>
      </c>
      <c r="Y55" s="3499">
        <v>2004</v>
      </c>
      <c r="Z55" s="3490">
        <v>5</v>
      </c>
      <c r="AA55" s="3490">
        <v>9</v>
      </c>
      <c r="AB55" s="3553">
        <v>4445</v>
      </c>
      <c r="AC55" s="3490" t="s">
        <v>3564</v>
      </c>
      <c r="AD55" s="3489"/>
      <c r="AE55" s="3499" t="s">
        <v>3446</v>
      </c>
      <c r="AF55" s="3490" t="s">
        <v>3944</v>
      </c>
      <c r="AG55" s="3500" t="s">
        <v>3447</v>
      </c>
      <c r="AH55" s="3489"/>
      <c r="AI55" s="3490" t="s">
        <v>3448</v>
      </c>
      <c r="AJ55" s="3550">
        <v>38503</v>
      </c>
      <c r="AK55" s="3501">
        <v>5</v>
      </c>
      <c r="AL55" s="3499">
        <v>67641700</v>
      </c>
      <c r="AM55" s="3499"/>
      <c r="AN55" s="3502" t="s">
        <v>3747</v>
      </c>
      <c r="AO55" s="3490" t="s">
        <v>3657</v>
      </c>
      <c r="AP55" s="3499" t="s">
        <v>3450</v>
      </c>
      <c r="AQ55" s="3499" t="s">
        <v>3451</v>
      </c>
      <c r="AR55" s="3499"/>
      <c r="AS55" s="3499"/>
      <c r="AT55" s="3499"/>
      <c r="AU55" s="3499"/>
      <c r="AV55" s="3499"/>
      <c r="AW55" s="3499" t="s">
        <v>3452</v>
      </c>
      <c r="AX55" s="3499"/>
      <c r="AY55" s="3503" t="s">
        <v>3986</v>
      </c>
      <c r="AZ55" s="3490" t="s">
        <v>3918</v>
      </c>
      <c r="BA55" s="3499" t="s">
        <v>3958</v>
      </c>
      <c r="BB55" s="3503" t="s">
        <v>3987</v>
      </c>
      <c r="BC55" s="3499" t="s">
        <v>3988</v>
      </c>
      <c r="BD55" s="3504">
        <v>100037</v>
      </c>
      <c r="BE55" s="3499">
        <v>88423966</v>
      </c>
      <c r="BF55" s="3505">
        <v>2.75</v>
      </c>
      <c r="BG55" s="3515">
        <v>38100</v>
      </c>
      <c r="BH55" s="3499"/>
      <c r="BI55" s="3502" t="s">
        <v>3989</v>
      </c>
      <c r="BJ55" s="3512">
        <v>38106</v>
      </c>
      <c r="BK55" s="3512" t="s">
        <v>3668</v>
      </c>
      <c r="BL55" s="3490" t="s">
        <v>3454</v>
      </c>
      <c r="BM55" s="3499"/>
      <c r="BN55" s="3499"/>
      <c r="BO55" s="3499"/>
      <c r="BP55" s="3499"/>
      <c r="BQ55" s="3499">
        <v>8429</v>
      </c>
      <c r="BR55" s="3499">
        <v>8494</v>
      </c>
    </row>
    <row r="56" spans="1:73" s="3509" customFormat="1" ht="12">
      <c r="A56" s="3489" t="s">
        <v>3990</v>
      </c>
      <c r="B56" s="3490" t="s">
        <v>3991</v>
      </c>
      <c r="C56" s="3491" t="s">
        <v>3992</v>
      </c>
      <c r="D56" s="3491" t="s">
        <v>3993</v>
      </c>
      <c r="E56" s="3490" t="s">
        <v>3542</v>
      </c>
      <c r="F56" s="3490" t="s">
        <v>3994</v>
      </c>
      <c r="G56" s="3490"/>
      <c r="H56" s="3513" t="s">
        <v>3912</v>
      </c>
      <c r="I56" s="3493" t="s">
        <v>3995</v>
      </c>
      <c r="J56" s="3490" t="s">
        <v>3996</v>
      </c>
      <c r="K56" s="3490" t="s">
        <v>3997</v>
      </c>
      <c r="L56" s="3492">
        <v>104.46</v>
      </c>
      <c r="M56" s="3490">
        <v>8</v>
      </c>
      <c r="N56" s="3511" t="s">
        <v>3563</v>
      </c>
      <c r="O56" s="3490">
        <v>82.65</v>
      </c>
      <c r="P56" s="3490" t="s">
        <v>3458</v>
      </c>
      <c r="Q56" s="3494">
        <v>764000</v>
      </c>
      <c r="R56" s="3492">
        <v>7314</v>
      </c>
      <c r="S56" s="3492">
        <v>75.73</v>
      </c>
      <c r="T56" s="3517">
        <v>757300</v>
      </c>
      <c r="U56" s="3494">
        <v>7250</v>
      </c>
      <c r="V56" s="3514">
        <v>0.1</v>
      </c>
      <c r="W56" s="3497">
        <v>68.150000000000006</v>
      </c>
      <c r="X56" s="3593">
        <v>681500</v>
      </c>
      <c r="Y56" s="3499">
        <v>2004</v>
      </c>
      <c r="Z56" s="3490">
        <v>5</v>
      </c>
      <c r="AA56" s="3490">
        <v>9</v>
      </c>
      <c r="AB56" s="3553">
        <v>3785</v>
      </c>
      <c r="AC56" s="3490" t="s">
        <v>3579</v>
      </c>
      <c r="AD56" s="3489"/>
      <c r="AE56" s="3499" t="s">
        <v>3446</v>
      </c>
      <c r="AF56" s="3490" t="s">
        <v>3944</v>
      </c>
      <c r="AG56" s="3500" t="s">
        <v>3447</v>
      </c>
      <c r="AH56" s="3489"/>
      <c r="AI56" s="3490" t="s">
        <v>3448</v>
      </c>
      <c r="AJ56" s="3550">
        <v>38503</v>
      </c>
      <c r="AK56" s="3501">
        <v>5</v>
      </c>
      <c r="AL56" s="3499">
        <v>67641700</v>
      </c>
      <c r="AM56" s="3499"/>
      <c r="AN56" s="3502" t="s">
        <v>3747</v>
      </c>
      <c r="AO56" s="3490" t="s">
        <v>3657</v>
      </c>
      <c r="AP56" s="3499" t="s">
        <v>3450</v>
      </c>
      <c r="AQ56" s="3499" t="s">
        <v>3451</v>
      </c>
      <c r="AR56" s="3499"/>
      <c r="AS56" s="3499"/>
      <c r="AT56" s="3499"/>
      <c r="AU56" s="3499"/>
      <c r="AV56" s="3499"/>
      <c r="AW56" s="3499" t="s">
        <v>3452</v>
      </c>
      <c r="AX56" s="3499"/>
      <c r="AY56" s="3503" t="s">
        <v>3998</v>
      </c>
      <c r="AZ56" s="3490" t="s">
        <v>3914</v>
      </c>
      <c r="BA56" s="3499" t="s">
        <v>3958</v>
      </c>
      <c r="BB56" s="3503" t="s">
        <v>3987</v>
      </c>
      <c r="BC56" s="3499" t="s">
        <v>3999</v>
      </c>
      <c r="BD56" s="3504">
        <v>100037</v>
      </c>
      <c r="BE56" s="3499">
        <v>88423966</v>
      </c>
      <c r="BF56" s="3505">
        <v>2.75</v>
      </c>
      <c r="BG56" s="3515">
        <v>38088</v>
      </c>
      <c r="BH56" s="3499"/>
      <c r="BI56" s="3502" t="s">
        <v>3922</v>
      </c>
      <c r="BJ56" s="3512">
        <v>38115</v>
      </c>
      <c r="BK56" s="3512" t="s">
        <v>3668</v>
      </c>
      <c r="BL56" s="3490" t="s">
        <v>3454</v>
      </c>
      <c r="BM56" s="3499"/>
      <c r="BN56" s="3499"/>
      <c r="BO56" s="3499"/>
      <c r="BP56" s="3499"/>
      <c r="BQ56" s="3499">
        <v>9163</v>
      </c>
      <c r="BR56" s="3499">
        <v>9244</v>
      </c>
    </row>
    <row r="57" spans="1:73" s="3509" customFormat="1" ht="12">
      <c r="A57" s="3489" t="s">
        <v>4000</v>
      </c>
      <c r="B57" s="3490" t="s">
        <v>4001</v>
      </c>
      <c r="C57" s="3491" t="s">
        <v>4002</v>
      </c>
      <c r="D57" s="3491" t="s">
        <v>4003</v>
      </c>
      <c r="E57" s="3490" t="s">
        <v>3542</v>
      </c>
      <c r="F57" s="3490" t="s">
        <v>3911</v>
      </c>
      <c r="G57" s="3490"/>
      <c r="H57" s="3513" t="s">
        <v>3912</v>
      </c>
      <c r="I57" s="3493" t="s">
        <v>4004</v>
      </c>
      <c r="J57" s="3490" t="s">
        <v>4005</v>
      </c>
      <c r="K57" s="3490" t="s">
        <v>4006</v>
      </c>
      <c r="L57" s="3492">
        <v>106.68</v>
      </c>
      <c r="M57" s="3490">
        <v>2</v>
      </c>
      <c r="N57" s="3490" t="s">
        <v>4007</v>
      </c>
      <c r="O57" s="3490">
        <v>84.41</v>
      </c>
      <c r="P57" s="3490" t="s">
        <v>3458</v>
      </c>
      <c r="Q57" s="3494">
        <v>697687</v>
      </c>
      <c r="R57" s="3492">
        <v>6540</v>
      </c>
      <c r="S57" s="3492">
        <v>69.12</v>
      </c>
      <c r="T57" s="3517">
        <v>691200</v>
      </c>
      <c r="U57" s="3494">
        <v>6480</v>
      </c>
      <c r="V57" s="3514">
        <v>0.1</v>
      </c>
      <c r="W57" s="3497">
        <v>62.2</v>
      </c>
      <c r="X57" s="3593">
        <v>622000</v>
      </c>
      <c r="Y57" s="3499">
        <v>2004</v>
      </c>
      <c r="Z57" s="3490">
        <v>5</v>
      </c>
      <c r="AA57" s="3490">
        <v>11</v>
      </c>
      <c r="AB57" s="3553">
        <v>3455</v>
      </c>
      <c r="AC57" s="3490" t="s">
        <v>4008</v>
      </c>
      <c r="AD57" s="3489"/>
      <c r="AE57" s="3499" t="s">
        <v>3446</v>
      </c>
      <c r="AF57" s="3490" t="s">
        <v>3944</v>
      </c>
      <c r="AG57" s="3500" t="s">
        <v>3447</v>
      </c>
      <c r="AH57" s="3489"/>
      <c r="AI57" s="3490" t="s">
        <v>3448</v>
      </c>
      <c r="AJ57" s="3550">
        <v>38503</v>
      </c>
      <c r="AK57" s="3501">
        <v>5</v>
      </c>
      <c r="AL57" s="3499">
        <v>67641700</v>
      </c>
      <c r="AM57" s="3499"/>
      <c r="AN57" s="3502" t="s">
        <v>3747</v>
      </c>
      <c r="AO57" s="3490" t="s">
        <v>3668</v>
      </c>
      <c r="AP57" s="3499" t="s">
        <v>3450</v>
      </c>
      <c r="AQ57" s="3499" t="s">
        <v>3451</v>
      </c>
      <c r="AR57" s="3499"/>
      <c r="AS57" s="3499"/>
      <c r="AT57" s="3499"/>
      <c r="AU57" s="3499"/>
      <c r="AV57" s="3499"/>
      <c r="AW57" s="3499" t="s">
        <v>3452</v>
      </c>
      <c r="AX57" s="3499"/>
      <c r="AY57" s="3503" t="s">
        <v>4009</v>
      </c>
      <c r="AZ57" s="3490" t="s">
        <v>3914</v>
      </c>
      <c r="BA57" s="3499" t="s">
        <v>3919</v>
      </c>
      <c r="BB57" s="3503" t="s">
        <v>3920</v>
      </c>
      <c r="BC57" s="3499" t="s">
        <v>3999</v>
      </c>
      <c r="BD57" s="3504">
        <v>100037</v>
      </c>
      <c r="BE57" s="3499">
        <v>88423966</v>
      </c>
      <c r="BF57" s="3505">
        <v>2.75</v>
      </c>
      <c r="BG57" s="3515">
        <v>38090</v>
      </c>
      <c r="BH57" s="3499"/>
      <c r="BI57" s="3502" t="s">
        <v>3922</v>
      </c>
      <c r="BJ57" s="3512">
        <v>38115</v>
      </c>
      <c r="BK57" s="3512" t="s">
        <v>3657</v>
      </c>
      <c r="BL57" s="3490" t="s">
        <v>3454</v>
      </c>
      <c r="BM57" s="3499"/>
      <c r="BN57" s="3499"/>
      <c r="BO57" s="3499"/>
      <c r="BP57" s="3499"/>
      <c r="BQ57" s="3499">
        <v>8190</v>
      </c>
      <c r="BR57" s="3499">
        <v>8265</v>
      </c>
    </row>
    <row r="58" spans="1:73" s="3509" customFormat="1" ht="12">
      <c r="A58" s="3489" t="s">
        <v>4010</v>
      </c>
      <c r="B58" s="3490" t="s">
        <v>4011</v>
      </c>
      <c r="C58" s="3491" t="s">
        <v>4012</v>
      </c>
      <c r="D58" s="3491" t="s">
        <v>4013</v>
      </c>
      <c r="E58" s="3490" t="s">
        <v>3553</v>
      </c>
      <c r="F58" s="3490" t="s">
        <v>3994</v>
      </c>
      <c r="G58" s="3490"/>
      <c r="H58" s="3513" t="s">
        <v>3912</v>
      </c>
      <c r="I58" s="3490" t="s">
        <v>4014</v>
      </c>
      <c r="J58" s="3490" t="s">
        <v>4015</v>
      </c>
      <c r="K58" s="3490" t="s">
        <v>4006</v>
      </c>
      <c r="L58" s="3492">
        <v>68.19</v>
      </c>
      <c r="M58" s="3490">
        <v>6</v>
      </c>
      <c r="N58" s="3490" t="s">
        <v>3455</v>
      </c>
      <c r="O58" s="3490">
        <v>53.95</v>
      </c>
      <c r="P58" s="3490" t="s">
        <v>3458</v>
      </c>
      <c r="Q58" s="3494">
        <v>419367</v>
      </c>
      <c r="R58" s="3492">
        <v>6150</v>
      </c>
      <c r="S58" s="3492">
        <v>41.52</v>
      </c>
      <c r="T58" s="3517">
        <v>415200</v>
      </c>
      <c r="U58" s="3494">
        <v>6090</v>
      </c>
      <c r="V58" s="3514">
        <v>0.1</v>
      </c>
      <c r="W58" s="3497">
        <v>37.36</v>
      </c>
      <c r="X58" s="3593">
        <v>373600</v>
      </c>
      <c r="Y58" s="3499">
        <v>2004</v>
      </c>
      <c r="Z58" s="3490">
        <v>5</v>
      </c>
      <c r="AA58" s="3490">
        <v>12</v>
      </c>
      <c r="AB58" s="3553">
        <v>2075</v>
      </c>
      <c r="AC58" s="3490" t="s">
        <v>3457</v>
      </c>
      <c r="AD58" s="3489"/>
      <c r="AE58" s="3499" t="s">
        <v>3446</v>
      </c>
      <c r="AF58" s="3490" t="s">
        <v>4016</v>
      </c>
      <c r="AG58" s="3500" t="s">
        <v>3447</v>
      </c>
      <c r="AH58" s="3489"/>
      <c r="AI58" s="3490" t="s">
        <v>3448</v>
      </c>
      <c r="AJ58" s="3550">
        <v>38503</v>
      </c>
      <c r="AK58" s="3501">
        <v>5</v>
      </c>
      <c r="AL58" s="3499">
        <v>67641700</v>
      </c>
      <c r="AM58" s="3499"/>
      <c r="AN58" s="3502" t="s">
        <v>3461</v>
      </c>
      <c r="AO58" s="3490" t="s">
        <v>3668</v>
      </c>
      <c r="AP58" s="3499" t="s">
        <v>3450</v>
      </c>
      <c r="AQ58" s="3499" t="s">
        <v>3451</v>
      </c>
      <c r="AR58" s="3499"/>
      <c r="AS58" s="3499"/>
      <c r="AT58" s="3499"/>
      <c r="AU58" s="3499"/>
      <c r="AV58" s="3499"/>
      <c r="AW58" s="3499" t="s">
        <v>3452</v>
      </c>
      <c r="AX58" s="3499"/>
      <c r="AY58" s="3503" t="s">
        <v>4017</v>
      </c>
      <c r="AZ58" s="3490" t="s">
        <v>3914</v>
      </c>
      <c r="BA58" s="3499" t="s">
        <v>3934</v>
      </c>
      <c r="BB58" s="3503" t="s">
        <v>3978</v>
      </c>
      <c r="BC58" s="3499" t="s">
        <v>3999</v>
      </c>
      <c r="BD58" s="3504">
        <v>100037</v>
      </c>
      <c r="BE58" s="3499">
        <v>88423966</v>
      </c>
      <c r="BF58" s="3505">
        <v>2.75</v>
      </c>
      <c r="BG58" s="3515">
        <v>38086</v>
      </c>
      <c r="BH58" s="3499"/>
      <c r="BI58" s="3502" t="s">
        <v>3569</v>
      </c>
      <c r="BJ58" s="3512">
        <v>38117</v>
      </c>
      <c r="BK58" s="3512" t="s">
        <v>3657</v>
      </c>
      <c r="BL58" s="3490" t="s">
        <v>3454</v>
      </c>
      <c r="BM58" s="3499"/>
      <c r="BN58" s="3499"/>
      <c r="BO58" s="3499"/>
      <c r="BP58" s="3499"/>
      <c r="BQ58" s="3499">
        <v>7697</v>
      </c>
      <c r="BR58" s="3499">
        <v>7773</v>
      </c>
    </row>
    <row r="59" spans="1:73" s="3510" customFormat="1" ht="12">
      <c r="A59" s="3489" t="s">
        <v>4018</v>
      </c>
      <c r="B59" s="3490" t="s">
        <v>4019</v>
      </c>
      <c r="C59" s="3491" t="s">
        <v>4020</v>
      </c>
      <c r="D59" s="3491" t="s">
        <v>4021</v>
      </c>
      <c r="E59" s="3490" t="s">
        <v>3542</v>
      </c>
      <c r="F59" s="3490" t="s">
        <v>3994</v>
      </c>
      <c r="G59" s="3490"/>
      <c r="H59" s="3493" t="s">
        <v>3928</v>
      </c>
      <c r="I59" s="3493" t="s">
        <v>3973</v>
      </c>
      <c r="J59" s="3490" t="s">
        <v>4022</v>
      </c>
      <c r="K59" s="3490" t="s">
        <v>3914</v>
      </c>
      <c r="L59" s="3492">
        <v>93.68</v>
      </c>
      <c r="M59" s="3490">
        <v>13</v>
      </c>
      <c r="N59" s="3490" t="s">
        <v>3563</v>
      </c>
      <c r="O59" s="3490">
        <v>74.12</v>
      </c>
      <c r="P59" s="3490" t="s">
        <v>3458</v>
      </c>
      <c r="Q59" s="3494">
        <v>626532</v>
      </c>
      <c r="R59" s="3492">
        <v>6688</v>
      </c>
      <c r="S59" s="3492">
        <v>62.15</v>
      </c>
      <c r="T59" s="3517">
        <v>621500</v>
      </c>
      <c r="U59" s="3494">
        <v>6635</v>
      </c>
      <c r="V59" s="3514">
        <v>0.1</v>
      </c>
      <c r="W59" s="3497">
        <v>55.93</v>
      </c>
      <c r="X59" s="3593">
        <v>559300</v>
      </c>
      <c r="Y59" s="3499">
        <v>2004</v>
      </c>
      <c r="Z59" s="3490">
        <v>6</v>
      </c>
      <c r="AA59" s="3490">
        <v>1</v>
      </c>
      <c r="AB59" s="3553">
        <v>3105</v>
      </c>
      <c r="AC59" s="3490" t="s">
        <v>3459</v>
      </c>
      <c r="AD59" s="3489"/>
      <c r="AE59" s="3499" t="s">
        <v>3446</v>
      </c>
      <c r="AF59" s="3490" t="s">
        <v>4023</v>
      </c>
      <c r="AG59" s="3500" t="s">
        <v>3447</v>
      </c>
      <c r="AH59" s="3489"/>
      <c r="AI59" s="3490" t="s">
        <v>3448</v>
      </c>
      <c r="AJ59" s="3550">
        <v>38503</v>
      </c>
      <c r="AK59" s="3501">
        <v>6</v>
      </c>
      <c r="AL59" s="3499">
        <v>67641700</v>
      </c>
      <c r="AM59" s="3499"/>
      <c r="AN59" s="3502" t="s">
        <v>3747</v>
      </c>
      <c r="AO59" s="3490" t="s">
        <v>3657</v>
      </c>
      <c r="AP59" s="3499" t="s">
        <v>3450</v>
      </c>
      <c r="AQ59" s="3499" t="s">
        <v>3451</v>
      </c>
      <c r="AR59" s="3499"/>
      <c r="AS59" s="3499"/>
      <c r="AT59" s="3499"/>
      <c r="AU59" s="3499"/>
      <c r="AV59" s="3499"/>
      <c r="AW59" s="3499" t="s">
        <v>3452</v>
      </c>
      <c r="AX59" s="3499"/>
      <c r="AY59" s="3503" t="s">
        <v>4024</v>
      </c>
      <c r="AZ59" s="3490" t="s">
        <v>3914</v>
      </c>
      <c r="BA59" s="3499" t="s">
        <v>3958</v>
      </c>
      <c r="BB59" s="3503" t="s">
        <v>4025</v>
      </c>
      <c r="BC59" s="3499" t="s">
        <v>3999</v>
      </c>
      <c r="BD59" s="3504">
        <v>100037</v>
      </c>
      <c r="BE59" s="3499">
        <v>88423966</v>
      </c>
      <c r="BF59" s="3505">
        <v>2.75</v>
      </c>
      <c r="BG59" s="3515">
        <v>38132</v>
      </c>
      <c r="BH59" s="3499"/>
      <c r="BI59" s="3502" t="s">
        <v>3989</v>
      </c>
      <c r="BJ59" s="3512">
        <v>38138</v>
      </c>
      <c r="BK59" s="3512" t="s">
        <v>3657</v>
      </c>
      <c r="BL59" s="3490" t="s">
        <v>3454</v>
      </c>
      <c r="BM59" s="3499"/>
      <c r="BN59" s="3499"/>
      <c r="BO59" s="3499"/>
      <c r="BP59" s="3499"/>
      <c r="BQ59" s="3499">
        <v>8386</v>
      </c>
      <c r="BR59" s="3499">
        <v>8453</v>
      </c>
      <c r="BS59" s="3509"/>
      <c r="BT59" s="3509"/>
      <c r="BU59" s="3509"/>
    </row>
    <row r="60" spans="1:73" s="3510" customFormat="1" ht="12">
      <c r="A60" s="3489" t="s">
        <v>4026</v>
      </c>
      <c r="B60" s="3490" t="s">
        <v>4027</v>
      </c>
      <c r="C60" s="3491" t="s">
        <v>4028</v>
      </c>
      <c r="D60" s="3491" t="s">
        <v>4029</v>
      </c>
      <c r="E60" s="3490" t="s">
        <v>3553</v>
      </c>
      <c r="F60" s="3490" t="s">
        <v>3911</v>
      </c>
      <c r="G60" s="3490"/>
      <c r="H60" s="3493" t="s">
        <v>3912</v>
      </c>
      <c r="I60" s="3493" t="s">
        <v>3973</v>
      </c>
      <c r="J60" s="3490" t="s">
        <v>3469</v>
      </c>
      <c r="K60" s="3490" t="s">
        <v>3914</v>
      </c>
      <c r="L60" s="3492">
        <v>68.19</v>
      </c>
      <c r="M60" s="3490">
        <v>11</v>
      </c>
      <c r="N60" s="3493" t="s">
        <v>4030</v>
      </c>
      <c r="O60" s="3490">
        <v>53.95</v>
      </c>
      <c r="P60" s="3490" t="s">
        <v>3458</v>
      </c>
      <c r="Q60" s="3494">
        <v>461510</v>
      </c>
      <c r="R60" s="3492">
        <v>6768</v>
      </c>
      <c r="S60" s="3492">
        <v>45.81</v>
      </c>
      <c r="T60" s="3517">
        <v>458100</v>
      </c>
      <c r="U60" s="3494">
        <v>6718</v>
      </c>
      <c r="V60" s="3514">
        <v>0.1</v>
      </c>
      <c r="W60" s="3497">
        <v>41.22</v>
      </c>
      <c r="X60" s="3593">
        <v>412200</v>
      </c>
      <c r="Y60" s="3499">
        <v>2004</v>
      </c>
      <c r="Z60" s="3490">
        <v>6</v>
      </c>
      <c r="AA60" s="3490">
        <v>9</v>
      </c>
      <c r="AB60" s="3553">
        <v>2290</v>
      </c>
      <c r="AC60" s="3490" t="s">
        <v>3459</v>
      </c>
      <c r="AD60" s="3489"/>
      <c r="AE60" s="3499" t="s">
        <v>3446</v>
      </c>
      <c r="AF60" s="3490" t="s">
        <v>3944</v>
      </c>
      <c r="AG60" s="3500" t="s">
        <v>3447</v>
      </c>
      <c r="AH60" s="3489"/>
      <c r="AI60" s="3490" t="s">
        <v>3448</v>
      </c>
      <c r="AJ60" s="3550">
        <v>38503</v>
      </c>
      <c r="AK60" s="3501">
        <v>6</v>
      </c>
      <c r="AL60" s="3499">
        <v>67641700</v>
      </c>
      <c r="AM60" s="3499"/>
      <c r="AN60" s="3502" t="s">
        <v>3461</v>
      </c>
      <c r="AO60" s="3490" t="s">
        <v>3668</v>
      </c>
      <c r="AP60" s="3499" t="s">
        <v>3450</v>
      </c>
      <c r="AQ60" s="3499" t="s">
        <v>3451</v>
      </c>
      <c r="AR60" s="3499"/>
      <c r="AS60" s="3499"/>
      <c r="AT60" s="3499"/>
      <c r="AU60" s="3499"/>
      <c r="AV60" s="3499"/>
      <c r="AW60" s="3499" t="s">
        <v>3452</v>
      </c>
      <c r="AX60" s="3499"/>
      <c r="AY60" s="3503" t="s">
        <v>4031</v>
      </c>
      <c r="AZ60" s="3490" t="s">
        <v>3918</v>
      </c>
      <c r="BA60" s="3499" t="s">
        <v>3958</v>
      </c>
      <c r="BB60" s="3503" t="s">
        <v>3978</v>
      </c>
      <c r="BC60" s="3499" t="s">
        <v>3999</v>
      </c>
      <c r="BD60" s="3504">
        <v>100037</v>
      </c>
      <c r="BE60" s="3499">
        <v>88423966</v>
      </c>
      <c r="BF60" s="3505">
        <v>2.75</v>
      </c>
      <c r="BG60" s="3515">
        <v>38135</v>
      </c>
      <c r="BH60" s="3499"/>
      <c r="BI60" s="3502" t="s">
        <v>3466</v>
      </c>
      <c r="BJ60" s="3512">
        <v>38146</v>
      </c>
      <c r="BK60" s="3512" t="s">
        <v>3657</v>
      </c>
      <c r="BL60" s="3490" t="s">
        <v>3454</v>
      </c>
      <c r="BM60" s="3499"/>
      <c r="BN60" s="3499"/>
      <c r="BO60" s="3499"/>
      <c r="BP60" s="3499"/>
      <c r="BQ60" s="3499">
        <v>8491</v>
      </c>
      <c r="BR60" s="3499">
        <v>8554</v>
      </c>
      <c r="BS60" s="3509"/>
      <c r="BT60" s="3509"/>
      <c r="BU60" s="3509"/>
    </row>
    <row r="61" spans="1:73" s="3510" customFormat="1" ht="13.2">
      <c r="A61" s="3489" t="s">
        <v>4032</v>
      </c>
      <c r="B61" s="3490" t="s">
        <v>4033</v>
      </c>
      <c r="C61" s="3523" t="s">
        <v>4034</v>
      </c>
      <c r="D61" s="3523" t="s">
        <v>4035</v>
      </c>
      <c r="E61" s="3490" t="s">
        <v>4036</v>
      </c>
      <c r="F61" s="3490" t="s">
        <v>3911</v>
      </c>
      <c r="G61" s="3490"/>
      <c r="H61" s="3493" t="s">
        <v>3928</v>
      </c>
      <c r="I61" s="3493" t="s">
        <v>4037</v>
      </c>
      <c r="J61" s="3524" t="s">
        <v>4038</v>
      </c>
      <c r="K61" s="3490" t="s">
        <v>3914</v>
      </c>
      <c r="L61" s="3492">
        <v>68.67</v>
      </c>
      <c r="M61" s="3490">
        <v>12</v>
      </c>
      <c r="N61" s="3493" t="s">
        <v>3455</v>
      </c>
      <c r="O61" s="3490">
        <v>54.33</v>
      </c>
      <c r="P61" s="3490" t="s">
        <v>3458</v>
      </c>
      <c r="Q61" s="3494">
        <v>459265</v>
      </c>
      <c r="R61" s="3490">
        <v>6688</v>
      </c>
      <c r="S61" s="3519">
        <v>45.58</v>
      </c>
      <c r="T61" s="3517">
        <v>455800</v>
      </c>
      <c r="U61" s="3494">
        <v>6638</v>
      </c>
      <c r="V61" s="3514">
        <v>0.1</v>
      </c>
      <c r="W61" s="3497">
        <v>41.02</v>
      </c>
      <c r="X61" s="3521">
        <v>410200.00000000006</v>
      </c>
      <c r="Y61" s="3499">
        <v>2004</v>
      </c>
      <c r="Z61" s="3490">
        <v>8</v>
      </c>
      <c r="AA61" s="3490">
        <v>18</v>
      </c>
      <c r="AB61" s="3490">
        <v>1365</v>
      </c>
      <c r="AC61" s="3490" t="s">
        <v>3459</v>
      </c>
      <c r="AD61" s="3489"/>
      <c r="AE61" s="3499" t="s">
        <v>3446</v>
      </c>
      <c r="AF61" s="3490" t="s">
        <v>4023</v>
      </c>
      <c r="AG61" s="3500" t="s">
        <v>3447</v>
      </c>
      <c r="AH61" s="3489"/>
      <c r="AI61" s="3490" t="s">
        <v>3448</v>
      </c>
      <c r="AJ61" s="3550">
        <v>38503</v>
      </c>
      <c r="AK61" s="3501" t="s">
        <v>4039</v>
      </c>
      <c r="AL61" s="3499">
        <v>67641700</v>
      </c>
      <c r="AM61" s="3499"/>
      <c r="AN61" s="3502" t="s">
        <v>3705</v>
      </c>
      <c r="AO61" s="3490" t="s">
        <v>3657</v>
      </c>
      <c r="AP61" s="3499" t="s">
        <v>3450</v>
      </c>
      <c r="AQ61" s="3499" t="s">
        <v>3451</v>
      </c>
      <c r="AR61" s="3499"/>
      <c r="AS61" s="3499"/>
      <c r="AT61" s="3499"/>
      <c r="AU61" s="3499"/>
      <c r="AV61" s="3499"/>
      <c r="AW61" s="3499" t="s">
        <v>3452</v>
      </c>
      <c r="AX61" s="3499"/>
      <c r="AY61" s="3525" t="s">
        <v>4040</v>
      </c>
      <c r="AZ61" s="3490" t="s">
        <v>4006</v>
      </c>
      <c r="BA61" s="3499" t="s">
        <v>3934</v>
      </c>
      <c r="BB61" s="3503" t="s">
        <v>3978</v>
      </c>
      <c r="BC61" s="3499" t="s">
        <v>3999</v>
      </c>
      <c r="BD61" s="3504">
        <v>100037</v>
      </c>
      <c r="BE61" s="3499">
        <v>88423966</v>
      </c>
      <c r="BF61" s="3505">
        <v>2.75</v>
      </c>
      <c r="BG61" s="3515">
        <v>38138</v>
      </c>
      <c r="BH61" s="3499"/>
      <c r="BI61" s="3502" t="s">
        <v>3466</v>
      </c>
      <c r="BJ61" s="3512">
        <v>38215</v>
      </c>
      <c r="BK61" s="3512" t="s">
        <v>3668</v>
      </c>
      <c r="BL61" s="3490" t="s">
        <v>3454</v>
      </c>
      <c r="BM61" s="3499"/>
      <c r="BN61" s="3499"/>
      <c r="BO61" s="3499"/>
      <c r="BP61" s="3499"/>
      <c r="BQ61" s="3499">
        <v>8390</v>
      </c>
      <c r="BR61" s="3499">
        <v>8453</v>
      </c>
      <c r="BS61" s="3509"/>
      <c r="BT61" s="3509"/>
      <c r="BU61" s="3509"/>
    </row>
  </sheetData>
  <mergeCells count="1">
    <mergeCell ref="AL1:AM1"/>
  </mergeCells>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846" t="s">
        <v>1770</v>
      </c>
      <c r="D4" s="3847"/>
      <c r="E4" s="3848" t="s">
        <v>1771</v>
      </c>
      <c r="F4" s="3849"/>
      <c r="G4" s="3846" t="s">
        <v>1772</v>
      </c>
      <c r="H4" s="3847"/>
      <c r="I4" s="3846" t="s">
        <v>1773</v>
      </c>
      <c r="J4" s="3847"/>
      <c r="K4" s="559" t="s">
        <v>1774</v>
      </c>
      <c r="L4" s="2715"/>
      <c r="M4" s="2716"/>
      <c r="N4" s="2716"/>
      <c r="O4" s="2716"/>
      <c r="P4" s="3850" t="s">
        <v>1775</v>
      </c>
      <c r="Q4" s="3851"/>
      <c r="R4" s="3856" t="s">
        <v>1771</v>
      </c>
      <c r="S4" s="3857"/>
      <c r="T4" s="3856" t="s">
        <v>1772</v>
      </c>
      <c r="U4" s="3857"/>
      <c r="V4" s="3862" t="s">
        <v>1773</v>
      </c>
      <c r="W4" s="3862"/>
      <c r="X4" s="1355"/>
      <c r="Y4" s="3856" t="s">
        <v>1775</v>
      </c>
      <c r="Z4" s="3857"/>
      <c r="AA4" s="3843" t="s">
        <v>1771</v>
      </c>
      <c r="AB4" s="3862" t="s">
        <v>1772</v>
      </c>
      <c r="AC4" s="3843" t="s">
        <v>1773</v>
      </c>
    </row>
    <row r="5" spans="1:29">
      <c r="A5" s="358"/>
      <c r="B5" s="359"/>
      <c r="C5" s="3879" t="s">
        <v>1673</v>
      </c>
      <c r="D5" s="3871"/>
      <c r="E5" s="3881" t="s">
        <v>1674</v>
      </c>
      <c r="F5" s="3882"/>
      <c r="G5" s="3879" t="s">
        <v>1675</v>
      </c>
      <c r="H5" s="3871"/>
      <c r="I5" s="3879" t="s">
        <v>1676</v>
      </c>
      <c r="J5" s="3871"/>
      <c r="K5" s="559"/>
      <c r="L5" s="2715"/>
      <c r="M5" s="2716"/>
      <c r="N5" s="2716"/>
      <c r="O5" s="2716"/>
      <c r="P5" s="3852"/>
      <c r="Q5" s="3853"/>
      <c r="R5" s="3858"/>
      <c r="S5" s="3859"/>
      <c r="T5" s="3858"/>
      <c r="U5" s="3859"/>
      <c r="V5" s="3862"/>
      <c r="W5" s="3862"/>
      <c r="X5" s="1355"/>
      <c r="Y5" s="3858"/>
      <c r="Z5" s="3859"/>
      <c r="AA5" s="3844"/>
      <c r="AB5" s="3862"/>
      <c r="AC5" s="3844"/>
    </row>
    <row r="6" spans="1:29" ht="15" thickBot="1">
      <c r="A6" s="360"/>
      <c r="B6" s="361"/>
      <c r="C6" s="3878" t="s">
        <v>1677</v>
      </c>
      <c r="D6" s="3864"/>
      <c r="E6" s="3880" t="s">
        <v>1677</v>
      </c>
      <c r="F6" s="3873"/>
      <c r="G6" s="3878" t="s">
        <v>1677</v>
      </c>
      <c r="H6" s="3864"/>
      <c r="I6" s="3878" t="s">
        <v>1677</v>
      </c>
      <c r="J6" s="3864"/>
      <c r="K6" s="559" t="s">
        <v>1678</v>
      </c>
      <c r="L6" s="2715"/>
      <c r="M6" s="2716"/>
      <c r="N6" s="2716"/>
      <c r="O6" s="2716"/>
      <c r="P6" s="3854"/>
      <c r="Q6" s="3855"/>
      <c r="R6" s="3858"/>
      <c r="S6" s="3859"/>
      <c r="T6" s="3860"/>
      <c r="U6" s="3861"/>
      <c r="V6" s="3862"/>
      <c r="W6" s="3862"/>
      <c r="X6" s="1355"/>
      <c r="Y6" s="3860"/>
      <c r="Z6" s="3861"/>
      <c r="AA6" s="3845"/>
      <c r="AB6" s="3862"/>
      <c r="AC6" s="3845"/>
    </row>
    <row r="7" spans="1:29" s="108" customFormat="1" ht="15" thickBot="1">
      <c r="A7" s="362" t="s">
        <v>1679</v>
      </c>
      <c r="B7" s="363"/>
      <c r="C7" s="364">
        <f>'数据-取费表'!B2</f>
        <v>38260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67" t="s">
        <v>1680</v>
      </c>
      <c r="Q7" s="3869"/>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42" t="s">
        <v>1686</v>
      </c>
      <c r="Q9" s="1343" t="str">
        <f t="shared" ref="Q9:Q15" si="6">B9</f>
        <v>用途</v>
      </c>
      <c r="R9" s="701" t="s">
        <v>14</v>
      </c>
      <c r="S9" s="702">
        <f t="shared" si="0"/>
        <v>100</v>
      </c>
      <c r="T9" s="701" t="s">
        <v>14</v>
      </c>
      <c r="U9" s="702">
        <f t="shared" si="1"/>
        <v>100</v>
      </c>
      <c r="V9" s="701" t="s">
        <v>14</v>
      </c>
      <c r="W9" s="702">
        <f t="shared" si="2"/>
        <v>100</v>
      </c>
      <c r="X9" s="703"/>
      <c r="Y9" s="370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42"/>
      <c r="Q10" s="1343" t="str">
        <f t="shared" si="6"/>
        <v>土地使用年限（年）</v>
      </c>
      <c r="R10" s="701" t="s">
        <v>14</v>
      </c>
      <c r="S10" s="702">
        <f t="shared" si="0"/>
        <v>100</v>
      </c>
      <c r="T10" s="701" t="s">
        <v>14</v>
      </c>
      <c r="U10" s="702">
        <f t="shared" si="1"/>
        <v>100</v>
      </c>
      <c r="V10" s="701" t="s">
        <v>14</v>
      </c>
      <c r="W10" s="702">
        <f t="shared" si="2"/>
        <v>100</v>
      </c>
      <c r="X10" s="703"/>
      <c r="Y10" s="370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42"/>
      <c r="Q11" s="1343" t="str">
        <f t="shared" si="6"/>
        <v>容积率</v>
      </c>
      <c r="R11" s="701" t="s">
        <v>14</v>
      </c>
      <c r="S11" s="702" t="e">
        <f t="shared" si="0"/>
        <v>#N/A</v>
      </c>
      <c r="T11" s="701" t="s">
        <v>14</v>
      </c>
      <c r="U11" s="702" t="e">
        <f t="shared" si="1"/>
        <v>#N/A</v>
      </c>
      <c r="V11" s="701" t="s">
        <v>14</v>
      </c>
      <c r="W11" s="702" t="e">
        <f t="shared" si="2"/>
        <v>#N/A</v>
      </c>
      <c r="X11" s="703"/>
      <c r="Y11" s="370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42"/>
      <c r="Q12" s="1343">
        <f t="shared" si="6"/>
        <v>111</v>
      </c>
      <c r="R12" s="701" t="s">
        <v>14</v>
      </c>
      <c r="S12" s="702">
        <f t="shared" si="0"/>
        <v>100</v>
      </c>
      <c r="T12" s="701" t="s">
        <v>14</v>
      </c>
      <c r="U12" s="702">
        <f t="shared" si="1"/>
        <v>100</v>
      </c>
      <c r="V12" s="701" t="s">
        <v>14</v>
      </c>
      <c r="W12" s="702">
        <f t="shared" si="2"/>
        <v>100</v>
      </c>
      <c r="X12" s="703"/>
      <c r="Y12" s="370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42"/>
      <c r="Q13" s="1343">
        <f t="shared" si="6"/>
        <v>111</v>
      </c>
      <c r="R13" s="701" t="s">
        <v>14</v>
      </c>
      <c r="S13" s="702">
        <f t="shared" si="0"/>
        <v>100</v>
      </c>
      <c r="T13" s="701" t="s">
        <v>14</v>
      </c>
      <c r="U13" s="702">
        <f t="shared" si="1"/>
        <v>100</v>
      </c>
      <c r="V13" s="701" t="s">
        <v>14</v>
      </c>
      <c r="W13" s="702">
        <f t="shared" si="2"/>
        <v>100</v>
      </c>
      <c r="X13" s="703"/>
      <c r="Y13" s="370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42"/>
      <c r="Q14" s="1343">
        <f t="shared" si="6"/>
        <v>111</v>
      </c>
      <c r="R14" s="701" t="s">
        <v>14</v>
      </c>
      <c r="S14" s="702">
        <f t="shared" si="0"/>
        <v>100</v>
      </c>
      <c r="T14" s="701" t="s">
        <v>14</v>
      </c>
      <c r="U14" s="702">
        <f t="shared" si="1"/>
        <v>100</v>
      </c>
      <c r="V14" s="701" t="s">
        <v>14</v>
      </c>
      <c r="W14" s="702">
        <f t="shared" si="2"/>
        <v>100</v>
      </c>
      <c r="X14" s="703"/>
      <c r="Y14" s="370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40" t="s">
        <v>1691</v>
      </c>
      <c r="Q15" s="1352" t="str">
        <f t="shared" si="6"/>
        <v>商业繁华度</v>
      </c>
      <c r="R15" s="705" t="s">
        <v>14</v>
      </c>
      <c r="S15" s="706">
        <f t="shared" si="0"/>
        <v>100</v>
      </c>
      <c r="T15" s="705" t="s">
        <v>14</v>
      </c>
      <c r="U15" s="706">
        <f t="shared" si="1"/>
        <v>100</v>
      </c>
      <c r="V15" s="705" t="s">
        <v>14</v>
      </c>
      <c r="W15" s="706">
        <f t="shared" si="2"/>
        <v>100</v>
      </c>
      <c r="X15" s="1355"/>
      <c r="Y15" s="383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41"/>
      <c r="Q16" s="1352"/>
      <c r="R16" s="705"/>
      <c r="S16" s="706"/>
      <c r="T16" s="705"/>
      <c r="U16" s="706"/>
      <c r="V16" s="705"/>
      <c r="W16" s="706"/>
      <c r="X16" s="1355"/>
      <c r="Y16" s="383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41"/>
      <c r="Q17" s="1352" t="str">
        <f>B17</f>
        <v>交通便捷度</v>
      </c>
      <c r="R17" s="705" t="s">
        <v>14</v>
      </c>
      <c r="S17" s="706">
        <f>F17</f>
        <v>100</v>
      </c>
      <c r="T17" s="705" t="s">
        <v>14</v>
      </c>
      <c r="U17" s="706">
        <f>H17</f>
        <v>100</v>
      </c>
      <c r="V17" s="705" t="s">
        <v>14</v>
      </c>
      <c r="W17" s="706">
        <f>J17</f>
        <v>100</v>
      </c>
      <c r="X17" s="1355"/>
      <c r="Y17" s="38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41"/>
      <c r="Q18" s="1352"/>
      <c r="R18" s="705"/>
      <c r="S18" s="706"/>
      <c r="T18" s="705"/>
      <c r="U18" s="706"/>
      <c r="V18" s="705"/>
      <c r="W18" s="706"/>
      <c r="X18" s="1355"/>
      <c r="Y18" s="3834"/>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41"/>
      <c r="Q19" s="1352" t="str">
        <f>B19</f>
        <v>公共配套设施</v>
      </c>
      <c r="R19" s="705" t="s">
        <v>14</v>
      </c>
      <c r="S19" s="706">
        <f>F19</f>
        <v>100</v>
      </c>
      <c r="T19" s="705" t="s">
        <v>14</v>
      </c>
      <c r="U19" s="706">
        <f>H19</f>
        <v>100</v>
      </c>
      <c r="V19" s="705" t="s">
        <v>14</v>
      </c>
      <c r="W19" s="706">
        <f>J19</f>
        <v>100</v>
      </c>
      <c r="X19" s="1355"/>
      <c r="Y19" s="38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41"/>
      <c r="Q20" s="1352"/>
      <c r="R20" s="705"/>
      <c r="S20" s="706"/>
      <c r="T20" s="705"/>
      <c r="U20" s="706"/>
      <c r="V20" s="705"/>
      <c r="W20" s="706"/>
      <c r="X20" s="1355"/>
      <c r="Y20" s="3834"/>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41"/>
      <c r="Q21" s="1352" t="str">
        <f>B21</f>
        <v>基础设施水平</v>
      </c>
      <c r="R21" s="705" t="s">
        <v>14</v>
      </c>
      <c r="S21" s="706">
        <f>F21</f>
        <v>100</v>
      </c>
      <c r="T21" s="705" t="s">
        <v>14</v>
      </c>
      <c r="U21" s="706">
        <f>H21</f>
        <v>100</v>
      </c>
      <c r="V21" s="705" t="s">
        <v>14</v>
      </c>
      <c r="W21" s="706">
        <f>J21</f>
        <v>100</v>
      </c>
      <c r="X21" s="1355"/>
      <c r="Y21" s="38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41"/>
      <c r="Q22" s="1352"/>
      <c r="R22" s="705"/>
      <c r="S22" s="706"/>
      <c r="T22" s="705"/>
      <c r="U22" s="706"/>
      <c r="V22" s="705"/>
      <c r="W22" s="706"/>
      <c r="X22" s="1355"/>
      <c r="Y22" s="383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41"/>
      <c r="Q23" s="1352" t="str">
        <f>B23</f>
        <v>自然及人文环境</v>
      </c>
      <c r="R23" s="705" t="s">
        <v>14</v>
      </c>
      <c r="S23" s="706">
        <f>F23</f>
        <v>100</v>
      </c>
      <c r="T23" s="705" t="s">
        <v>14</v>
      </c>
      <c r="U23" s="706">
        <f>H23</f>
        <v>100</v>
      </c>
      <c r="V23" s="705" t="s">
        <v>14</v>
      </c>
      <c r="W23" s="706">
        <f>J23</f>
        <v>100</v>
      </c>
      <c r="X23" s="1355"/>
      <c r="Y23" s="383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41"/>
      <c r="Q24" s="1352"/>
      <c r="R24" s="705"/>
      <c r="S24" s="706"/>
      <c r="T24" s="705"/>
      <c r="U24" s="706"/>
      <c r="V24" s="705"/>
      <c r="W24" s="706"/>
      <c r="X24" s="1355"/>
      <c r="Y24" s="383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41"/>
      <c r="Q25" s="1352" t="str">
        <f t="shared" ref="Q25:Q46" si="11">B25</f>
        <v>临街状况</v>
      </c>
      <c r="R25" s="705" t="s">
        <v>14</v>
      </c>
      <c r="S25" s="706">
        <f>F25</f>
        <v>100</v>
      </c>
      <c r="T25" s="705" t="s">
        <v>14</v>
      </c>
      <c r="U25" s="706">
        <f>H25</f>
        <v>100</v>
      </c>
      <c r="V25" s="705" t="s">
        <v>14</v>
      </c>
      <c r="W25" s="706">
        <f>J25</f>
        <v>100</v>
      </c>
      <c r="X25" s="1355"/>
      <c r="Y25" s="383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41"/>
      <c r="Q26" s="1352" t="str">
        <f t="shared" si="11"/>
        <v>平面位置/可视性</v>
      </c>
      <c r="R26" s="705" t="s">
        <v>14</v>
      </c>
      <c r="S26" s="706">
        <f>F26</f>
        <v>100</v>
      </c>
      <c r="T26" s="705" t="s">
        <v>14</v>
      </c>
      <c r="U26" s="706">
        <f>H26</f>
        <v>100</v>
      </c>
      <c r="V26" s="705" t="s">
        <v>14</v>
      </c>
      <c r="W26" s="706">
        <f>J26</f>
        <v>100</v>
      </c>
      <c r="X26" s="1355"/>
      <c r="Y26" s="383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41"/>
      <c r="Q27" s="1343" t="str">
        <f t="shared" si="11"/>
        <v>人流量</v>
      </c>
      <c r="R27" s="701" t="s">
        <v>14</v>
      </c>
      <c r="S27" s="702">
        <f>F27</f>
        <v>100</v>
      </c>
      <c r="T27" s="701" t="s">
        <v>14</v>
      </c>
      <c r="U27" s="702">
        <f>H27</f>
        <v>100</v>
      </c>
      <c r="V27" s="701" t="s">
        <v>14</v>
      </c>
      <c r="W27" s="702">
        <f>J27</f>
        <v>100</v>
      </c>
      <c r="X27" s="703"/>
      <c r="Y27" s="383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3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41"/>
      <c r="Q29" s="1352">
        <f t="shared" si="11"/>
        <v>111</v>
      </c>
      <c r="R29" s="705" t="s">
        <v>14</v>
      </c>
      <c r="S29" s="706">
        <f t="shared" si="12"/>
        <v>100</v>
      </c>
      <c r="T29" s="705" t="s">
        <v>14</v>
      </c>
      <c r="U29" s="706">
        <f t="shared" si="13"/>
        <v>100</v>
      </c>
      <c r="V29" s="705" t="s">
        <v>14</v>
      </c>
      <c r="W29" s="706">
        <f t="shared" si="14"/>
        <v>100</v>
      </c>
      <c r="X29" s="1355"/>
      <c r="Y29" s="383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41"/>
      <c r="Q30" s="1352">
        <f t="shared" si="11"/>
        <v>111</v>
      </c>
      <c r="R30" s="705" t="s">
        <v>14</v>
      </c>
      <c r="S30" s="706">
        <f t="shared" si="12"/>
        <v>100</v>
      </c>
      <c r="T30" s="705" t="s">
        <v>14</v>
      </c>
      <c r="U30" s="706">
        <f t="shared" si="13"/>
        <v>100</v>
      </c>
      <c r="V30" s="705" t="s">
        <v>14</v>
      </c>
      <c r="W30" s="706">
        <f t="shared" si="14"/>
        <v>100</v>
      </c>
      <c r="X30" s="1355"/>
      <c r="Y30" s="383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41"/>
      <c r="Q31" s="1352">
        <f t="shared" si="11"/>
        <v>111</v>
      </c>
      <c r="R31" s="705" t="s">
        <v>14</v>
      </c>
      <c r="S31" s="706">
        <f t="shared" si="12"/>
        <v>100</v>
      </c>
      <c r="T31" s="705" t="s">
        <v>14</v>
      </c>
      <c r="U31" s="706">
        <f t="shared" si="13"/>
        <v>100</v>
      </c>
      <c r="V31" s="705" t="s">
        <v>14</v>
      </c>
      <c r="W31" s="706">
        <f t="shared" si="14"/>
        <v>100</v>
      </c>
      <c r="X31" s="1355"/>
      <c r="Y31" s="383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35" t="s">
        <v>1696</v>
      </c>
      <c r="Q32" s="1352" t="str">
        <f t="shared" si="11"/>
        <v>商业类型</v>
      </c>
      <c r="R32" s="705" t="s">
        <v>14</v>
      </c>
      <c r="S32" s="706">
        <f t="shared" si="12"/>
        <v>100</v>
      </c>
      <c r="T32" s="705" t="s">
        <v>14</v>
      </c>
      <c r="U32" s="706">
        <f t="shared" si="13"/>
        <v>100</v>
      </c>
      <c r="V32" s="705" t="s">
        <v>14</v>
      </c>
      <c r="W32" s="706">
        <f t="shared" si="14"/>
        <v>100</v>
      </c>
      <c r="X32" s="1355"/>
      <c r="Y32" s="383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36"/>
      <c r="Q33" s="707" t="str">
        <f t="shared" si="11"/>
        <v>项目建筑规模</v>
      </c>
      <c r="R33" s="708" t="s">
        <v>14</v>
      </c>
      <c r="S33" s="709" t="e">
        <f t="shared" si="12"/>
        <v>#N/A</v>
      </c>
      <c r="T33" s="708" t="s">
        <v>14</v>
      </c>
      <c r="U33" s="709" t="e">
        <f t="shared" si="13"/>
        <v>#N/A</v>
      </c>
      <c r="V33" s="708" t="s">
        <v>14</v>
      </c>
      <c r="W33" s="709" t="e">
        <f t="shared" si="14"/>
        <v>#N/A</v>
      </c>
      <c r="X33" s="710"/>
      <c r="Y33" s="383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36"/>
      <c r="Q34" s="1352" t="str">
        <f t="shared" si="11"/>
        <v>建筑结构</v>
      </c>
      <c r="R34" s="705" t="s">
        <v>14</v>
      </c>
      <c r="S34" s="706">
        <f t="shared" si="12"/>
        <v>100</v>
      </c>
      <c r="T34" s="705" t="s">
        <v>14</v>
      </c>
      <c r="U34" s="706">
        <f t="shared" si="13"/>
        <v>100</v>
      </c>
      <c r="V34" s="705" t="s">
        <v>14</v>
      </c>
      <c r="W34" s="706">
        <f t="shared" si="14"/>
        <v>100</v>
      </c>
      <c r="X34" s="1355"/>
      <c r="Y34" s="383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36"/>
      <c r="Q35" s="1352" t="str">
        <f t="shared" si="11"/>
        <v>公共部分装修</v>
      </c>
      <c r="R35" s="705" t="s">
        <v>14</v>
      </c>
      <c r="S35" s="706">
        <f t="shared" si="12"/>
        <v>100</v>
      </c>
      <c r="T35" s="705" t="s">
        <v>14</v>
      </c>
      <c r="U35" s="706">
        <f t="shared" si="13"/>
        <v>100</v>
      </c>
      <c r="V35" s="705" t="s">
        <v>14</v>
      </c>
      <c r="W35" s="706">
        <f t="shared" si="14"/>
        <v>100</v>
      </c>
      <c r="X35" s="1355"/>
      <c r="Y35" s="383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36"/>
      <c r="Q36" s="1352" t="str">
        <f t="shared" si="11"/>
        <v>成新度</v>
      </c>
      <c r="R36" s="705" t="s">
        <v>14</v>
      </c>
      <c r="S36" s="706" t="e">
        <f t="shared" si="12"/>
        <v>#N/A</v>
      </c>
      <c r="T36" s="705" t="s">
        <v>14</v>
      </c>
      <c r="U36" s="706" t="e">
        <f t="shared" si="13"/>
        <v>#N/A</v>
      </c>
      <c r="V36" s="705" t="s">
        <v>14</v>
      </c>
      <c r="W36" s="706" t="e">
        <f t="shared" si="14"/>
        <v>#N/A</v>
      </c>
      <c r="X36" s="1355"/>
      <c r="Y36" s="383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36"/>
      <c r="Q37" s="1343" t="str">
        <f t="shared" si="11"/>
        <v>市政基础设施</v>
      </c>
      <c r="R37" s="701" t="s">
        <v>14</v>
      </c>
      <c r="S37" s="702">
        <f t="shared" si="12"/>
        <v>100</v>
      </c>
      <c r="T37" s="701" t="s">
        <v>14</v>
      </c>
      <c r="U37" s="702">
        <f t="shared" si="13"/>
        <v>100</v>
      </c>
      <c r="V37" s="701" t="s">
        <v>14</v>
      </c>
      <c r="W37" s="702">
        <f t="shared" si="14"/>
        <v>100</v>
      </c>
      <c r="X37" s="703"/>
      <c r="Y37" s="383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36" t="s">
        <v>1696</v>
      </c>
      <c r="Q38" s="1352" t="str">
        <f t="shared" si="11"/>
        <v>业态</v>
      </c>
      <c r="R38" s="705" t="s">
        <v>14</v>
      </c>
      <c r="S38" s="706">
        <f t="shared" si="12"/>
        <v>100</v>
      </c>
      <c r="T38" s="705" t="s">
        <v>14</v>
      </c>
      <c r="U38" s="706">
        <f t="shared" si="13"/>
        <v>100</v>
      </c>
      <c r="V38" s="705" t="s">
        <v>14</v>
      </c>
      <c r="W38" s="706">
        <f t="shared" si="14"/>
        <v>100</v>
      </c>
      <c r="X38" s="1355"/>
      <c r="Y38" s="383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36"/>
      <c r="Q39" s="1352" t="str">
        <f t="shared" si="11"/>
        <v>层高</v>
      </c>
      <c r="R39" s="705" t="s">
        <v>14</v>
      </c>
      <c r="S39" s="706">
        <f t="shared" si="12"/>
        <v>100</v>
      </c>
      <c r="T39" s="705" t="s">
        <v>14</v>
      </c>
      <c r="U39" s="706">
        <f t="shared" si="13"/>
        <v>100</v>
      </c>
      <c r="V39" s="705" t="s">
        <v>14</v>
      </c>
      <c r="W39" s="706">
        <f t="shared" si="14"/>
        <v>100</v>
      </c>
      <c r="X39" s="1355"/>
      <c r="Y39" s="383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36"/>
      <c r="Q40" s="1352" t="str">
        <f t="shared" si="11"/>
        <v>单套建筑面积</v>
      </c>
      <c r="R40" s="705" t="s">
        <v>14</v>
      </c>
      <c r="S40" s="706">
        <f t="shared" si="12"/>
        <v>100</v>
      </c>
      <c r="T40" s="705" t="s">
        <v>14</v>
      </c>
      <c r="U40" s="706">
        <f t="shared" si="13"/>
        <v>100</v>
      </c>
      <c r="V40" s="705" t="s">
        <v>14</v>
      </c>
      <c r="W40" s="706">
        <f t="shared" si="14"/>
        <v>100</v>
      </c>
      <c r="X40" s="1355"/>
      <c r="Y40" s="383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36"/>
      <c r="Q41" s="707" t="str">
        <f t="shared" si="11"/>
        <v>进深比</v>
      </c>
      <c r="R41" s="708" t="s">
        <v>14</v>
      </c>
      <c r="S41" s="709">
        <f t="shared" si="12"/>
        <v>100</v>
      </c>
      <c r="T41" s="708" t="s">
        <v>14</v>
      </c>
      <c r="U41" s="709">
        <f t="shared" si="13"/>
        <v>100</v>
      </c>
      <c r="V41" s="708" t="s">
        <v>14</v>
      </c>
      <c r="W41" s="709">
        <f t="shared" si="14"/>
        <v>100</v>
      </c>
      <c r="X41" s="710"/>
      <c r="Y41" s="383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36"/>
      <c r="Q42" s="1352" t="str">
        <f t="shared" si="11"/>
        <v>内部装修</v>
      </c>
      <c r="R42" s="705" t="s">
        <v>14</v>
      </c>
      <c r="S42" s="706">
        <f t="shared" si="12"/>
        <v>100</v>
      </c>
      <c r="T42" s="705" t="s">
        <v>14</v>
      </c>
      <c r="U42" s="706">
        <f t="shared" si="13"/>
        <v>100</v>
      </c>
      <c r="V42" s="705" t="s">
        <v>14</v>
      </c>
      <c r="W42" s="706">
        <f t="shared" si="14"/>
        <v>100</v>
      </c>
      <c r="X42" s="1355"/>
      <c r="Y42" s="3838"/>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36"/>
      <c r="Q43" s="1352" t="str">
        <f t="shared" si="11"/>
        <v>内部装修维护情况</v>
      </c>
      <c r="R43" s="705" t="s">
        <v>14</v>
      </c>
      <c r="S43" s="706">
        <f t="shared" si="12"/>
        <v>100</v>
      </c>
      <c r="T43" s="705" t="s">
        <v>14</v>
      </c>
      <c r="U43" s="706">
        <f t="shared" si="13"/>
        <v>100</v>
      </c>
      <c r="V43" s="705" t="s">
        <v>14</v>
      </c>
      <c r="W43" s="706">
        <f t="shared" si="14"/>
        <v>100</v>
      </c>
      <c r="X43" s="1355"/>
      <c r="Y43" s="383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36"/>
      <c r="Q44" s="1343">
        <f t="shared" si="11"/>
        <v>111</v>
      </c>
      <c r="R44" s="701" t="s">
        <v>14</v>
      </c>
      <c r="S44" s="702">
        <f t="shared" si="12"/>
        <v>100</v>
      </c>
      <c r="T44" s="701" t="s">
        <v>14</v>
      </c>
      <c r="U44" s="702">
        <f t="shared" si="13"/>
        <v>100</v>
      </c>
      <c r="V44" s="701" t="s">
        <v>14</v>
      </c>
      <c r="W44" s="702">
        <f t="shared" si="14"/>
        <v>100</v>
      </c>
      <c r="X44" s="703"/>
      <c r="Y44" s="38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36"/>
      <c r="Q45" s="1352">
        <f t="shared" si="11"/>
        <v>111</v>
      </c>
      <c r="R45" s="705" t="s">
        <v>14</v>
      </c>
      <c r="S45" s="706">
        <f t="shared" si="12"/>
        <v>100</v>
      </c>
      <c r="T45" s="705" t="s">
        <v>14</v>
      </c>
      <c r="U45" s="706">
        <f t="shared" si="13"/>
        <v>100</v>
      </c>
      <c r="V45" s="705" t="s">
        <v>14</v>
      </c>
      <c r="W45" s="706">
        <f t="shared" si="14"/>
        <v>100</v>
      </c>
      <c r="X45" s="1355"/>
      <c r="Y45" s="383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37"/>
      <c r="Q46" s="1352">
        <f t="shared" si="11"/>
        <v>111</v>
      </c>
      <c r="R46" s="705" t="s">
        <v>14</v>
      </c>
      <c r="S46" s="706">
        <f t="shared" si="12"/>
        <v>100</v>
      </c>
      <c r="T46" s="705" t="s">
        <v>14</v>
      </c>
      <c r="U46" s="706">
        <f t="shared" si="13"/>
        <v>100</v>
      </c>
      <c r="V46" s="705" t="s">
        <v>14</v>
      </c>
      <c r="W46" s="706">
        <f t="shared" si="14"/>
        <v>100</v>
      </c>
      <c r="X46" s="1355"/>
      <c r="Y46" s="383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831" t="str">
        <f>A47</f>
        <v>成交单价（元/平方米）</v>
      </c>
      <c r="Q47" s="3831"/>
      <c r="R47" s="3862">
        <f>E47</f>
        <v>0</v>
      </c>
      <c r="S47" s="3862"/>
      <c r="T47" s="3862">
        <f>G47</f>
        <v>0</v>
      </c>
      <c r="U47" s="3862"/>
      <c r="V47" s="3862">
        <f>I47</f>
        <v>0</v>
      </c>
      <c r="W47" s="3862"/>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31" t="str">
        <f>A48</f>
        <v>比较价值（元/平方米）</v>
      </c>
      <c r="Q48" s="3831"/>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828" t="str">
        <f>A49</f>
        <v>估价对象XX用房的比较价值（楼面单价，元/平方米）</v>
      </c>
      <c r="Q49" s="3829"/>
      <c r="R49" s="3830" t="e">
        <f>IF(F1="售价",ROUND(IF(D48="简单平均",AVERAGE(R48:V48),R48*F48+T48*H48+V48*J48),0),ROUND(IF(D48="简单平均",AVERAGE(R48:V48),R48*F48+T48*H48+V48*J48),1))</f>
        <v>#DIV/0!</v>
      </c>
      <c r="S49" s="3830"/>
      <c r="T49" s="3830"/>
      <c r="U49" s="3830"/>
      <c r="V49" s="3830"/>
      <c r="W49" s="38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2004-9</v>
      </c>
      <c r="D58" s="1185">
        <f>EDATE(C58,-1)</f>
        <v>38200</v>
      </c>
      <c r="E58" s="1185">
        <f t="shared" ref="E58:N58" si="16">EDATE(D58,-1)</f>
        <v>38169</v>
      </c>
      <c r="F58" s="1185">
        <f t="shared" si="16"/>
        <v>38139</v>
      </c>
      <c r="G58" s="1185">
        <f t="shared" si="16"/>
        <v>38108</v>
      </c>
      <c r="H58" s="1185">
        <f t="shared" si="16"/>
        <v>38078</v>
      </c>
      <c r="I58" s="1185">
        <f t="shared" si="16"/>
        <v>38047</v>
      </c>
      <c r="J58" s="1185">
        <f t="shared" si="16"/>
        <v>38018</v>
      </c>
      <c r="K58" s="1185">
        <f t="shared" si="16"/>
        <v>37987</v>
      </c>
      <c r="L58" s="1185">
        <f t="shared" si="16"/>
        <v>37956</v>
      </c>
      <c r="M58" s="1185">
        <f t="shared" si="16"/>
        <v>37926</v>
      </c>
      <c r="N58" s="1185">
        <f t="shared" si="16"/>
        <v>37895</v>
      </c>
      <c r="O58" s="1185">
        <f>EDATE(N58,-1)</f>
        <v>37865</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846" t="s">
        <v>1770</v>
      </c>
      <c r="D4" s="3847"/>
      <c r="E4" s="3848" t="s">
        <v>1771</v>
      </c>
      <c r="F4" s="3849"/>
      <c r="G4" s="3846" t="s">
        <v>1772</v>
      </c>
      <c r="H4" s="3847"/>
      <c r="I4" s="3846" t="s">
        <v>1773</v>
      </c>
      <c r="J4" s="3847"/>
      <c r="K4" s="559" t="s">
        <v>1774</v>
      </c>
      <c r="L4" s="2715"/>
      <c r="M4" s="2716"/>
      <c r="N4" s="2716"/>
      <c r="O4" s="2716"/>
      <c r="P4" s="3889" t="s">
        <v>1775</v>
      </c>
      <c r="Q4" s="3890"/>
      <c r="R4" s="3893" t="s">
        <v>1771</v>
      </c>
      <c r="S4" s="3894"/>
      <c r="T4" s="3893" t="s">
        <v>1772</v>
      </c>
      <c r="U4" s="3894"/>
      <c r="V4" s="3895" t="s">
        <v>1773</v>
      </c>
      <c r="W4" s="3895"/>
      <c r="X4" s="1958"/>
      <c r="Y4" s="3893" t="s">
        <v>1775</v>
      </c>
      <c r="Z4" s="3894"/>
      <c r="AA4" s="3897" t="s">
        <v>1771</v>
      </c>
      <c r="AB4" s="3897" t="s">
        <v>1772</v>
      </c>
      <c r="AC4" s="3886" t="s">
        <v>1773</v>
      </c>
    </row>
    <row r="5" spans="1:29">
      <c r="A5" s="358"/>
      <c r="B5" s="359"/>
      <c r="C5" s="3879" t="s">
        <v>1673</v>
      </c>
      <c r="D5" s="3871"/>
      <c r="E5" s="3881" t="s">
        <v>1674</v>
      </c>
      <c r="F5" s="3882"/>
      <c r="G5" s="3879" t="s">
        <v>1675</v>
      </c>
      <c r="H5" s="3871"/>
      <c r="I5" s="3879" t="s">
        <v>1676</v>
      </c>
      <c r="J5" s="3871"/>
      <c r="K5" s="559"/>
      <c r="L5" s="2715"/>
      <c r="M5" s="2716"/>
      <c r="N5" s="2716"/>
      <c r="O5" s="2716"/>
      <c r="P5" s="3891"/>
      <c r="Q5" s="3853"/>
      <c r="R5" s="3858"/>
      <c r="S5" s="3859"/>
      <c r="T5" s="3858"/>
      <c r="U5" s="3859"/>
      <c r="V5" s="3862"/>
      <c r="W5" s="3862"/>
      <c r="X5" s="1355"/>
      <c r="Y5" s="3858"/>
      <c r="Z5" s="3859"/>
      <c r="AA5" s="3844"/>
      <c r="AB5" s="3844"/>
      <c r="AC5" s="3887"/>
    </row>
    <row r="6" spans="1:29" ht="15" thickBot="1">
      <c r="A6" s="360"/>
      <c r="B6" s="361"/>
      <c r="C6" s="3878" t="s">
        <v>1677</v>
      </c>
      <c r="D6" s="3864"/>
      <c r="E6" s="3880" t="s">
        <v>1677</v>
      </c>
      <c r="F6" s="3873"/>
      <c r="G6" s="3878" t="s">
        <v>1677</v>
      </c>
      <c r="H6" s="3864"/>
      <c r="I6" s="3878" t="s">
        <v>1677</v>
      </c>
      <c r="J6" s="3864"/>
      <c r="K6" s="559" t="s">
        <v>1678</v>
      </c>
      <c r="L6" s="2715"/>
      <c r="M6" s="2716"/>
      <c r="N6" s="2716"/>
      <c r="O6" s="2716"/>
      <c r="P6" s="3892"/>
      <c r="Q6" s="3855"/>
      <c r="R6" s="3858"/>
      <c r="S6" s="3859"/>
      <c r="T6" s="3860"/>
      <c r="U6" s="3861"/>
      <c r="V6" s="3862"/>
      <c r="W6" s="3862"/>
      <c r="X6" s="1355"/>
      <c r="Y6" s="3860"/>
      <c r="Z6" s="3861"/>
      <c r="AA6" s="3845"/>
      <c r="AB6" s="3845"/>
      <c r="AC6" s="3888"/>
    </row>
    <row r="7" spans="1:29" s="108" customFormat="1" ht="15" thickBot="1">
      <c r="A7" s="362" t="s">
        <v>1679</v>
      </c>
      <c r="B7" s="363"/>
      <c r="C7" s="364">
        <f>'数据-取费表'!B2</f>
        <v>38260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96" t="s">
        <v>1680</v>
      </c>
      <c r="Q7" s="3869"/>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96" t="s">
        <v>1683</v>
      </c>
      <c r="Q8" s="3868"/>
      <c r="R8" s="701" t="s">
        <v>14</v>
      </c>
      <c r="S8" s="702">
        <f t="shared" si="0"/>
        <v>100</v>
      </c>
      <c r="T8" s="701" t="s">
        <v>14</v>
      </c>
      <c r="U8" s="702">
        <f t="shared" si="1"/>
        <v>100</v>
      </c>
      <c r="V8" s="701" t="s">
        <v>14</v>
      </c>
      <c r="W8" s="702">
        <f t="shared" si="2"/>
        <v>100</v>
      </c>
      <c r="X8" s="703"/>
      <c r="Y8" s="3867" t="s">
        <v>1683</v>
      </c>
      <c r="Z8" s="386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42" t="s">
        <v>1686</v>
      </c>
      <c r="Q9" s="1343" t="str">
        <f t="shared" ref="Q9:Q15" si="6">B9</f>
        <v>用途</v>
      </c>
      <c r="R9" s="701" t="s">
        <v>14</v>
      </c>
      <c r="S9" s="702">
        <f t="shared" si="0"/>
        <v>100</v>
      </c>
      <c r="T9" s="701" t="s">
        <v>14</v>
      </c>
      <c r="U9" s="702">
        <f t="shared" si="1"/>
        <v>100</v>
      </c>
      <c r="V9" s="701" t="s">
        <v>14</v>
      </c>
      <c r="W9" s="702">
        <f t="shared" si="2"/>
        <v>100</v>
      </c>
      <c r="X9" s="703"/>
      <c r="Y9" s="370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42"/>
      <c r="Q10" s="1343" t="str">
        <f t="shared" si="6"/>
        <v>土地使用年限（年）</v>
      </c>
      <c r="R10" s="701" t="s">
        <v>14</v>
      </c>
      <c r="S10" s="702">
        <f t="shared" si="0"/>
        <v>100</v>
      </c>
      <c r="T10" s="701" t="s">
        <v>14</v>
      </c>
      <c r="U10" s="702">
        <f t="shared" si="1"/>
        <v>100</v>
      </c>
      <c r="V10" s="701" t="s">
        <v>14</v>
      </c>
      <c r="W10" s="702">
        <f t="shared" si="2"/>
        <v>100</v>
      </c>
      <c r="X10" s="703"/>
      <c r="Y10" s="370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42"/>
      <c r="Q11" s="1343" t="str">
        <f t="shared" si="6"/>
        <v>容积率</v>
      </c>
      <c r="R11" s="701" t="s">
        <v>14</v>
      </c>
      <c r="S11" s="702">
        <f t="shared" si="0"/>
        <v>100</v>
      </c>
      <c r="T11" s="701" t="s">
        <v>14</v>
      </c>
      <c r="U11" s="702">
        <f t="shared" si="1"/>
        <v>100</v>
      </c>
      <c r="V11" s="701" t="s">
        <v>14</v>
      </c>
      <c r="W11" s="702">
        <f t="shared" si="2"/>
        <v>100</v>
      </c>
      <c r="X11" s="703"/>
      <c r="Y11" s="370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42"/>
      <c r="Q12" s="1343">
        <f t="shared" si="6"/>
        <v>111</v>
      </c>
      <c r="R12" s="701" t="s">
        <v>14</v>
      </c>
      <c r="S12" s="702">
        <f t="shared" si="0"/>
        <v>100</v>
      </c>
      <c r="T12" s="701" t="s">
        <v>14</v>
      </c>
      <c r="U12" s="702">
        <f t="shared" si="1"/>
        <v>100</v>
      </c>
      <c r="V12" s="701" t="s">
        <v>14</v>
      </c>
      <c r="W12" s="702">
        <f t="shared" si="2"/>
        <v>100</v>
      </c>
      <c r="X12" s="703"/>
      <c r="Y12" s="370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42"/>
      <c r="Q13" s="1343">
        <f t="shared" si="6"/>
        <v>111</v>
      </c>
      <c r="R13" s="701" t="s">
        <v>14</v>
      </c>
      <c r="S13" s="702">
        <f t="shared" si="0"/>
        <v>100</v>
      </c>
      <c r="T13" s="701" t="s">
        <v>14</v>
      </c>
      <c r="U13" s="702">
        <f t="shared" si="1"/>
        <v>100</v>
      </c>
      <c r="V13" s="701" t="s">
        <v>14</v>
      </c>
      <c r="W13" s="702">
        <f t="shared" si="2"/>
        <v>100</v>
      </c>
      <c r="X13" s="703"/>
      <c r="Y13" s="370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42"/>
      <c r="Q14" s="1343">
        <f t="shared" si="6"/>
        <v>111</v>
      </c>
      <c r="R14" s="701" t="s">
        <v>14</v>
      </c>
      <c r="S14" s="702">
        <f t="shared" si="0"/>
        <v>100</v>
      </c>
      <c r="T14" s="701" t="s">
        <v>14</v>
      </c>
      <c r="U14" s="702">
        <f t="shared" si="1"/>
        <v>100</v>
      </c>
      <c r="V14" s="701" t="s">
        <v>14</v>
      </c>
      <c r="W14" s="702">
        <f t="shared" si="2"/>
        <v>100</v>
      </c>
      <c r="X14" s="703"/>
      <c r="Y14" s="3706"/>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40" t="s">
        <v>1691</v>
      </c>
      <c r="Q15" s="1352" t="str">
        <f t="shared" si="6"/>
        <v>办公集聚程度</v>
      </c>
      <c r="R15" s="705" t="s">
        <v>14</v>
      </c>
      <c r="S15" s="706">
        <f t="shared" si="0"/>
        <v>100</v>
      </c>
      <c r="T15" s="705" t="s">
        <v>14</v>
      </c>
      <c r="U15" s="706">
        <f t="shared" si="1"/>
        <v>100</v>
      </c>
      <c r="V15" s="705" t="s">
        <v>14</v>
      </c>
      <c r="W15" s="706">
        <f t="shared" si="2"/>
        <v>100</v>
      </c>
      <c r="X15" s="1355"/>
      <c r="Y15" s="383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41"/>
      <c r="Q16" s="1352"/>
      <c r="R16" s="705"/>
      <c r="S16" s="706"/>
      <c r="T16" s="705"/>
      <c r="U16" s="706"/>
      <c r="V16" s="705"/>
      <c r="W16" s="706"/>
      <c r="X16" s="1355"/>
      <c r="Y16" s="383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41"/>
      <c r="Q17" s="1352" t="str">
        <f>B17</f>
        <v>交通便捷度</v>
      </c>
      <c r="R17" s="705" t="s">
        <v>14</v>
      </c>
      <c r="S17" s="706">
        <f>F17</f>
        <v>100</v>
      </c>
      <c r="T17" s="705" t="s">
        <v>14</v>
      </c>
      <c r="U17" s="706">
        <f>H17</f>
        <v>100</v>
      </c>
      <c r="V17" s="705" t="s">
        <v>14</v>
      </c>
      <c r="W17" s="706">
        <f>J17</f>
        <v>100</v>
      </c>
      <c r="X17" s="1355"/>
      <c r="Y17" s="383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41"/>
      <c r="Q18" s="1352"/>
      <c r="R18" s="705"/>
      <c r="S18" s="706"/>
      <c r="T18" s="705"/>
      <c r="U18" s="706"/>
      <c r="V18" s="705"/>
      <c r="W18" s="706"/>
      <c r="X18" s="1355"/>
      <c r="Y18" s="3834"/>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41"/>
      <c r="Q19" s="1352" t="str">
        <f>B19</f>
        <v>公共配套设施</v>
      </c>
      <c r="R19" s="705" t="s">
        <v>14</v>
      </c>
      <c r="S19" s="706">
        <f>F19</f>
        <v>100</v>
      </c>
      <c r="T19" s="705" t="s">
        <v>14</v>
      </c>
      <c r="U19" s="706">
        <f>H19</f>
        <v>100</v>
      </c>
      <c r="V19" s="705" t="s">
        <v>14</v>
      </c>
      <c r="W19" s="706">
        <f>J19</f>
        <v>100</v>
      </c>
      <c r="X19" s="1355"/>
      <c r="Y19" s="383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41"/>
      <c r="Q20" s="1352"/>
      <c r="R20" s="705"/>
      <c r="S20" s="706"/>
      <c r="T20" s="705"/>
      <c r="U20" s="706"/>
      <c r="V20" s="705"/>
      <c r="W20" s="706"/>
      <c r="X20" s="1355"/>
      <c r="Y20" s="3834"/>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41"/>
      <c r="Q21" s="1352" t="str">
        <f>B21</f>
        <v>基础设施水平</v>
      </c>
      <c r="R21" s="705" t="s">
        <v>14</v>
      </c>
      <c r="S21" s="706">
        <f>F21</f>
        <v>100</v>
      </c>
      <c r="T21" s="705" t="s">
        <v>14</v>
      </c>
      <c r="U21" s="706">
        <f>H21</f>
        <v>100</v>
      </c>
      <c r="V21" s="705" t="s">
        <v>14</v>
      </c>
      <c r="W21" s="706">
        <f>J21</f>
        <v>100</v>
      </c>
      <c r="X21" s="1355"/>
      <c r="Y21" s="383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41"/>
      <c r="Q22" s="1352"/>
      <c r="R22" s="705"/>
      <c r="S22" s="706"/>
      <c r="T22" s="705"/>
      <c r="U22" s="706"/>
      <c r="V22" s="705"/>
      <c r="W22" s="706"/>
      <c r="X22" s="1355"/>
      <c r="Y22" s="3834"/>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41"/>
      <c r="Q23" s="1352" t="str">
        <f>B23</f>
        <v>环境质量</v>
      </c>
      <c r="R23" s="705" t="s">
        <v>14</v>
      </c>
      <c r="S23" s="706">
        <f>F23</f>
        <v>100</v>
      </c>
      <c r="T23" s="705" t="s">
        <v>14</v>
      </c>
      <c r="U23" s="706">
        <f>H23</f>
        <v>100</v>
      </c>
      <c r="V23" s="705" t="s">
        <v>14</v>
      </c>
      <c r="W23" s="706">
        <f>J23</f>
        <v>100</v>
      </c>
      <c r="X23" s="1355"/>
      <c r="Y23" s="383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41"/>
      <c r="Q24" s="1352"/>
      <c r="R24" s="705"/>
      <c r="S24" s="706"/>
      <c r="T24" s="705"/>
      <c r="U24" s="706"/>
      <c r="V24" s="705"/>
      <c r="W24" s="706"/>
      <c r="X24" s="1355"/>
      <c r="Y24" s="3834"/>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41"/>
      <c r="Q25" s="1352" t="str">
        <f>B25</f>
        <v>毗邻道路的类型与等级</v>
      </c>
      <c r="R25" s="705" t="s">
        <v>14</v>
      </c>
      <c r="S25" s="706">
        <f>F25</f>
        <v>100</v>
      </c>
      <c r="T25" s="705" t="s">
        <v>14</v>
      </c>
      <c r="U25" s="706">
        <f>H25</f>
        <v>100</v>
      </c>
      <c r="V25" s="705" t="s">
        <v>14</v>
      </c>
      <c r="W25" s="706">
        <f>J25</f>
        <v>100</v>
      </c>
      <c r="X25" s="1355"/>
      <c r="Y25" s="383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41"/>
      <c r="Q26" s="1352"/>
      <c r="R26" s="705"/>
      <c r="S26" s="706"/>
      <c r="T26" s="705"/>
      <c r="U26" s="706"/>
      <c r="V26" s="705"/>
      <c r="W26" s="706"/>
      <c r="X26" s="1355"/>
      <c r="Y26" s="383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41"/>
      <c r="Q27" s="1352" t="str">
        <f t="shared" ref="Q27:Q47" si="11">B27</f>
        <v>楼层</v>
      </c>
      <c r="R27" s="705" t="s">
        <v>14</v>
      </c>
      <c r="S27" s="706">
        <f>F27</f>
        <v>100</v>
      </c>
      <c r="T27" s="705" t="s">
        <v>14</v>
      </c>
      <c r="U27" s="706">
        <f>H27</f>
        <v>100</v>
      </c>
      <c r="V27" s="705" t="s">
        <v>14</v>
      </c>
      <c r="W27" s="706">
        <f>J27</f>
        <v>100</v>
      </c>
      <c r="X27" s="1355"/>
      <c r="Y27" s="383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41"/>
      <c r="Q28" s="1343" t="str">
        <f t="shared" si="11"/>
        <v>朝向</v>
      </c>
      <c r="R28" s="701" t="s">
        <v>14</v>
      </c>
      <c r="S28" s="702">
        <f>F28</f>
        <v>100</v>
      </c>
      <c r="T28" s="701" t="s">
        <v>14</v>
      </c>
      <c r="U28" s="702">
        <f>H28</f>
        <v>100</v>
      </c>
      <c r="V28" s="701" t="s">
        <v>14</v>
      </c>
      <c r="W28" s="702">
        <f>J28</f>
        <v>100</v>
      </c>
      <c r="X28" s="703"/>
      <c r="Y28" s="383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41"/>
      <c r="Q29" s="1352">
        <f t="shared" si="11"/>
        <v>111</v>
      </c>
      <c r="R29" s="705" t="s">
        <v>14</v>
      </c>
      <c r="S29" s="706">
        <f t="shared" ref="S29:S47" si="12">F29</f>
        <v>100</v>
      </c>
      <c r="T29" s="705" t="s">
        <v>14</v>
      </c>
      <c r="U29" s="706">
        <f t="shared" ref="U29:U47" si="13">H29</f>
        <v>100</v>
      </c>
      <c r="V29" s="705" t="s">
        <v>14</v>
      </c>
      <c r="W29" s="706">
        <f t="shared" ref="W29:W47" si="14">J29</f>
        <v>100</v>
      </c>
      <c r="X29" s="1355"/>
      <c r="Y29" s="383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41"/>
      <c r="Q30" s="1352">
        <f t="shared" si="11"/>
        <v>111</v>
      </c>
      <c r="R30" s="705" t="s">
        <v>14</v>
      </c>
      <c r="S30" s="706">
        <f t="shared" si="12"/>
        <v>100</v>
      </c>
      <c r="T30" s="705" t="s">
        <v>14</v>
      </c>
      <c r="U30" s="706">
        <f t="shared" si="13"/>
        <v>100</v>
      </c>
      <c r="V30" s="705" t="s">
        <v>14</v>
      </c>
      <c r="W30" s="706">
        <f t="shared" si="14"/>
        <v>100</v>
      </c>
      <c r="X30" s="1355"/>
      <c r="Y30" s="383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41"/>
      <c r="Q31" s="1352">
        <f t="shared" si="11"/>
        <v>111</v>
      </c>
      <c r="R31" s="705" t="s">
        <v>14</v>
      </c>
      <c r="S31" s="706">
        <f t="shared" si="12"/>
        <v>100</v>
      </c>
      <c r="T31" s="705" t="s">
        <v>14</v>
      </c>
      <c r="U31" s="706">
        <f t="shared" si="13"/>
        <v>100</v>
      </c>
      <c r="V31" s="705" t="s">
        <v>14</v>
      </c>
      <c r="W31" s="706">
        <f t="shared" si="14"/>
        <v>100</v>
      </c>
      <c r="X31" s="1355"/>
      <c r="Y31" s="383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41"/>
      <c r="Q32" s="1352">
        <f t="shared" si="11"/>
        <v>111</v>
      </c>
      <c r="R32" s="705" t="s">
        <v>14</v>
      </c>
      <c r="S32" s="706">
        <f t="shared" si="12"/>
        <v>100</v>
      </c>
      <c r="T32" s="705" t="s">
        <v>14</v>
      </c>
      <c r="U32" s="706">
        <f t="shared" si="13"/>
        <v>100</v>
      </c>
      <c r="V32" s="705" t="s">
        <v>14</v>
      </c>
      <c r="W32" s="706">
        <f t="shared" si="14"/>
        <v>100</v>
      </c>
      <c r="X32" s="1355"/>
      <c r="Y32" s="383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35" t="s">
        <v>1696</v>
      </c>
      <c r="Q33" s="1352" t="str">
        <f t="shared" si="11"/>
        <v>建筑类型</v>
      </c>
      <c r="R33" s="705" t="s">
        <v>14</v>
      </c>
      <c r="S33" s="706">
        <f t="shared" si="12"/>
        <v>100</v>
      </c>
      <c r="T33" s="705" t="s">
        <v>14</v>
      </c>
      <c r="U33" s="706">
        <f t="shared" si="13"/>
        <v>100</v>
      </c>
      <c r="V33" s="705" t="s">
        <v>14</v>
      </c>
      <c r="W33" s="706">
        <f t="shared" si="14"/>
        <v>100</v>
      </c>
      <c r="X33" s="1355"/>
      <c r="Y33" s="383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36"/>
      <c r="Q34" s="707" t="str">
        <f t="shared" si="11"/>
        <v>项目建筑规模</v>
      </c>
      <c r="R34" s="708" t="s">
        <v>14</v>
      </c>
      <c r="S34" s="709" t="e">
        <f t="shared" si="12"/>
        <v>#N/A</v>
      </c>
      <c r="T34" s="708" t="s">
        <v>14</v>
      </c>
      <c r="U34" s="709" t="e">
        <f t="shared" si="13"/>
        <v>#N/A</v>
      </c>
      <c r="V34" s="708" t="s">
        <v>14</v>
      </c>
      <c r="W34" s="709" t="e">
        <f t="shared" si="14"/>
        <v>#N/A</v>
      </c>
      <c r="X34" s="710"/>
      <c r="Y34" s="383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36"/>
      <c r="Q35" s="1352" t="str">
        <f t="shared" si="11"/>
        <v>建筑结构</v>
      </c>
      <c r="R35" s="705" t="s">
        <v>14</v>
      </c>
      <c r="S35" s="706">
        <f t="shared" si="12"/>
        <v>100</v>
      </c>
      <c r="T35" s="705" t="s">
        <v>14</v>
      </c>
      <c r="U35" s="706">
        <f t="shared" si="13"/>
        <v>100</v>
      </c>
      <c r="V35" s="705" t="s">
        <v>14</v>
      </c>
      <c r="W35" s="706">
        <f t="shared" si="14"/>
        <v>100</v>
      </c>
      <c r="X35" s="1355"/>
      <c r="Y35" s="383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36"/>
      <c r="Q36" s="1352" t="str">
        <f t="shared" si="11"/>
        <v>公共部分装修</v>
      </c>
      <c r="R36" s="705" t="s">
        <v>14</v>
      </c>
      <c r="S36" s="706">
        <f t="shared" si="12"/>
        <v>100</v>
      </c>
      <c r="T36" s="705" t="s">
        <v>14</v>
      </c>
      <c r="U36" s="706">
        <f t="shared" si="13"/>
        <v>100</v>
      </c>
      <c r="V36" s="705" t="s">
        <v>14</v>
      </c>
      <c r="W36" s="706">
        <f t="shared" si="14"/>
        <v>100</v>
      </c>
      <c r="X36" s="1355"/>
      <c r="Y36" s="383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36"/>
      <c r="Q37" s="1352" t="str">
        <f t="shared" si="11"/>
        <v>成新度</v>
      </c>
      <c r="R37" s="705" t="s">
        <v>14</v>
      </c>
      <c r="S37" s="706" t="e">
        <f t="shared" si="12"/>
        <v>#N/A</v>
      </c>
      <c r="T37" s="705" t="s">
        <v>14</v>
      </c>
      <c r="U37" s="706" t="e">
        <f t="shared" si="13"/>
        <v>#N/A</v>
      </c>
      <c r="V37" s="705" t="s">
        <v>14</v>
      </c>
      <c r="W37" s="706" t="e">
        <f t="shared" si="14"/>
        <v>#N/A</v>
      </c>
      <c r="X37" s="1355"/>
      <c r="Y37" s="383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36"/>
      <c r="Q38" s="1343" t="str">
        <f t="shared" si="11"/>
        <v>写字楼等级</v>
      </c>
      <c r="R38" s="701" t="s">
        <v>14</v>
      </c>
      <c r="S38" s="702">
        <f t="shared" si="12"/>
        <v>100</v>
      </c>
      <c r="T38" s="701" t="s">
        <v>14</v>
      </c>
      <c r="U38" s="702">
        <f t="shared" si="13"/>
        <v>100</v>
      </c>
      <c r="V38" s="701" t="s">
        <v>14</v>
      </c>
      <c r="W38" s="702">
        <f t="shared" si="14"/>
        <v>100</v>
      </c>
      <c r="X38" s="703"/>
      <c r="Y38" s="383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36" t="s">
        <v>1696</v>
      </c>
      <c r="Q39" s="1352" t="str">
        <f t="shared" si="11"/>
        <v>物业管理</v>
      </c>
      <c r="R39" s="705" t="s">
        <v>14</v>
      </c>
      <c r="S39" s="706">
        <f t="shared" si="12"/>
        <v>100</v>
      </c>
      <c r="T39" s="705" t="s">
        <v>14</v>
      </c>
      <c r="U39" s="706">
        <f t="shared" si="13"/>
        <v>100</v>
      </c>
      <c r="V39" s="705" t="s">
        <v>14</v>
      </c>
      <c r="W39" s="706">
        <f t="shared" si="14"/>
        <v>100</v>
      </c>
      <c r="X39" s="1355"/>
      <c r="Y39" s="383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36"/>
      <c r="Q40" s="1352" t="str">
        <f t="shared" si="11"/>
        <v>市政基础设施</v>
      </c>
      <c r="R40" s="705" t="s">
        <v>14</v>
      </c>
      <c r="S40" s="706">
        <f t="shared" si="12"/>
        <v>100</v>
      </c>
      <c r="T40" s="705" t="s">
        <v>14</v>
      </c>
      <c r="U40" s="706">
        <f t="shared" si="13"/>
        <v>100</v>
      </c>
      <c r="V40" s="705" t="s">
        <v>14</v>
      </c>
      <c r="W40" s="706">
        <f t="shared" si="14"/>
        <v>100</v>
      </c>
      <c r="X40" s="1355"/>
      <c r="Y40" s="383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36"/>
      <c r="Q41" s="1352" t="str">
        <f t="shared" si="11"/>
        <v>层高</v>
      </c>
      <c r="R41" s="705" t="s">
        <v>14</v>
      </c>
      <c r="S41" s="706">
        <f t="shared" si="12"/>
        <v>100</v>
      </c>
      <c r="T41" s="705" t="s">
        <v>14</v>
      </c>
      <c r="U41" s="706">
        <f t="shared" si="13"/>
        <v>100</v>
      </c>
      <c r="V41" s="705" t="s">
        <v>14</v>
      </c>
      <c r="W41" s="706">
        <f t="shared" si="14"/>
        <v>100</v>
      </c>
      <c r="X41" s="1355"/>
      <c r="Y41" s="383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36"/>
      <c r="Q42" s="707" t="str">
        <f t="shared" si="11"/>
        <v>单套建筑面积</v>
      </c>
      <c r="R42" s="708" t="s">
        <v>14</v>
      </c>
      <c r="S42" s="709">
        <f t="shared" si="12"/>
        <v>100</v>
      </c>
      <c r="T42" s="708" t="s">
        <v>14</v>
      </c>
      <c r="U42" s="709">
        <f t="shared" si="13"/>
        <v>100</v>
      </c>
      <c r="V42" s="708" t="s">
        <v>14</v>
      </c>
      <c r="W42" s="709">
        <f t="shared" si="14"/>
        <v>100</v>
      </c>
      <c r="X42" s="710"/>
      <c r="Y42" s="383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36"/>
      <c r="Q43" s="1352" t="str">
        <f t="shared" si="11"/>
        <v>内部装修</v>
      </c>
      <c r="R43" s="705" t="s">
        <v>14</v>
      </c>
      <c r="S43" s="706">
        <f t="shared" si="12"/>
        <v>100</v>
      </c>
      <c r="T43" s="705" t="s">
        <v>14</v>
      </c>
      <c r="U43" s="706">
        <f t="shared" si="13"/>
        <v>100</v>
      </c>
      <c r="V43" s="705" t="s">
        <v>14</v>
      </c>
      <c r="W43" s="706">
        <f t="shared" si="14"/>
        <v>100</v>
      </c>
      <c r="X43" s="1355"/>
      <c r="Y43" s="3838"/>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36"/>
      <c r="Q44" s="1352" t="str">
        <f t="shared" si="11"/>
        <v>内部装修维护情况</v>
      </c>
      <c r="R44" s="705" t="s">
        <v>14</v>
      </c>
      <c r="S44" s="706">
        <f t="shared" si="12"/>
        <v>100</v>
      </c>
      <c r="T44" s="705" t="s">
        <v>14</v>
      </c>
      <c r="U44" s="706">
        <f t="shared" si="13"/>
        <v>100</v>
      </c>
      <c r="V44" s="705" t="s">
        <v>14</v>
      </c>
      <c r="W44" s="706">
        <f t="shared" si="14"/>
        <v>100</v>
      </c>
      <c r="X44" s="1355"/>
      <c r="Y44" s="383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36"/>
      <c r="Q45" s="1343">
        <f t="shared" si="11"/>
        <v>111</v>
      </c>
      <c r="R45" s="701" t="s">
        <v>14</v>
      </c>
      <c r="S45" s="702">
        <f t="shared" si="12"/>
        <v>100</v>
      </c>
      <c r="T45" s="701" t="s">
        <v>14</v>
      </c>
      <c r="U45" s="702">
        <f t="shared" si="13"/>
        <v>100</v>
      </c>
      <c r="V45" s="701" t="s">
        <v>14</v>
      </c>
      <c r="W45" s="702">
        <f t="shared" si="14"/>
        <v>100</v>
      </c>
      <c r="X45" s="703"/>
      <c r="Y45" s="383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36"/>
      <c r="Q46" s="1352">
        <f t="shared" si="11"/>
        <v>111</v>
      </c>
      <c r="R46" s="705" t="s">
        <v>14</v>
      </c>
      <c r="S46" s="706">
        <f t="shared" si="12"/>
        <v>100</v>
      </c>
      <c r="T46" s="705" t="s">
        <v>14</v>
      </c>
      <c r="U46" s="706">
        <f t="shared" si="13"/>
        <v>100</v>
      </c>
      <c r="V46" s="705" t="s">
        <v>14</v>
      </c>
      <c r="W46" s="706">
        <f t="shared" si="14"/>
        <v>100</v>
      </c>
      <c r="X46" s="1355"/>
      <c r="Y46" s="383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37"/>
      <c r="Q47" s="1352">
        <f t="shared" si="11"/>
        <v>111</v>
      </c>
      <c r="R47" s="705" t="s">
        <v>14</v>
      </c>
      <c r="S47" s="706">
        <f t="shared" si="12"/>
        <v>100</v>
      </c>
      <c r="T47" s="705" t="s">
        <v>14</v>
      </c>
      <c r="U47" s="706">
        <f t="shared" si="13"/>
        <v>100</v>
      </c>
      <c r="V47" s="705" t="s">
        <v>14</v>
      </c>
      <c r="W47" s="706">
        <f t="shared" si="14"/>
        <v>100</v>
      </c>
      <c r="X47" s="1355"/>
      <c r="Y47" s="3839"/>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842" t="str">
        <f>A48</f>
        <v>成交单价（元/平方米）</v>
      </c>
      <c r="Q48" s="3831"/>
      <c r="R48" s="3832">
        <f>E48</f>
        <v>0</v>
      </c>
      <c r="S48" s="3832"/>
      <c r="T48" s="3832">
        <f>G48</f>
        <v>0</v>
      </c>
      <c r="U48" s="3832"/>
      <c r="V48" s="3832">
        <f>I48</f>
        <v>0</v>
      </c>
      <c r="W48" s="3832"/>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42" t="str">
        <f>A49</f>
        <v>比较价值（元/平方米）</v>
      </c>
      <c r="Q49" s="3831"/>
      <c r="R49" s="3832" t="e">
        <f>IF(F1="售价",ROUND(PRODUCT(R48,AA7:AA47),0),ROUND(PRODUCT(R48,AA7:AA47),1))</f>
        <v>#DIV/0!</v>
      </c>
      <c r="S49" s="3832"/>
      <c r="T49" s="3832" t="e">
        <f>IF(F1="售价",ROUND(PRODUCT(T48,AB7:AB47),0),ROUND(PRODUCT(T48,AB7:AB47),1))</f>
        <v>#DIV/0!</v>
      </c>
      <c r="U49" s="3832"/>
      <c r="V49" s="3832" t="e">
        <f>IF(F1="售价",ROUND(PRODUCT(V48,AC7:AC47),0),ROUND(PRODUCT(V48,AC7:AC47),1))</f>
        <v>#DIV/0!</v>
      </c>
      <c r="W49" s="383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883" t="str">
        <f>A50</f>
        <v>估价对象XX用房的比较价值（楼面单价，元/平方米）</v>
      </c>
      <c r="Q50" s="3884"/>
      <c r="R50" s="3885" t="e">
        <f>IF(F1="售价",ROUND(IF(D49="简单平均",AVERAGE(R49:V49),R49*F49+T49*H49+V49*J49),0),ROUND(IF(D49="简单平均",AVERAGE(R49:V49),R49*F49+T49*H49+V49*J49),1))</f>
        <v>#DIV/0!</v>
      </c>
      <c r="S50" s="3885"/>
      <c r="T50" s="3885"/>
      <c r="U50" s="3885"/>
      <c r="V50" s="3885"/>
      <c r="W50" s="388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2004-9</v>
      </c>
      <c r="D59" s="1185">
        <f>EDATE(C59,-1)</f>
        <v>38200</v>
      </c>
      <c r="E59" s="1185">
        <f>EDATE(D59,-1)</f>
        <v>38169</v>
      </c>
      <c r="F59" s="1185">
        <f t="shared" ref="F59:O59" si="16">EDATE(E59,-1)</f>
        <v>38139</v>
      </c>
      <c r="G59" s="1185">
        <f t="shared" si="16"/>
        <v>38108</v>
      </c>
      <c r="H59" s="1185">
        <f t="shared" si="16"/>
        <v>38078</v>
      </c>
      <c r="I59" s="1185">
        <f t="shared" si="16"/>
        <v>38047</v>
      </c>
      <c r="J59" s="1185">
        <f t="shared" si="16"/>
        <v>38018</v>
      </c>
      <c r="K59" s="1185">
        <f t="shared" si="16"/>
        <v>37987</v>
      </c>
      <c r="L59" s="1185">
        <f t="shared" si="16"/>
        <v>37956</v>
      </c>
      <c r="M59" s="1185">
        <f t="shared" si="16"/>
        <v>37926</v>
      </c>
      <c r="N59" s="1185">
        <f t="shared" si="16"/>
        <v>37895</v>
      </c>
      <c r="O59" s="1185">
        <f t="shared" si="16"/>
        <v>37865</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2004年9月30日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9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46" t="s">
        <v>1770</v>
      </c>
      <c r="D4" s="3847"/>
      <c r="E4" s="3848" t="s">
        <v>1771</v>
      </c>
      <c r="F4" s="3849"/>
      <c r="G4" s="3846" t="s">
        <v>1772</v>
      </c>
      <c r="H4" s="3847"/>
      <c r="I4" s="3846" t="s">
        <v>1773</v>
      </c>
      <c r="J4" s="3847"/>
      <c r="K4" s="559" t="s">
        <v>1774</v>
      </c>
      <c r="L4" s="913"/>
      <c r="M4" s="914"/>
      <c r="N4" s="914"/>
      <c r="O4" s="914"/>
      <c r="P4" s="3850" t="s">
        <v>1775</v>
      </c>
      <c r="Q4" s="3851"/>
      <c r="R4" s="3856" t="s">
        <v>1771</v>
      </c>
      <c r="S4" s="3857"/>
      <c r="T4" s="3856" t="s">
        <v>1772</v>
      </c>
      <c r="U4" s="3857"/>
      <c r="V4" s="3862" t="s">
        <v>1773</v>
      </c>
      <c r="W4" s="3862"/>
      <c r="X4" s="1355"/>
      <c r="Y4" s="3856" t="s">
        <v>1775</v>
      </c>
      <c r="Z4" s="3857"/>
      <c r="AA4" s="3843" t="s">
        <v>1771</v>
      </c>
      <c r="AB4" s="3844" t="s">
        <v>1772</v>
      </c>
      <c r="AC4" s="3843" t="s">
        <v>1773</v>
      </c>
    </row>
    <row r="5" spans="1:29">
      <c r="A5" s="358"/>
      <c r="B5" s="359"/>
      <c r="C5" s="3879" t="s">
        <v>1673</v>
      </c>
      <c r="D5" s="3871"/>
      <c r="E5" s="3881" t="s">
        <v>1674</v>
      </c>
      <c r="F5" s="3882"/>
      <c r="G5" s="3879" t="s">
        <v>1675</v>
      </c>
      <c r="H5" s="3871"/>
      <c r="I5" s="3879" t="s">
        <v>1676</v>
      </c>
      <c r="J5" s="3871"/>
      <c r="K5" s="559"/>
      <c r="L5" s="913"/>
      <c r="M5" s="914"/>
      <c r="N5" s="914"/>
      <c r="O5" s="914"/>
      <c r="P5" s="3852"/>
      <c r="Q5" s="3853"/>
      <c r="R5" s="3858"/>
      <c r="S5" s="3859"/>
      <c r="T5" s="3858"/>
      <c r="U5" s="3859"/>
      <c r="V5" s="3862"/>
      <c r="W5" s="3862"/>
      <c r="X5" s="1355"/>
      <c r="Y5" s="3858"/>
      <c r="Z5" s="3859"/>
      <c r="AA5" s="3844"/>
      <c r="AB5" s="3844"/>
      <c r="AC5" s="3844"/>
    </row>
    <row r="6" spans="1:29" ht="15" thickBot="1">
      <c r="A6" s="360"/>
      <c r="B6" s="361"/>
      <c r="C6" s="3878" t="s">
        <v>1677</v>
      </c>
      <c r="D6" s="3864"/>
      <c r="E6" s="3880" t="s">
        <v>1677</v>
      </c>
      <c r="F6" s="3873"/>
      <c r="G6" s="3878" t="s">
        <v>1677</v>
      </c>
      <c r="H6" s="3864"/>
      <c r="I6" s="3878" t="s">
        <v>1677</v>
      </c>
      <c r="J6" s="3864"/>
      <c r="K6" s="559" t="s">
        <v>1678</v>
      </c>
      <c r="L6" s="913"/>
      <c r="M6" s="914"/>
      <c r="N6" s="914"/>
      <c r="O6" s="914"/>
      <c r="P6" s="3854"/>
      <c r="Q6" s="3855"/>
      <c r="R6" s="3858"/>
      <c r="S6" s="3859"/>
      <c r="T6" s="3860"/>
      <c r="U6" s="3861"/>
      <c r="V6" s="3862"/>
      <c r="W6" s="3862"/>
      <c r="X6" s="1355"/>
      <c r="Y6" s="3860"/>
      <c r="Z6" s="3861"/>
      <c r="AA6" s="3845"/>
      <c r="AB6" s="3845"/>
      <c r="AC6" s="3845"/>
    </row>
    <row r="7" spans="1:29" s="108" customFormat="1" ht="15" thickBot="1">
      <c r="A7" s="362" t="s">
        <v>1679</v>
      </c>
      <c r="B7" s="363"/>
      <c r="C7" s="364">
        <f>'数据-取费表'!B2</f>
        <v>38260</v>
      </c>
      <c r="D7" s="365">
        <v>100</v>
      </c>
      <c r="E7" s="366"/>
      <c r="F7" s="367">
        <f>SUMIF(52:52,YEAR(E7)&amp;"-"&amp;MONTH(E7),53:53)</f>
        <v>0</v>
      </c>
      <c r="G7" s="366"/>
      <c r="H7" s="365">
        <f>SUMIF(52:52,YEAR(G7)&amp;"-"&amp;MONTH(G7),53:53)</f>
        <v>0</v>
      </c>
      <c r="I7" s="366"/>
      <c r="J7" s="365">
        <f>SUMIF(52:52,YEAR(I7)&amp;"-"&amp;MONTH(I7),53:53)</f>
        <v>0</v>
      </c>
      <c r="K7" s="560"/>
      <c r="L7" s="915"/>
      <c r="M7" s="916"/>
      <c r="N7" s="916"/>
      <c r="O7" s="916"/>
      <c r="P7" s="3867" t="s">
        <v>1680</v>
      </c>
      <c r="Q7" s="3869"/>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67" t="s">
        <v>1683</v>
      </c>
      <c r="Q8" s="3868"/>
      <c r="R8" s="701" t="s">
        <v>14</v>
      </c>
      <c r="S8" s="702">
        <f t="shared" si="0"/>
        <v>100</v>
      </c>
      <c r="T8" s="701" t="s">
        <v>14</v>
      </c>
      <c r="U8" s="702">
        <f t="shared" si="1"/>
        <v>100</v>
      </c>
      <c r="V8" s="701" t="s">
        <v>14</v>
      </c>
      <c r="W8" s="702">
        <f t="shared" si="2"/>
        <v>100</v>
      </c>
      <c r="X8" s="703"/>
      <c r="Y8" s="3867" t="s">
        <v>1683</v>
      </c>
      <c r="Z8" s="386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31" t="s">
        <v>1686</v>
      </c>
      <c r="Q9" s="1343" t="str">
        <f t="shared" ref="Q9:Q15" si="6">B9</f>
        <v>用途</v>
      </c>
      <c r="R9" s="701" t="s">
        <v>14</v>
      </c>
      <c r="S9" s="702">
        <f t="shared" si="0"/>
        <v>100</v>
      </c>
      <c r="T9" s="701" t="s">
        <v>14</v>
      </c>
      <c r="U9" s="702">
        <f t="shared" si="1"/>
        <v>100</v>
      </c>
      <c r="V9" s="701" t="s">
        <v>14</v>
      </c>
      <c r="W9" s="702">
        <f t="shared" si="2"/>
        <v>100</v>
      </c>
      <c r="X9" s="703"/>
      <c r="Y9" s="370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31"/>
      <c r="Q10" s="1343" t="str">
        <f t="shared" si="6"/>
        <v>土地使用年限（年）</v>
      </c>
      <c r="R10" s="701" t="s">
        <v>14</v>
      </c>
      <c r="S10" s="702">
        <f t="shared" si="0"/>
        <v>100</v>
      </c>
      <c r="T10" s="701" t="s">
        <v>14</v>
      </c>
      <c r="U10" s="702">
        <f t="shared" si="1"/>
        <v>100</v>
      </c>
      <c r="V10" s="701" t="s">
        <v>14</v>
      </c>
      <c r="W10" s="702">
        <f t="shared" si="2"/>
        <v>100</v>
      </c>
      <c r="X10" s="703"/>
      <c r="Y10" s="370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31"/>
      <c r="Q11" s="1343" t="str">
        <f t="shared" si="6"/>
        <v>容积率</v>
      </c>
      <c r="R11" s="701" t="s">
        <v>14</v>
      </c>
      <c r="S11" s="702">
        <f t="shared" si="0"/>
        <v>100</v>
      </c>
      <c r="T11" s="701" t="s">
        <v>14</v>
      </c>
      <c r="U11" s="702">
        <f t="shared" si="1"/>
        <v>100</v>
      </c>
      <c r="V11" s="701" t="s">
        <v>14</v>
      </c>
      <c r="W11" s="702">
        <f t="shared" si="2"/>
        <v>100</v>
      </c>
      <c r="X11" s="703"/>
      <c r="Y11" s="370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31"/>
      <c r="Q12" s="1343">
        <f t="shared" si="6"/>
        <v>111</v>
      </c>
      <c r="R12" s="701" t="s">
        <v>14</v>
      </c>
      <c r="S12" s="702">
        <f t="shared" si="0"/>
        <v>100</v>
      </c>
      <c r="T12" s="701" t="s">
        <v>14</v>
      </c>
      <c r="U12" s="702">
        <f t="shared" si="1"/>
        <v>100</v>
      </c>
      <c r="V12" s="701" t="s">
        <v>14</v>
      </c>
      <c r="W12" s="702">
        <f t="shared" si="2"/>
        <v>100</v>
      </c>
      <c r="X12" s="703"/>
      <c r="Y12" s="370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31"/>
      <c r="Q13" s="1343">
        <f t="shared" si="6"/>
        <v>111</v>
      </c>
      <c r="R13" s="701" t="s">
        <v>14</v>
      </c>
      <c r="S13" s="702">
        <f t="shared" si="0"/>
        <v>100</v>
      </c>
      <c r="T13" s="701" t="s">
        <v>14</v>
      </c>
      <c r="U13" s="702">
        <f t="shared" si="1"/>
        <v>100</v>
      </c>
      <c r="V13" s="701" t="s">
        <v>14</v>
      </c>
      <c r="W13" s="702">
        <f t="shared" si="2"/>
        <v>100</v>
      </c>
      <c r="X13" s="703"/>
      <c r="Y13" s="370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31"/>
      <c r="Q14" s="1343">
        <f t="shared" si="6"/>
        <v>111</v>
      </c>
      <c r="R14" s="701" t="s">
        <v>14</v>
      </c>
      <c r="S14" s="702">
        <f t="shared" si="0"/>
        <v>100</v>
      </c>
      <c r="T14" s="701" t="s">
        <v>14</v>
      </c>
      <c r="U14" s="702">
        <f t="shared" si="1"/>
        <v>100</v>
      </c>
      <c r="V14" s="701" t="s">
        <v>14</v>
      </c>
      <c r="W14" s="702">
        <f t="shared" si="2"/>
        <v>100</v>
      </c>
      <c r="X14" s="703"/>
      <c r="Y14" s="3706"/>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33" t="s">
        <v>1691</v>
      </c>
      <c r="Q15" s="1352" t="str">
        <f t="shared" si="6"/>
        <v>产业集聚程度</v>
      </c>
      <c r="R15" s="705" t="s">
        <v>14</v>
      </c>
      <c r="S15" s="706">
        <f t="shared" si="0"/>
        <v>100</v>
      </c>
      <c r="T15" s="705" t="s">
        <v>14</v>
      </c>
      <c r="U15" s="706">
        <f t="shared" si="1"/>
        <v>100</v>
      </c>
      <c r="V15" s="705" t="s">
        <v>14</v>
      </c>
      <c r="W15" s="706">
        <f t="shared" si="2"/>
        <v>100</v>
      </c>
      <c r="X15" s="1355"/>
      <c r="Y15" s="383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34"/>
      <c r="Q16" s="1352"/>
      <c r="R16" s="705"/>
      <c r="S16" s="706"/>
      <c r="T16" s="705"/>
      <c r="U16" s="706"/>
      <c r="V16" s="705"/>
      <c r="W16" s="706"/>
      <c r="X16" s="1355"/>
      <c r="Y16" s="383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34"/>
      <c r="Q17" s="1352" t="str">
        <f>B17</f>
        <v>交通便捷度</v>
      </c>
      <c r="R17" s="705" t="s">
        <v>14</v>
      </c>
      <c r="S17" s="706">
        <f>F17</f>
        <v>100</v>
      </c>
      <c r="T17" s="705" t="s">
        <v>14</v>
      </c>
      <c r="U17" s="706">
        <f>H17</f>
        <v>100</v>
      </c>
      <c r="V17" s="705" t="s">
        <v>14</v>
      </c>
      <c r="W17" s="706">
        <f>J17</f>
        <v>100</v>
      </c>
      <c r="X17" s="1355"/>
      <c r="Y17" s="38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34"/>
      <c r="Q18" s="1352"/>
      <c r="R18" s="705"/>
      <c r="S18" s="706"/>
      <c r="T18" s="705"/>
      <c r="U18" s="706"/>
      <c r="V18" s="705"/>
      <c r="W18" s="706"/>
      <c r="X18" s="1355"/>
      <c r="Y18" s="3834"/>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34"/>
      <c r="Q19" s="1352" t="str">
        <f>B19</f>
        <v>公共配套设施</v>
      </c>
      <c r="R19" s="705" t="s">
        <v>14</v>
      </c>
      <c r="S19" s="706">
        <f>F19</f>
        <v>100</v>
      </c>
      <c r="T19" s="705" t="s">
        <v>14</v>
      </c>
      <c r="U19" s="706">
        <f>H19</f>
        <v>100</v>
      </c>
      <c r="V19" s="705" t="s">
        <v>14</v>
      </c>
      <c r="W19" s="706">
        <f>J19</f>
        <v>100</v>
      </c>
      <c r="X19" s="1355"/>
      <c r="Y19" s="38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34"/>
      <c r="Q20" s="1352"/>
      <c r="R20" s="705"/>
      <c r="S20" s="706"/>
      <c r="T20" s="705"/>
      <c r="U20" s="706"/>
      <c r="V20" s="705"/>
      <c r="W20" s="706"/>
      <c r="X20" s="1355"/>
      <c r="Y20" s="3834"/>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34"/>
      <c r="Q21" s="1352" t="str">
        <f>B21</f>
        <v>基础设施水平</v>
      </c>
      <c r="R21" s="705" t="s">
        <v>14</v>
      </c>
      <c r="S21" s="706">
        <f>F21</f>
        <v>100</v>
      </c>
      <c r="T21" s="705" t="s">
        <v>14</v>
      </c>
      <c r="U21" s="706">
        <f>H21</f>
        <v>100</v>
      </c>
      <c r="V21" s="705" t="s">
        <v>14</v>
      </c>
      <c r="W21" s="706">
        <f>J21</f>
        <v>100</v>
      </c>
      <c r="X21" s="1355"/>
      <c r="Y21" s="38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34"/>
      <c r="Q22" s="1352"/>
      <c r="R22" s="705"/>
      <c r="S22" s="706"/>
      <c r="T22" s="705"/>
      <c r="U22" s="706"/>
      <c r="V22" s="705"/>
      <c r="W22" s="706"/>
      <c r="X22" s="1355"/>
      <c r="Y22" s="3834"/>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34"/>
      <c r="Q23" s="1352" t="str">
        <f>B23</f>
        <v>环境质量</v>
      </c>
      <c r="R23" s="705" t="s">
        <v>14</v>
      </c>
      <c r="S23" s="706">
        <f>F23</f>
        <v>100</v>
      </c>
      <c r="T23" s="705" t="s">
        <v>14</v>
      </c>
      <c r="U23" s="706">
        <f>H23</f>
        <v>100</v>
      </c>
      <c r="V23" s="705" t="s">
        <v>14</v>
      </c>
      <c r="W23" s="706">
        <f>J23</f>
        <v>100</v>
      </c>
      <c r="X23" s="1355"/>
      <c r="Y23" s="383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34"/>
      <c r="Q24" s="1352"/>
      <c r="R24" s="705"/>
      <c r="S24" s="706"/>
      <c r="T24" s="705"/>
      <c r="U24" s="706"/>
      <c r="V24" s="705"/>
      <c r="W24" s="706"/>
      <c r="X24" s="1355"/>
      <c r="Y24" s="383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34"/>
      <c r="Q25" s="1352">
        <f>B25</f>
        <v>111</v>
      </c>
      <c r="R25" s="705" t="s">
        <v>14</v>
      </c>
      <c r="S25" s="706">
        <f>F25</f>
        <v>100</v>
      </c>
      <c r="T25" s="705" t="s">
        <v>14</v>
      </c>
      <c r="U25" s="706">
        <f>H25</f>
        <v>100</v>
      </c>
      <c r="V25" s="705" t="s">
        <v>14</v>
      </c>
      <c r="W25" s="706">
        <f>J25</f>
        <v>100</v>
      </c>
      <c r="X25" s="1355"/>
      <c r="Y25" s="383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34"/>
      <c r="Q26" s="1352">
        <f t="shared" ref="Q26:Q40" si="11">B26</f>
        <v>111</v>
      </c>
      <c r="R26" s="705" t="s">
        <v>14</v>
      </c>
      <c r="S26" s="706">
        <f>F26</f>
        <v>100</v>
      </c>
      <c r="T26" s="705" t="s">
        <v>14</v>
      </c>
      <c r="U26" s="706">
        <f>H26</f>
        <v>100</v>
      </c>
      <c r="V26" s="705" t="s">
        <v>14</v>
      </c>
      <c r="W26" s="706">
        <f>J26</f>
        <v>100</v>
      </c>
      <c r="X26" s="1355"/>
      <c r="Y26" s="383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34"/>
      <c r="Q27" s="1343">
        <f t="shared" si="11"/>
        <v>111</v>
      </c>
      <c r="R27" s="701" t="s">
        <v>14</v>
      </c>
      <c r="S27" s="702">
        <f>F27</f>
        <v>100</v>
      </c>
      <c r="T27" s="701" t="s">
        <v>14</v>
      </c>
      <c r="U27" s="702">
        <f>H27</f>
        <v>100</v>
      </c>
      <c r="V27" s="701" t="s">
        <v>14</v>
      </c>
      <c r="W27" s="702">
        <f>J27</f>
        <v>100</v>
      </c>
      <c r="X27" s="703"/>
      <c r="Y27" s="383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34"/>
      <c r="Q28" s="1352">
        <f t="shared" si="11"/>
        <v>111</v>
      </c>
      <c r="R28" s="705" t="s">
        <v>14</v>
      </c>
      <c r="S28" s="706">
        <f t="shared" ref="S28:S40" si="12">F28</f>
        <v>100</v>
      </c>
      <c r="T28" s="705" t="s">
        <v>14</v>
      </c>
      <c r="U28" s="706">
        <f t="shared" ref="U28:U40" si="13">H28</f>
        <v>100</v>
      </c>
      <c r="V28" s="705" t="s">
        <v>14</v>
      </c>
      <c r="W28" s="706">
        <f t="shared" ref="W28:W40" si="14">J28</f>
        <v>100</v>
      </c>
      <c r="X28" s="1355"/>
      <c r="Y28" s="3834"/>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98" t="s">
        <v>1696</v>
      </c>
      <c r="Q29" s="1352" t="str">
        <f t="shared" si="11"/>
        <v>建筑类型</v>
      </c>
      <c r="R29" s="705" t="s">
        <v>14</v>
      </c>
      <c r="S29" s="706">
        <f t="shared" si="12"/>
        <v>100</v>
      </c>
      <c r="T29" s="705" t="s">
        <v>14</v>
      </c>
      <c r="U29" s="706">
        <f t="shared" si="13"/>
        <v>100</v>
      </c>
      <c r="V29" s="705" t="s">
        <v>14</v>
      </c>
      <c r="W29" s="706">
        <f t="shared" si="14"/>
        <v>100</v>
      </c>
      <c r="X29" s="1355"/>
      <c r="Y29" s="383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8"/>
      <c r="Q30" s="707" t="str">
        <f t="shared" si="11"/>
        <v>项目建筑规模</v>
      </c>
      <c r="R30" s="708" t="s">
        <v>14</v>
      </c>
      <c r="S30" s="709" t="e">
        <f t="shared" si="12"/>
        <v>#N/A</v>
      </c>
      <c r="T30" s="708" t="s">
        <v>14</v>
      </c>
      <c r="U30" s="709" t="e">
        <f t="shared" si="13"/>
        <v>#N/A</v>
      </c>
      <c r="V30" s="708" t="s">
        <v>14</v>
      </c>
      <c r="W30" s="709" t="e">
        <f t="shared" si="14"/>
        <v>#N/A</v>
      </c>
      <c r="X30" s="710"/>
      <c r="Y30" s="383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8"/>
      <c r="Q31" s="1352" t="str">
        <f t="shared" si="11"/>
        <v>建筑结构</v>
      </c>
      <c r="R31" s="705" t="s">
        <v>14</v>
      </c>
      <c r="S31" s="706">
        <f t="shared" si="12"/>
        <v>100</v>
      </c>
      <c r="T31" s="705" t="s">
        <v>14</v>
      </c>
      <c r="U31" s="706">
        <f t="shared" si="13"/>
        <v>100</v>
      </c>
      <c r="V31" s="705" t="s">
        <v>14</v>
      </c>
      <c r="W31" s="706">
        <f t="shared" si="14"/>
        <v>100</v>
      </c>
      <c r="X31" s="1355"/>
      <c r="Y31" s="383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8"/>
      <c r="Q32" s="1352" t="str">
        <f t="shared" si="11"/>
        <v>公共部分装修</v>
      </c>
      <c r="R32" s="705" t="s">
        <v>14</v>
      </c>
      <c r="S32" s="706">
        <f t="shared" si="12"/>
        <v>100</v>
      </c>
      <c r="T32" s="705" t="s">
        <v>14</v>
      </c>
      <c r="U32" s="706">
        <f t="shared" si="13"/>
        <v>100</v>
      </c>
      <c r="V32" s="705" t="s">
        <v>14</v>
      </c>
      <c r="W32" s="706">
        <f t="shared" si="14"/>
        <v>100</v>
      </c>
      <c r="X32" s="1355"/>
      <c r="Y32" s="383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8"/>
      <c r="Q33" s="1352" t="str">
        <f t="shared" si="11"/>
        <v>成新度</v>
      </c>
      <c r="R33" s="705" t="s">
        <v>14</v>
      </c>
      <c r="S33" s="706" t="e">
        <f t="shared" si="12"/>
        <v>#N/A</v>
      </c>
      <c r="T33" s="705" t="s">
        <v>14</v>
      </c>
      <c r="U33" s="706" t="e">
        <f t="shared" si="13"/>
        <v>#N/A</v>
      </c>
      <c r="V33" s="705" t="s">
        <v>14</v>
      </c>
      <c r="W33" s="706" t="e">
        <f t="shared" si="14"/>
        <v>#N/A</v>
      </c>
      <c r="X33" s="1355"/>
      <c r="Y33" s="383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8"/>
      <c r="Q34" s="1343" t="str">
        <f t="shared" si="11"/>
        <v>物业管理</v>
      </c>
      <c r="R34" s="701" t="s">
        <v>14</v>
      </c>
      <c r="S34" s="702">
        <f t="shared" si="12"/>
        <v>100</v>
      </c>
      <c r="T34" s="701" t="s">
        <v>14</v>
      </c>
      <c r="U34" s="702">
        <f t="shared" si="13"/>
        <v>100</v>
      </c>
      <c r="V34" s="701" t="s">
        <v>14</v>
      </c>
      <c r="W34" s="702">
        <f t="shared" si="14"/>
        <v>100</v>
      </c>
      <c r="X34" s="703"/>
      <c r="Y34" s="383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8" t="s">
        <v>1696</v>
      </c>
      <c r="Q35" s="1352" t="str">
        <f t="shared" si="11"/>
        <v>市政基础设施</v>
      </c>
      <c r="R35" s="705" t="s">
        <v>14</v>
      </c>
      <c r="S35" s="706">
        <f t="shared" si="12"/>
        <v>100</v>
      </c>
      <c r="T35" s="705" t="s">
        <v>14</v>
      </c>
      <c r="U35" s="706">
        <f t="shared" si="13"/>
        <v>100</v>
      </c>
      <c r="V35" s="705" t="s">
        <v>14</v>
      </c>
      <c r="W35" s="706">
        <f t="shared" si="14"/>
        <v>100</v>
      </c>
      <c r="X35" s="1355"/>
      <c r="Y35" s="383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8"/>
      <c r="Q36" s="1352" t="str">
        <f t="shared" si="11"/>
        <v>内部装修</v>
      </c>
      <c r="R36" s="705" t="s">
        <v>14</v>
      </c>
      <c r="S36" s="706">
        <f t="shared" si="12"/>
        <v>100</v>
      </c>
      <c r="T36" s="705" t="s">
        <v>14</v>
      </c>
      <c r="U36" s="706">
        <f t="shared" si="13"/>
        <v>100</v>
      </c>
      <c r="V36" s="705" t="s">
        <v>14</v>
      </c>
      <c r="W36" s="706">
        <f t="shared" si="14"/>
        <v>100</v>
      </c>
      <c r="X36" s="1355"/>
      <c r="Y36" s="383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8"/>
      <c r="Q37" s="1352" t="str">
        <f t="shared" si="11"/>
        <v>内部装修状况</v>
      </c>
      <c r="R37" s="705" t="s">
        <v>14</v>
      </c>
      <c r="S37" s="706">
        <f t="shared" si="12"/>
        <v>100</v>
      </c>
      <c r="T37" s="705" t="s">
        <v>14</v>
      </c>
      <c r="U37" s="706">
        <f t="shared" si="13"/>
        <v>100</v>
      </c>
      <c r="V37" s="705" t="s">
        <v>14</v>
      </c>
      <c r="W37" s="706">
        <f t="shared" si="14"/>
        <v>100</v>
      </c>
      <c r="X37" s="1355"/>
      <c r="Y37" s="383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8"/>
      <c r="Q38" s="707">
        <f t="shared" si="11"/>
        <v>111</v>
      </c>
      <c r="R38" s="708" t="s">
        <v>14</v>
      </c>
      <c r="S38" s="709">
        <f t="shared" si="12"/>
        <v>100</v>
      </c>
      <c r="T38" s="708" t="s">
        <v>14</v>
      </c>
      <c r="U38" s="709">
        <f t="shared" si="13"/>
        <v>100</v>
      </c>
      <c r="V38" s="708" t="s">
        <v>14</v>
      </c>
      <c r="W38" s="709">
        <f t="shared" si="14"/>
        <v>100</v>
      </c>
      <c r="X38" s="710"/>
      <c r="Y38" s="383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8"/>
      <c r="Q39" s="1352">
        <f t="shared" si="11"/>
        <v>111</v>
      </c>
      <c r="R39" s="705" t="s">
        <v>14</v>
      </c>
      <c r="S39" s="706">
        <f t="shared" si="12"/>
        <v>100</v>
      </c>
      <c r="T39" s="705" t="s">
        <v>14</v>
      </c>
      <c r="U39" s="706">
        <f t="shared" si="13"/>
        <v>100</v>
      </c>
      <c r="V39" s="705" t="s">
        <v>14</v>
      </c>
      <c r="W39" s="706">
        <f t="shared" si="14"/>
        <v>100</v>
      </c>
      <c r="X39" s="1355"/>
      <c r="Y39" s="383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9"/>
      <c r="Q40" s="1352">
        <f t="shared" si="11"/>
        <v>111</v>
      </c>
      <c r="R40" s="705" t="s">
        <v>14</v>
      </c>
      <c r="S40" s="706">
        <f t="shared" si="12"/>
        <v>100</v>
      </c>
      <c r="T40" s="705" t="s">
        <v>14</v>
      </c>
      <c r="U40" s="706">
        <f t="shared" si="13"/>
        <v>100</v>
      </c>
      <c r="V40" s="705" t="s">
        <v>14</v>
      </c>
      <c r="W40" s="706">
        <f t="shared" si="14"/>
        <v>100</v>
      </c>
      <c r="X40" s="1355"/>
      <c r="Y40" s="383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31" t="str">
        <f>A41</f>
        <v>成交单价（元/平方米）</v>
      </c>
      <c r="Q41" s="3831"/>
      <c r="R41" s="3832">
        <f>E41</f>
        <v>0</v>
      </c>
      <c r="S41" s="3832"/>
      <c r="T41" s="3832">
        <f>G41</f>
        <v>0</v>
      </c>
      <c r="U41" s="3832"/>
      <c r="V41" s="3832">
        <f>I41</f>
        <v>0</v>
      </c>
      <c r="W41" s="3832"/>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31" t="str">
        <f>A42</f>
        <v>比较价值（元/平方米）</v>
      </c>
      <c r="Q42" s="3831"/>
      <c r="R42" s="3832" t="e">
        <f>IF(F1="售价",ROUND(PRODUCT(R41,AA7:AA40),0),ROUND(PRODUCT(R41,AA7:AA40),1))</f>
        <v>#DIV/0!</v>
      </c>
      <c r="S42" s="3832"/>
      <c r="T42" s="3832" t="e">
        <f>IF(F1="售价",ROUND(PRODUCT(T41,AB7:AB40),0),ROUND(PRODUCT(T41,AB7:AB40),1))</f>
        <v>#DIV/0!</v>
      </c>
      <c r="U42" s="3832"/>
      <c r="V42" s="3832" t="e">
        <f>IF(F1="售价",ROUND(PRODUCT(V41,AC7:AC40),0),ROUND(PRODUCT(V41,AC7:AC40),1))</f>
        <v>#DIV/0!</v>
      </c>
      <c r="W42" s="383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28" t="str">
        <f>A43</f>
        <v>估价对象XX用房的比较价值（楼面单价，元/平方米）</v>
      </c>
      <c r="Q43" s="3829"/>
      <c r="R43" s="3830" t="e">
        <f>IF(F1="售价",ROUND(IF(D42="简单平均",AVERAGE(R42:V42),R42*F42+T42*H42+V42*J42),0),ROUND(IF(D42="简单平均",AVERAGE(R42:V42),R42*F42+T42*H42+V42*J42),1))</f>
        <v>#DIV/0!</v>
      </c>
      <c r="S43" s="3830"/>
      <c r="T43" s="3830"/>
      <c r="U43" s="3830"/>
      <c r="V43" s="3830"/>
      <c r="W43" s="383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2004-9</v>
      </c>
      <c r="D52" s="1185">
        <f>EDATE(C52,-1)</f>
        <v>38200</v>
      </c>
      <c r="E52" s="1185">
        <f t="shared" ref="E52:O52" si="16">EDATE(D52,-1)</f>
        <v>38169</v>
      </c>
      <c r="F52" s="1185">
        <f t="shared" si="16"/>
        <v>38139</v>
      </c>
      <c r="G52" s="1185">
        <f t="shared" si="16"/>
        <v>38108</v>
      </c>
      <c r="H52" s="1185">
        <f t="shared" si="16"/>
        <v>38078</v>
      </c>
      <c r="I52" s="1185">
        <f t="shared" si="16"/>
        <v>38047</v>
      </c>
      <c r="J52" s="1185">
        <f t="shared" si="16"/>
        <v>38018</v>
      </c>
      <c r="K52" s="1185">
        <f t="shared" si="16"/>
        <v>37987</v>
      </c>
      <c r="L52" s="1185">
        <f t="shared" si="16"/>
        <v>37956</v>
      </c>
      <c r="M52" s="1185">
        <f t="shared" si="16"/>
        <v>37926</v>
      </c>
      <c r="N52" s="1185">
        <f t="shared" si="16"/>
        <v>37895</v>
      </c>
      <c r="O52" s="1185">
        <f t="shared" si="16"/>
        <v>37865</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846" t="s">
        <v>1770</v>
      </c>
      <c r="D4" s="3847"/>
      <c r="E4" s="3848" t="s">
        <v>1771</v>
      </c>
      <c r="F4" s="3849"/>
      <c r="G4" s="3846" t="s">
        <v>1772</v>
      </c>
      <c r="H4" s="3847"/>
      <c r="I4" s="3846" t="s">
        <v>1773</v>
      </c>
      <c r="J4" s="3847"/>
      <c r="K4" s="559" t="s">
        <v>1774</v>
      </c>
      <c r="L4" s="2715"/>
      <c r="M4" s="2716"/>
      <c r="N4" s="2716"/>
      <c r="O4" s="2716"/>
      <c r="P4" s="3850" t="s">
        <v>1775</v>
      </c>
      <c r="Q4" s="3851"/>
      <c r="R4" s="3856" t="s">
        <v>1771</v>
      </c>
      <c r="S4" s="3857"/>
      <c r="T4" s="3856" t="s">
        <v>1772</v>
      </c>
      <c r="U4" s="3857"/>
      <c r="V4" s="3862" t="s">
        <v>1773</v>
      </c>
      <c r="W4" s="3862"/>
      <c r="X4" s="1355"/>
      <c r="Y4" s="3856" t="s">
        <v>1775</v>
      </c>
      <c r="Z4" s="3857"/>
      <c r="AA4" s="3843" t="s">
        <v>1771</v>
      </c>
      <c r="AB4" s="3844" t="s">
        <v>1772</v>
      </c>
      <c r="AC4" s="3843" t="s">
        <v>1773</v>
      </c>
    </row>
    <row r="5" spans="1:29">
      <c r="A5" s="358"/>
      <c r="B5" s="359"/>
      <c r="C5" s="3879" t="s">
        <v>1673</v>
      </c>
      <c r="D5" s="3871"/>
      <c r="E5" s="3881" t="s">
        <v>1674</v>
      </c>
      <c r="F5" s="3882"/>
      <c r="G5" s="3879" t="s">
        <v>1675</v>
      </c>
      <c r="H5" s="3871"/>
      <c r="I5" s="3879" t="s">
        <v>1676</v>
      </c>
      <c r="J5" s="3871"/>
      <c r="K5" s="559"/>
      <c r="L5" s="2715"/>
      <c r="M5" s="2716"/>
      <c r="N5" s="2716"/>
      <c r="O5" s="2716"/>
      <c r="P5" s="3852"/>
      <c r="Q5" s="3853"/>
      <c r="R5" s="3858"/>
      <c r="S5" s="3859"/>
      <c r="T5" s="3858"/>
      <c r="U5" s="3859"/>
      <c r="V5" s="3862"/>
      <c r="W5" s="3862"/>
      <c r="X5" s="1355"/>
      <c r="Y5" s="3858"/>
      <c r="Z5" s="3859"/>
      <c r="AA5" s="3844"/>
      <c r="AB5" s="3844"/>
      <c r="AC5" s="3844"/>
    </row>
    <row r="6" spans="1:29" ht="15" thickBot="1">
      <c r="A6" s="360"/>
      <c r="B6" s="361"/>
      <c r="C6" s="3878" t="s">
        <v>1677</v>
      </c>
      <c r="D6" s="3864"/>
      <c r="E6" s="3880" t="s">
        <v>1677</v>
      </c>
      <c r="F6" s="3873"/>
      <c r="G6" s="3878" t="s">
        <v>1677</v>
      </c>
      <c r="H6" s="3864"/>
      <c r="I6" s="3878" t="s">
        <v>1677</v>
      </c>
      <c r="J6" s="3864"/>
      <c r="K6" s="559" t="s">
        <v>1678</v>
      </c>
      <c r="L6" s="2715"/>
      <c r="M6" s="2716"/>
      <c r="N6" s="2716"/>
      <c r="O6" s="2716"/>
      <c r="P6" s="3854"/>
      <c r="Q6" s="3855"/>
      <c r="R6" s="3858"/>
      <c r="S6" s="3859"/>
      <c r="T6" s="3860"/>
      <c r="U6" s="3861"/>
      <c r="V6" s="3862"/>
      <c r="W6" s="3862"/>
      <c r="X6" s="1355"/>
      <c r="Y6" s="3860"/>
      <c r="Z6" s="3861"/>
      <c r="AA6" s="3845"/>
      <c r="AB6" s="3845"/>
      <c r="AC6" s="3845"/>
    </row>
    <row r="7" spans="1:29" s="108" customFormat="1" ht="15" thickBot="1">
      <c r="A7" s="362" t="s">
        <v>1679</v>
      </c>
      <c r="B7" s="363"/>
      <c r="C7" s="364">
        <f>'数据-取费表'!B2</f>
        <v>38260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67" t="s">
        <v>1680</v>
      </c>
      <c r="Q7" s="3869"/>
      <c r="R7" s="701" t="s">
        <v>14</v>
      </c>
      <c r="S7" s="702">
        <f t="shared" ref="S7:S14" si="0">F7</f>
        <v>0</v>
      </c>
      <c r="T7" s="701" t="s">
        <v>14</v>
      </c>
      <c r="U7" s="702">
        <f t="shared" ref="U7:U14" si="1">H7</f>
        <v>0</v>
      </c>
      <c r="V7" s="701" t="s">
        <v>14</v>
      </c>
      <c r="W7" s="702">
        <f t="shared" ref="W7:W14"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31" t="s">
        <v>1686</v>
      </c>
      <c r="Q9" s="1343" t="str">
        <f t="shared" ref="Q9:Q14" si="6">B9</f>
        <v>用途</v>
      </c>
      <c r="R9" s="701" t="s">
        <v>14</v>
      </c>
      <c r="S9" s="702">
        <f t="shared" si="0"/>
        <v>100</v>
      </c>
      <c r="T9" s="701" t="s">
        <v>14</v>
      </c>
      <c r="U9" s="702">
        <f t="shared" si="1"/>
        <v>100</v>
      </c>
      <c r="V9" s="701" t="s">
        <v>14</v>
      </c>
      <c r="W9" s="702">
        <f t="shared" si="2"/>
        <v>100</v>
      </c>
      <c r="X9" s="703"/>
      <c r="Y9" s="370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31"/>
      <c r="Q10" s="1343" t="str">
        <f t="shared" si="6"/>
        <v>土地使用年限（年）</v>
      </c>
      <c r="R10" s="701" t="s">
        <v>14</v>
      </c>
      <c r="S10" s="702">
        <f t="shared" si="0"/>
        <v>100</v>
      </c>
      <c r="T10" s="701" t="s">
        <v>14</v>
      </c>
      <c r="U10" s="702">
        <f t="shared" si="1"/>
        <v>100</v>
      </c>
      <c r="V10" s="701" t="s">
        <v>14</v>
      </c>
      <c r="W10" s="702">
        <f t="shared" si="2"/>
        <v>100</v>
      </c>
      <c r="X10" s="703"/>
      <c r="Y10" s="370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31"/>
      <c r="Q11" s="1343">
        <f t="shared" si="6"/>
        <v>111</v>
      </c>
      <c r="R11" s="701" t="s">
        <v>14</v>
      </c>
      <c r="S11" s="702">
        <f t="shared" si="0"/>
        <v>100</v>
      </c>
      <c r="T11" s="701" t="s">
        <v>14</v>
      </c>
      <c r="U11" s="702">
        <f t="shared" si="1"/>
        <v>100</v>
      </c>
      <c r="V11" s="701" t="s">
        <v>14</v>
      </c>
      <c r="W11" s="702">
        <f t="shared" si="2"/>
        <v>100</v>
      </c>
      <c r="X11" s="703"/>
      <c r="Y11" s="370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31"/>
      <c r="Q12" s="1343">
        <f t="shared" si="6"/>
        <v>111</v>
      </c>
      <c r="R12" s="701" t="s">
        <v>14</v>
      </c>
      <c r="S12" s="702">
        <f t="shared" si="0"/>
        <v>100</v>
      </c>
      <c r="T12" s="701" t="s">
        <v>14</v>
      </c>
      <c r="U12" s="702">
        <f t="shared" si="1"/>
        <v>100</v>
      </c>
      <c r="V12" s="701" t="s">
        <v>14</v>
      </c>
      <c r="W12" s="702">
        <f t="shared" si="2"/>
        <v>100</v>
      </c>
      <c r="X12" s="703"/>
      <c r="Y12" s="370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31"/>
      <c r="Q13" s="1343">
        <f t="shared" si="6"/>
        <v>111</v>
      </c>
      <c r="R13" s="701" t="s">
        <v>14</v>
      </c>
      <c r="S13" s="702">
        <f t="shared" si="0"/>
        <v>100</v>
      </c>
      <c r="T13" s="701" t="s">
        <v>14</v>
      </c>
      <c r="U13" s="702">
        <f t="shared" si="1"/>
        <v>100</v>
      </c>
      <c r="V13" s="701" t="s">
        <v>14</v>
      </c>
      <c r="W13" s="702">
        <f t="shared" si="2"/>
        <v>100</v>
      </c>
      <c r="X13" s="703"/>
      <c r="Y13" s="3706"/>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33" t="s">
        <v>1691</v>
      </c>
      <c r="Q14" s="1352" t="str">
        <f t="shared" si="6"/>
        <v>交通便捷度</v>
      </c>
      <c r="R14" s="705" t="s">
        <v>14</v>
      </c>
      <c r="S14" s="706">
        <f t="shared" si="0"/>
        <v>100</v>
      </c>
      <c r="T14" s="705" t="s">
        <v>14</v>
      </c>
      <c r="U14" s="706">
        <f t="shared" si="1"/>
        <v>100</v>
      </c>
      <c r="V14" s="705" t="s">
        <v>14</v>
      </c>
      <c r="W14" s="706">
        <f t="shared" si="2"/>
        <v>100</v>
      </c>
      <c r="X14" s="1355"/>
      <c r="Y14" s="383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34"/>
      <c r="Q15" s="1352"/>
      <c r="R15" s="705"/>
      <c r="S15" s="706"/>
      <c r="T15" s="705"/>
      <c r="U15" s="706"/>
      <c r="V15" s="705"/>
      <c r="W15" s="706"/>
      <c r="X15" s="1355"/>
      <c r="Y15" s="3834"/>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34"/>
      <c r="Q16" s="1352" t="str">
        <f>B16</f>
        <v>公共配套设施</v>
      </c>
      <c r="R16" s="705" t="s">
        <v>14</v>
      </c>
      <c r="S16" s="706">
        <f>F16</f>
        <v>100</v>
      </c>
      <c r="T16" s="705" t="s">
        <v>14</v>
      </c>
      <c r="U16" s="706">
        <f>H16</f>
        <v>100</v>
      </c>
      <c r="V16" s="705" t="s">
        <v>14</v>
      </c>
      <c r="W16" s="706">
        <f>J16</f>
        <v>100</v>
      </c>
      <c r="X16" s="1355"/>
      <c r="Y16" s="383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34"/>
      <c r="Q17" s="1352"/>
      <c r="R17" s="705"/>
      <c r="S17" s="706"/>
      <c r="T17" s="705"/>
      <c r="U17" s="706"/>
      <c r="V17" s="705"/>
      <c r="W17" s="706"/>
      <c r="X17" s="1355"/>
      <c r="Y17" s="3834"/>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34"/>
      <c r="Q18" s="1352" t="str">
        <f>B18</f>
        <v>基础设施水平</v>
      </c>
      <c r="R18" s="705" t="s">
        <v>14</v>
      </c>
      <c r="S18" s="706">
        <f>F18</f>
        <v>100</v>
      </c>
      <c r="T18" s="705" t="s">
        <v>14</v>
      </c>
      <c r="U18" s="706">
        <f>H18</f>
        <v>100</v>
      </c>
      <c r="V18" s="705" t="s">
        <v>14</v>
      </c>
      <c r="W18" s="706">
        <f>J18</f>
        <v>100</v>
      </c>
      <c r="X18" s="1355"/>
      <c r="Y18" s="383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34"/>
      <c r="Q19" s="1352"/>
      <c r="R19" s="705"/>
      <c r="S19" s="706"/>
      <c r="T19" s="705"/>
      <c r="U19" s="706"/>
      <c r="V19" s="705"/>
      <c r="W19" s="706"/>
      <c r="X19" s="1355"/>
      <c r="Y19" s="3834"/>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34"/>
      <c r="Q20" s="1352" t="str">
        <f>B20</f>
        <v>自然及人文环境</v>
      </c>
      <c r="R20" s="705" t="s">
        <v>14</v>
      </c>
      <c r="S20" s="706">
        <f>F20</f>
        <v>100</v>
      </c>
      <c r="T20" s="705" t="s">
        <v>14</v>
      </c>
      <c r="U20" s="706">
        <f>H20</f>
        <v>100</v>
      </c>
      <c r="V20" s="705" t="s">
        <v>14</v>
      </c>
      <c r="W20" s="706">
        <f>J20</f>
        <v>100</v>
      </c>
      <c r="X20" s="1355"/>
      <c r="Y20" s="383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34"/>
      <c r="Q21" s="1352"/>
      <c r="R21" s="705"/>
      <c r="S21" s="706"/>
      <c r="T21" s="705"/>
      <c r="U21" s="706"/>
      <c r="V21" s="705"/>
      <c r="W21" s="706"/>
      <c r="X21" s="1355"/>
      <c r="Y21" s="383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34"/>
      <c r="Q22" s="1352" t="str">
        <f>B22</f>
        <v>楼层</v>
      </c>
      <c r="R22" s="705" t="s">
        <v>14</v>
      </c>
      <c r="S22" s="706">
        <f>F22</f>
        <v>100</v>
      </c>
      <c r="T22" s="705" t="s">
        <v>14</v>
      </c>
      <c r="U22" s="706">
        <f>H22</f>
        <v>100</v>
      </c>
      <c r="V22" s="705" t="s">
        <v>14</v>
      </c>
      <c r="W22" s="706">
        <f>J22</f>
        <v>100</v>
      </c>
      <c r="X22" s="1355"/>
      <c r="Y22" s="383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34"/>
      <c r="Q23" s="1352">
        <f>B23</f>
        <v>111</v>
      </c>
      <c r="R23" s="705" t="s">
        <v>14</v>
      </c>
      <c r="S23" s="706">
        <f>F23</f>
        <v>100</v>
      </c>
      <c r="T23" s="705" t="s">
        <v>14</v>
      </c>
      <c r="U23" s="706">
        <f>H23</f>
        <v>100</v>
      </c>
      <c r="V23" s="705" t="s">
        <v>14</v>
      </c>
      <c r="W23" s="706">
        <f>J23</f>
        <v>100</v>
      </c>
      <c r="X23" s="1355"/>
      <c r="Y23" s="383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34"/>
      <c r="Q24" s="1352">
        <f t="shared" ref="Q24:Q36" si="11">B24</f>
        <v>111</v>
      </c>
      <c r="R24" s="705" t="s">
        <v>14</v>
      </c>
      <c r="S24" s="706">
        <f>F24</f>
        <v>100</v>
      </c>
      <c r="T24" s="705" t="s">
        <v>14</v>
      </c>
      <c r="U24" s="706">
        <f>H24</f>
        <v>100</v>
      </c>
      <c r="V24" s="705" t="s">
        <v>14</v>
      </c>
      <c r="W24" s="706">
        <f>J24</f>
        <v>100</v>
      </c>
      <c r="X24" s="1355"/>
      <c r="Y24" s="383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34"/>
      <c r="Q25" s="1343">
        <f t="shared" si="11"/>
        <v>111</v>
      </c>
      <c r="R25" s="701" t="s">
        <v>14</v>
      </c>
      <c r="S25" s="702">
        <f>F25</f>
        <v>100</v>
      </c>
      <c r="T25" s="701" t="s">
        <v>14</v>
      </c>
      <c r="U25" s="702">
        <f>H25</f>
        <v>100</v>
      </c>
      <c r="V25" s="701" t="s">
        <v>14</v>
      </c>
      <c r="W25" s="702">
        <f>J25</f>
        <v>100</v>
      </c>
      <c r="X25" s="703"/>
      <c r="Y25" s="3834"/>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9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38"/>
      <c r="Q27" s="707" t="str">
        <f t="shared" si="11"/>
        <v>项目停车位配比</v>
      </c>
      <c r="R27" s="708" t="s">
        <v>14</v>
      </c>
      <c r="S27" s="709">
        <f t="shared" si="12"/>
        <v>100</v>
      </c>
      <c r="T27" s="708" t="s">
        <v>14</v>
      </c>
      <c r="U27" s="709">
        <f t="shared" si="13"/>
        <v>100</v>
      </c>
      <c r="V27" s="708" t="s">
        <v>14</v>
      </c>
      <c r="W27" s="709">
        <f t="shared" si="14"/>
        <v>100</v>
      </c>
      <c r="X27" s="710"/>
      <c r="Y27" s="383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38"/>
      <c r="Q28" s="1352" t="str">
        <f t="shared" si="11"/>
        <v>公共部分装修</v>
      </c>
      <c r="R28" s="705" t="s">
        <v>14</v>
      </c>
      <c r="S28" s="706">
        <f t="shared" si="12"/>
        <v>100</v>
      </c>
      <c r="T28" s="705" t="s">
        <v>14</v>
      </c>
      <c r="U28" s="706">
        <f t="shared" si="13"/>
        <v>100</v>
      </c>
      <c r="V28" s="705" t="s">
        <v>14</v>
      </c>
      <c r="W28" s="706">
        <f t="shared" si="14"/>
        <v>100</v>
      </c>
      <c r="X28" s="1355"/>
      <c r="Y28" s="383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38"/>
      <c r="Q29" s="1352" t="str">
        <f t="shared" si="11"/>
        <v>成新率</v>
      </c>
      <c r="R29" s="705" t="s">
        <v>14</v>
      </c>
      <c r="S29" s="706" t="e">
        <f t="shared" si="12"/>
        <v>#N/A</v>
      </c>
      <c r="T29" s="705" t="s">
        <v>14</v>
      </c>
      <c r="U29" s="706" t="e">
        <f t="shared" si="13"/>
        <v>#N/A</v>
      </c>
      <c r="V29" s="705" t="s">
        <v>14</v>
      </c>
      <c r="W29" s="706" t="e">
        <f t="shared" si="14"/>
        <v>#N/A</v>
      </c>
      <c r="X29" s="1355"/>
      <c r="Y29" s="383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38"/>
      <c r="Q30" s="1352" t="str">
        <f t="shared" si="11"/>
        <v>物业等级</v>
      </c>
      <c r="R30" s="705" t="s">
        <v>14</v>
      </c>
      <c r="S30" s="706">
        <f t="shared" si="12"/>
        <v>100</v>
      </c>
      <c r="T30" s="705" t="s">
        <v>14</v>
      </c>
      <c r="U30" s="706">
        <f t="shared" si="13"/>
        <v>100</v>
      </c>
      <c r="V30" s="705" t="s">
        <v>14</v>
      </c>
      <c r="W30" s="706">
        <f t="shared" si="14"/>
        <v>100</v>
      </c>
      <c r="X30" s="1355"/>
      <c r="Y30" s="383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38"/>
      <c r="Q31" s="1343" t="str">
        <f t="shared" si="11"/>
        <v>停车位面积</v>
      </c>
      <c r="R31" s="701" t="s">
        <v>14</v>
      </c>
      <c r="S31" s="702" t="e">
        <f t="shared" si="12"/>
        <v>#N/A</v>
      </c>
      <c r="T31" s="701" t="s">
        <v>14</v>
      </c>
      <c r="U31" s="702" t="e">
        <f t="shared" si="13"/>
        <v>#N/A</v>
      </c>
      <c r="V31" s="701" t="s">
        <v>14</v>
      </c>
      <c r="W31" s="702" t="e">
        <f t="shared" si="14"/>
        <v>#N/A</v>
      </c>
      <c r="X31" s="703"/>
      <c r="Y31" s="383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38" t="s">
        <v>1696</v>
      </c>
      <c r="Q32" s="1352" t="str">
        <f t="shared" si="11"/>
        <v>车位类型</v>
      </c>
      <c r="R32" s="705" t="s">
        <v>14</v>
      </c>
      <c r="S32" s="706">
        <f t="shared" si="12"/>
        <v>100</v>
      </c>
      <c r="T32" s="705" t="s">
        <v>14</v>
      </c>
      <c r="U32" s="706">
        <f t="shared" si="13"/>
        <v>100</v>
      </c>
      <c r="V32" s="705" t="s">
        <v>14</v>
      </c>
      <c r="W32" s="706">
        <f t="shared" si="14"/>
        <v>100</v>
      </c>
      <c r="X32" s="1355"/>
      <c r="Y32" s="383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38"/>
      <c r="Q33" s="1352" t="str">
        <f t="shared" si="11"/>
        <v>是否直接入户</v>
      </c>
      <c r="R33" s="705" t="s">
        <v>14</v>
      </c>
      <c r="S33" s="706">
        <f t="shared" si="12"/>
        <v>100</v>
      </c>
      <c r="T33" s="705" t="s">
        <v>14</v>
      </c>
      <c r="U33" s="706">
        <f t="shared" si="13"/>
        <v>100</v>
      </c>
      <c r="V33" s="705" t="s">
        <v>14</v>
      </c>
      <c r="W33" s="706">
        <f t="shared" si="14"/>
        <v>100</v>
      </c>
      <c r="X33" s="1355"/>
      <c r="Y33" s="383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38"/>
      <c r="Q34" s="1352">
        <f t="shared" si="11"/>
        <v>111</v>
      </c>
      <c r="R34" s="705" t="s">
        <v>14</v>
      </c>
      <c r="S34" s="706">
        <f t="shared" si="12"/>
        <v>100</v>
      </c>
      <c r="T34" s="705" t="s">
        <v>14</v>
      </c>
      <c r="U34" s="706">
        <f t="shared" si="13"/>
        <v>100</v>
      </c>
      <c r="V34" s="705" t="s">
        <v>14</v>
      </c>
      <c r="W34" s="706">
        <f t="shared" si="14"/>
        <v>100</v>
      </c>
      <c r="X34" s="1355"/>
      <c r="Y34" s="383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38"/>
      <c r="Q35" s="707">
        <f t="shared" si="11"/>
        <v>111</v>
      </c>
      <c r="R35" s="708" t="s">
        <v>14</v>
      </c>
      <c r="S35" s="709">
        <f t="shared" si="12"/>
        <v>100</v>
      </c>
      <c r="T35" s="708" t="s">
        <v>14</v>
      </c>
      <c r="U35" s="709">
        <f t="shared" si="13"/>
        <v>100</v>
      </c>
      <c r="V35" s="708" t="s">
        <v>14</v>
      </c>
      <c r="W35" s="709">
        <f t="shared" si="14"/>
        <v>100</v>
      </c>
      <c r="X35" s="710"/>
      <c r="Y35" s="383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38"/>
      <c r="Q36" s="1352">
        <f t="shared" si="11"/>
        <v>111</v>
      </c>
      <c r="R36" s="705" t="s">
        <v>14</v>
      </c>
      <c r="S36" s="706">
        <f t="shared" si="12"/>
        <v>100</v>
      </c>
      <c r="T36" s="705" t="s">
        <v>14</v>
      </c>
      <c r="U36" s="706">
        <f t="shared" si="13"/>
        <v>100</v>
      </c>
      <c r="V36" s="705" t="s">
        <v>14</v>
      </c>
      <c r="W36" s="706">
        <f t="shared" si="14"/>
        <v>100</v>
      </c>
      <c r="X36" s="1355"/>
      <c r="Y36" s="3838"/>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831" t="str">
        <f>A37</f>
        <v>成交单价</v>
      </c>
      <c r="Q37" s="3831"/>
      <c r="R37" s="3832">
        <f>E37</f>
        <v>0</v>
      </c>
      <c r="S37" s="3832"/>
      <c r="T37" s="3832">
        <f>G37</f>
        <v>0</v>
      </c>
      <c r="U37" s="3832"/>
      <c r="V37" s="3832">
        <f>I37</f>
        <v>0</v>
      </c>
      <c r="W37" s="3832"/>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31" t="str">
        <f>A38</f>
        <v>比较价值（元/平方米）</v>
      </c>
      <c r="Q38" s="3831"/>
      <c r="R38" s="3832" t="e">
        <f>IF(F1="售价",ROUND(PRODUCT(R37,AA7:AA36),0),ROUND(PRODUCT(R37,AA7:AA36),1))</f>
        <v>#DIV/0!</v>
      </c>
      <c r="S38" s="3832"/>
      <c r="T38" s="3832" t="e">
        <f>IF(F1="售价",ROUND(PRODUCT(T37,AB7:AB36),0),ROUND(PRODUCT(T37,AB7:AB36),1))</f>
        <v>#DIV/0!</v>
      </c>
      <c r="U38" s="3832"/>
      <c r="V38" s="3832" t="e">
        <f>IF(F1="售价",ROUND(PRODUCT(V37,AC7:AC36),0),ROUND(PRODUCT(V37,AC7:AC36),1))</f>
        <v>#DIV/0!</v>
      </c>
      <c r="W38" s="383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828" t="str">
        <f>A39</f>
        <v>估价对象XX用房的比较价值（楼面单价，元/平方米）</v>
      </c>
      <c r="Q39" s="3829"/>
      <c r="R39" s="3899" t="e">
        <f>IF(F1="售价",ROUND(IF(D38="简单平均",AVERAGE(R38:W38),R38*F38+T38*H38+V38*J38),0),ROUND(IF(D38="简单平均",AVERAGE(R38:V38),R38*F38+T38*H38+V38*J38),1))</f>
        <v>#DIV/0!</v>
      </c>
      <c r="S39" s="3899"/>
      <c r="T39" s="3899"/>
      <c r="U39" s="3899"/>
      <c r="V39" s="3899"/>
      <c r="W39" s="389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2004-9</v>
      </c>
      <c r="D48" s="1185">
        <f>EDATE(C48,-1)</f>
        <v>38200</v>
      </c>
      <c r="E48" s="1185">
        <f t="shared" ref="E48:O48" si="16">EDATE(D48,-1)</f>
        <v>38169</v>
      </c>
      <c r="F48" s="1185">
        <f t="shared" si="16"/>
        <v>38139</v>
      </c>
      <c r="G48" s="1185">
        <f t="shared" si="16"/>
        <v>38108</v>
      </c>
      <c r="H48" s="1185">
        <f t="shared" si="16"/>
        <v>38078</v>
      </c>
      <c r="I48" s="1185">
        <f t="shared" si="16"/>
        <v>38047</v>
      </c>
      <c r="J48" s="1185">
        <f t="shared" si="16"/>
        <v>38018</v>
      </c>
      <c r="K48" s="1185">
        <f t="shared" si="16"/>
        <v>37987</v>
      </c>
      <c r="L48" s="1185">
        <f t="shared" si="16"/>
        <v>37956</v>
      </c>
      <c r="M48" s="1185">
        <f t="shared" si="16"/>
        <v>37926</v>
      </c>
      <c r="N48" s="1185">
        <f t="shared" si="16"/>
        <v>37895</v>
      </c>
      <c r="O48" s="1185">
        <f t="shared" si="16"/>
        <v>37865</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46" t="s">
        <v>1770</v>
      </c>
      <c r="D4" s="3847"/>
      <c r="E4" s="3848" t="s">
        <v>1771</v>
      </c>
      <c r="F4" s="3849"/>
      <c r="G4" s="3846" t="s">
        <v>1772</v>
      </c>
      <c r="H4" s="3847"/>
      <c r="I4" s="3846" t="s">
        <v>1773</v>
      </c>
      <c r="J4" s="3847"/>
      <c r="K4" s="559" t="s">
        <v>1774</v>
      </c>
      <c r="L4" s="2715"/>
      <c r="M4" s="2716"/>
      <c r="N4" s="2716"/>
      <c r="O4" s="2716"/>
      <c r="P4" s="3850" t="s">
        <v>1775</v>
      </c>
      <c r="Q4" s="3851"/>
      <c r="R4" s="3856" t="s">
        <v>1771</v>
      </c>
      <c r="S4" s="3857"/>
      <c r="T4" s="3856" t="s">
        <v>1772</v>
      </c>
      <c r="U4" s="3857"/>
      <c r="V4" s="3862" t="s">
        <v>1773</v>
      </c>
      <c r="W4" s="3862"/>
      <c r="X4" s="1355"/>
      <c r="Y4" s="3856" t="s">
        <v>1775</v>
      </c>
      <c r="Z4" s="3857"/>
      <c r="AA4" s="3843" t="s">
        <v>1771</v>
      </c>
      <c r="AB4" s="3844" t="s">
        <v>1772</v>
      </c>
      <c r="AC4" s="3843" t="s">
        <v>1773</v>
      </c>
    </row>
    <row r="5" spans="1:29">
      <c r="A5" s="358"/>
      <c r="B5" s="359"/>
      <c r="C5" s="3879" t="s">
        <v>1673</v>
      </c>
      <c r="D5" s="3871"/>
      <c r="E5" s="3881" t="s">
        <v>1674</v>
      </c>
      <c r="F5" s="3882"/>
      <c r="G5" s="3879" t="s">
        <v>1675</v>
      </c>
      <c r="H5" s="3871"/>
      <c r="I5" s="3879" t="s">
        <v>1676</v>
      </c>
      <c r="J5" s="3871"/>
      <c r="K5" s="559"/>
      <c r="L5" s="2715"/>
      <c r="M5" s="2716"/>
      <c r="N5" s="2716"/>
      <c r="O5" s="2716"/>
      <c r="P5" s="3852"/>
      <c r="Q5" s="3853"/>
      <c r="R5" s="3858"/>
      <c r="S5" s="3859"/>
      <c r="T5" s="3858"/>
      <c r="U5" s="3859"/>
      <c r="V5" s="3862"/>
      <c r="W5" s="3862"/>
      <c r="X5" s="1355"/>
      <c r="Y5" s="3858"/>
      <c r="Z5" s="3859"/>
      <c r="AA5" s="3844"/>
      <c r="AB5" s="3844"/>
      <c r="AC5" s="3844"/>
    </row>
    <row r="6" spans="1:29" ht="15" thickBot="1">
      <c r="A6" s="360"/>
      <c r="B6" s="361"/>
      <c r="C6" s="3878" t="s">
        <v>1677</v>
      </c>
      <c r="D6" s="3864"/>
      <c r="E6" s="3880" t="s">
        <v>1677</v>
      </c>
      <c r="F6" s="3873"/>
      <c r="G6" s="3878" t="s">
        <v>1677</v>
      </c>
      <c r="H6" s="3864"/>
      <c r="I6" s="3878" t="s">
        <v>1677</v>
      </c>
      <c r="J6" s="3864"/>
      <c r="K6" s="559" t="s">
        <v>1678</v>
      </c>
      <c r="L6" s="2715"/>
      <c r="M6" s="2716"/>
      <c r="N6" s="2716"/>
      <c r="O6" s="2716"/>
      <c r="P6" s="3854"/>
      <c r="Q6" s="3855"/>
      <c r="R6" s="3858"/>
      <c r="S6" s="3859"/>
      <c r="T6" s="3860"/>
      <c r="U6" s="3861"/>
      <c r="V6" s="3862"/>
      <c r="W6" s="3862"/>
      <c r="X6" s="1355"/>
      <c r="Y6" s="3860"/>
      <c r="Z6" s="3861"/>
      <c r="AA6" s="3845"/>
      <c r="AB6" s="3845"/>
      <c r="AC6" s="3845"/>
    </row>
    <row r="7" spans="1:29" s="108" customFormat="1" ht="15" thickBot="1">
      <c r="A7" s="362" t="s">
        <v>1679</v>
      </c>
      <c r="B7" s="363"/>
      <c r="C7" s="364">
        <f>'数据-取费表'!B2</f>
        <v>38260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67" t="s">
        <v>1680</v>
      </c>
      <c r="Q7" s="3869"/>
      <c r="R7" s="701" t="s">
        <v>14</v>
      </c>
      <c r="S7" s="702">
        <f t="shared" ref="S7:S14" si="0">F7</f>
        <v>0</v>
      </c>
      <c r="T7" s="701" t="s">
        <v>14</v>
      </c>
      <c r="U7" s="702">
        <f t="shared" ref="U7:U14" si="1">H7</f>
        <v>0</v>
      </c>
      <c r="V7" s="701" t="s">
        <v>14</v>
      </c>
      <c r="W7" s="702">
        <f t="shared" ref="W7:W14"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31" t="s">
        <v>1686</v>
      </c>
      <c r="Q9" s="1343" t="str">
        <f t="shared" ref="Q9:Q14" si="6">B9</f>
        <v>用途</v>
      </c>
      <c r="R9" s="701" t="s">
        <v>14</v>
      </c>
      <c r="S9" s="702">
        <f t="shared" si="0"/>
        <v>100</v>
      </c>
      <c r="T9" s="701" t="s">
        <v>14</v>
      </c>
      <c r="U9" s="702">
        <f t="shared" si="1"/>
        <v>100</v>
      </c>
      <c r="V9" s="701" t="s">
        <v>14</v>
      </c>
      <c r="W9" s="702">
        <f t="shared" si="2"/>
        <v>100</v>
      </c>
      <c r="X9" s="703"/>
      <c r="Y9" s="370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31"/>
      <c r="Q10" s="1343" t="str">
        <f t="shared" si="6"/>
        <v>土地使用年限（年）</v>
      </c>
      <c r="R10" s="701" t="s">
        <v>14</v>
      </c>
      <c r="S10" s="702">
        <f t="shared" si="0"/>
        <v>100</v>
      </c>
      <c r="T10" s="701" t="s">
        <v>14</v>
      </c>
      <c r="U10" s="702">
        <f t="shared" si="1"/>
        <v>100</v>
      </c>
      <c r="V10" s="701" t="s">
        <v>14</v>
      </c>
      <c r="W10" s="702">
        <f t="shared" si="2"/>
        <v>100</v>
      </c>
      <c r="X10" s="703"/>
      <c r="Y10" s="370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31"/>
      <c r="Q11" s="1343">
        <f t="shared" si="6"/>
        <v>111</v>
      </c>
      <c r="R11" s="701" t="s">
        <v>14</v>
      </c>
      <c r="S11" s="702">
        <f t="shared" si="0"/>
        <v>100</v>
      </c>
      <c r="T11" s="701" t="s">
        <v>14</v>
      </c>
      <c r="U11" s="702">
        <f t="shared" si="1"/>
        <v>100</v>
      </c>
      <c r="V11" s="701" t="s">
        <v>14</v>
      </c>
      <c r="W11" s="702">
        <f t="shared" si="2"/>
        <v>100</v>
      </c>
      <c r="X11" s="703"/>
      <c r="Y11" s="370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31"/>
      <c r="Q12" s="1343">
        <f t="shared" si="6"/>
        <v>111</v>
      </c>
      <c r="R12" s="701" t="s">
        <v>14</v>
      </c>
      <c r="S12" s="702">
        <f t="shared" si="0"/>
        <v>100</v>
      </c>
      <c r="T12" s="701" t="s">
        <v>14</v>
      </c>
      <c r="U12" s="702">
        <f t="shared" si="1"/>
        <v>100</v>
      </c>
      <c r="V12" s="701" t="s">
        <v>14</v>
      </c>
      <c r="W12" s="702">
        <f t="shared" si="2"/>
        <v>100</v>
      </c>
      <c r="X12" s="703"/>
      <c r="Y12" s="370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31"/>
      <c r="Q13" s="1343">
        <f t="shared" si="6"/>
        <v>111</v>
      </c>
      <c r="R13" s="701" t="s">
        <v>14</v>
      </c>
      <c r="S13" s="702">
        <f t="shared" si="0"/>
        <v>100</v>
      </c>
      <c r="T13" s="701" t="s">
        <v>14</v>
      </c>
      <c r="U13" s="702">
        <f t="shared" si="1"/>
        <v>100</v>
      </c>
      <c r="V13" s="701" t="s">
        <v>14</v>
      </c>
      <c r="W13" s="702">
        <f t="shared" si="2"/>
        <v>100</v>
      </c>
      <c r="X13" s="703"/>
      <c r="Y13" s="3706"/>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33" t="s">
        <v>1691</v>
      </c>
      <c r="Q14" s="1352" t="str">
        <f t="shared" si="6"/>
        <v>交通便捷度</v>
      </c>
      <c r="R14" s="705" t="s">
        <v>14</v>
      </c>
      <c r="S14" s="706">
        <f t="shared" si="0"/>
        <v>100</v>
      </c>
      <c r="T14" s="705" t="s">
        <v>14</v>
      </c>
      <c r="U14" s="706">
        <f t="shared" si="1"/>
        <v>100</v>
      </c>
      <c r="V14" s="705" t="s">
        <v>14</v>
      </c>
      <c r="W14" s="706">
        <f t="shared" si="2"/>
        <v>100</v>
      </c>
      <c r="X14" s="1355"/>
      <c r="Y14" s="383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34"/>
      <c r="Q15" s="1352"/>
      <c r="R15" s="705"/>
      <c r="S15" s="706"/>
      <c r="T15" s="705"/>
      <c r="U15" s="706"/>
      <c r="V15" s="705"/>
      <c r="W15" s="706"/>
      <c r="X15" s="1355"/>
      <c r="Y15" s="3834"/>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34"/>
      <c r="Q16" s="1352" t="str">
        <f>B16</f>
        <v>公共配套设施</v>
      </c>
      <c r="R16" s="705" t="s">
        <v>14</v>
      </c>
      <c r="S16" s="706">
        <f>F16</f>
        <v>100</v>
      </c>
      <c r="T16" s="705" t="s">
        <v>14</v>
      </c>
      <c r="U16" s="706">
        <f>H16</f>
        <v>100</v>
      </c>
      <c r="V16" s="705" t="s">
        <v>14</v>
      </c>
      <c r="W16" s="706">
        <f>J16</f>
        <v>100</v>
      </c>
      <c r="X16" s="1355"/>
      <c r="Y16" s="383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34"/>
      <c r="Q17" s="1352"/>
      <c r="R17" s="705"/>
      <c r="S17" s="706"/>
      <c r="T17" s="705"/>
      <c r="U17" s="706"/>
      <c r="V17" s="705"/>
      <c r="W17" s="706"/>
      <c r="X17" s="1355"/>
      <c r="Y17" s="3834"/>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34"/>
      <c r="Q18" s="1352" t="str">
        <f>B18</f>
        <v>基础设施水平</v>
      </c>
      <c r="R18" s="705" t="s">
        <v>14</v>
      </c>
      <c r="S18" s="706">
        <f>F18</f>
        <v>100</v>
      </c>
      <c r="T18" s="705" t="s">
        <v>14</v>
      </c>
      <c r="U18" s="706">
        <f>H18</f>
        <v>100</v>
      </c>
      <c r="V18" s="705" t="s">
        <v>14</v>
      </c>
      <c r="W18" s="706">
        <f>J18</f>
        <v>100</v>
      </c>
      <c r="X18" s="1355"/>
      <c r="Y18" s="383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34"/>
      <c r="Q19" s="1352"/>
      <c r="R19" s="705"/>
      <c r="S19" s="706"/>
      <c r="T19" s="705"/>
      <c r="U19" s="706"/>
      <c r="V19" s="705"/>
      <c r="W19" s="706"/>
      <c r="X19" s="1355"/>
      <c r="Y19" s="3834"/>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34"/>
      <c r="Q20" s="1352" t="str">
        <f>B20</f>
        <v>自然及人文环境</v>
      </c>
      <c r="R20" s="705" t="s">
        <v>14</v>
      </c>
      <c r="S20" s="706">
        <f>F20</f>
        <v>100</v>
      </c>
      <c r="T20" s="705" t="s">
        <v>14</v>
      </c>
      <c r="U20" s="706">
        <f>H20</f>
        <v>100</v>
      </c>
      <c r="V20" s="705" t="s">
        <v>14</v>
      </c>
      <c r="W20" s="706">
        <f>J20</f>
        <v>100</v>
      </c>
      <c r="X20" s="1355"/>
      <c r="Y20" s="383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34"/>
      <c r="Q21" s="1352"/>
      <c r="R21" s="705"/>
      <c r="S21" s="706"/>
      <c r="T21" s="705"/>
      <c r="U21" s="706"/>
      <c r="V21" s="705"/>
      <c r="W21" s="706"/>
      <c r="X21" s="1355"/>
      <c r="Y21" s="383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34"/>
      <c r="Q22" s="1352" t="str">
        <f>B22</f>
        <v>楼层</v>
      </c>
      <c r="R22" s="705" t="s">
        <v>14</v>
      </c>
      <c r="S22" s="706">
        <f>F22</f>
        <v>100</v>
      </c>
      <c r="T22" s="705" t="s">
        <v>14</v>
      </c>
      <c r="U22" s="706">
        <f>H22</f>
        <v>100</v>
      </c>
      <c r="V22" s="705" t="s">
        <v>14</v>
      </c>
      <c r="W22" s="706">
        <f>J22</f>
        <v>100</v>
      </c>
      <c r="X22" s="1355"/>
      <c r="Y22" s="383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34"/>
      <c r="Q23" s="1352">
        <f>B23</f>
        <v>111</v>
      </c>
      <c r="R23" s="705" t="s">
        <v>14</v>
      </c>
      <c r="S23" s="706">
        <f>F23</f>
        <v>100</v>
      </c>
      <c r="T23" s="705" t="s">
        <v>14</v>
      </c>
      <c r="U23" s="706">
        <f>H23</f>
        <v>100</v>
      </c>
      <c r="V23" s="705" t="s">
        <v>14</v>
      </c>
      <c r="W23" s="706">
        <f>J23</f>
        <v>100</v>
      </c>
      <c r="X23" s="1355"/>
      <c r="Y23" s="383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34"/>
      <c r="Q24" s="1352">
        <f t="shared" ref="Q24:Q34" si="11">B24</f>
        <v>111</v>
      </c>
      <c r="R24" s="705" t="s">
        <v>14</v>
      </c>
      <c r="S24" s="706">
        <f>F24</f>
        <v>100</v>
      </c>
      <c r="T24" s="705" t="s">
        <v>14</v>
      </c>
      <c r="U24" s="706">
        <f>H24</f>
        <v>100</v>
      </c>
      <c r="V24" s="705" t="s">
        <v>14</v>
      </c>
      <c r="W24" s="706">
        <f>J24</f>
        <v>100</v>
      </c>
      <c r="X24" s="1355"/>
      <c r="Y24" s="383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34"/>
      <c r="Q25" s="1343">
        <f t="shared" si="11"/>
        <v>111</v>
      </c>
      <c r="R25" s="701" t="s">
        <v>14</v>
      </c>
      <c r="S25" s="702">
        <f>F25</f>
        <v>100</v>
      </c>
      <c r="T25" s="701" t="s">
        <v>14</v>
      </c>
      <c r="U25" s="702">
        <f>H25</f>
        <v>100</v>
      </c>
      <c r="V25" s="701" t="s">
        <v>14</v>
      </c>
      <c r="W25" s="702">
        <f>J25</f>
        <v>100</v>
      </c>
      <c r="X25" s="703"/>
      <c r="Y25" s="3834"/>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9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38"/>
      <c r="Q27" s="707" t="str">
        <f t="shared" si="11"/>
        <v>成新率</v>
      </c>
      <c r="R27" s="708" t="s">
        <v>14</v>
      </c>
      <c r="S27" s="709" t="e">
        <f t="shared" si="12"/>
        <v>#N/A</v>
      </c>
      <c r="T27" s="708" t="s">
        <v>14</v>
      </c>
      <c r="U27" s="709" t="e">
        <f t="shared" si="13"/>
        <v>#N/A</v>
      </c>
      <c r="V27" s="708" t="s">
        <v>14</v>
      </c>
      <c r="W27" s="709" t="e">
        <f t="shared" si="14"/>
        <v>#N/A</v>
      </c>
      <c r="X27" s="710"/>
      <c r="Y27" s="383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38"/>
      <c r="Q28" s="1352" t="str">
        <f t="shared" si="11"/>
        <v>物业等级</v>
      </c>
      <c r="R28" s="705" t="s">
        <v>14</v>
      </c>
      <c r="S28" s="706">
        <f t="shared" si="12"/>
        <v>100</v>
      </c>
      <c r="T28" s="705" t="s">
        <v>14</v>
      </c>
      <c r="U28" s="706">
        <f t="shared" si="13"/>
        <v>100</v>
      </c>
      <c r="V28" s="705" t="s">
        <v>14</v>
      </c>
      <c r="W28" s="706">
        <f t="shared" si="14"/>
        <v>100</v>
      </c>
      <c r="X28" s="1355"/>
      <c r="Y28" s="383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38"/>
      <c r="Q29" s="1352" t="str">
        <f t="shared" si="11"/>
        <v>有无电梯</v>
      </c>
      <c r="R29" s="705" t="s">
        <v>14</v>
      </c>
      <c r="S29" s="706">
        <f t="shared" si="12"/>
        <v>100</v>
      </c>
      <c r="T29" s="705" t="s">
        <v>14</v>
      </c>
      <c r="U29" s="706">
        <f t="shared" si="13"/>
        <v>100</v>
      </c>
      <c r="V29" s="705" t="s">
        <v>14</v>
      </c>
      <c r="W29" s="706">
        <f t="shared" si="14"/>
        <v>100</v>
      </c>
      <c r="X29" s="1355"/>
      <c r="Y29" s="383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38"/>
      <c r="Q30" s="1352" t="str">
        <f t="shared" si="11"/>
        <v>建筑面积</v>
      </c>
      <c r="R30" s="705" t="s">
        <v>14</v>
      </c>
      <c r="S30" s="706" t="e">
        <f t="shared" si="12"/>
        <v>#N/A</v>
      </c>
      <c r="T30" s="705" t="s">
        <v>14</v>
      </c>
      <c r="U30" s="706" t="e">
        <f t="shared" si="13"/>
        <v>#N/A</v>
      </c>
      <c r="V30" s="705" t="s">
        <v>14</v>
      </c>
      <c r="W30" s="706" t="e">
        <f t="shared" si="14"/>
        <v>#N/A</v>
      </c>
      <c r="X30" s="1355"/>
      <c r="Y30" s="383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38"/>
      <c r="Q31" s="1343" t="str">
        <f t="shared" si="11"/>
        <v>是否封闭</v>
      </c>
      <c r="R31" s="701" t="s">
        <v>14</v>
      </c>
      <c r="S31" s="702">
        <f t="shared" si="12"/>
        <v>100</v>
      </c>
      <c r="T31" s="701" t="s">
        <v>14</v>
      </c>
      <c r="U31" s="702">
        <f t="shared" si="13"/>
        <v>100</v>
      </c>
      <c r="V31" s="701" t="s">
        <v>14</v>
      </c>
      <c r="W31" s="702">
        <f t="shared" si="14"/>
        <v>100</v>
      </c>
      <c r="X31" s="703"/>
      <c r="Y31" s="383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38" t="s">
        <v>1696</v>
      </c>
      <c r="Q32" s="1352">
        <f t="shared" si="11"/>
        <v>111</v>
      </c>
      <c r="R32" s="705" t="s">
        <v>14</v>
      </c>
      <c r="S32" s="706">
        <f t="shared" si="12"/>
        <v>100</v>
      </c>
      <c r="T32" s="705" t="s">
        <v>14</v>
      </c>
      <c r="U32" s="706">
        <f t="shared" si="13"/>
        <v>100</v>
      </c>
      <c r="V32" s="705" t="s">
        <v>14</v>
      </c>
      <c r="W32" s="706">
        <f t="shared" si="14"/>
        <v>100</v>
      </c>
      <c r="X32" s="1355"/>
      <c r="Y32" s="383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38"/>
      <c r="Q33" s="1352">
        <f t="shared" si="11"/>
        <v>111</v>
      </c>
      <c r="R33" s="705" t="s">
        <v>14</v>
      </c>
      <c r="S33" s="706">
        <f t="shared" si="12"/>
        <v>100</v>
      </c>
      <c r="T33" s="705" t="s">
        <v>14</v>
      </c>
      <c r="U33" s="706">
        <f t="shared" si="13"/>
        <v>100</v>
      </c>
      <c r="V33" s="705" t="s">
        <v>14</v>
      </c>
      <c r="W33" s="706">
        <f t="shared" si="14"/>
        <v>100</v>
      </c>
      <c r="X33" s="1355"/>
      <c r="Y33" s="383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38"/>
      <c r="Q34" s="1352">
        <f t="shared" si="11"/>
        <v>111</v>
      </c>
      <c r="R34" s="705" t="s">
        <v>14</v>
      </c>
      <c r="S34" s="706">
        <f t="shared" si="12"/>
        <v>100</v>
      </c>
      <c r="T34" s="705" t="s">
        <v>14</v>
      </c>
      <c r="U34" s="706">
        <f t="shared" si="13"/>
        <v>100</v>
      </c>
      <c r="V34" s="705" t="s">
        <v>14</v>
      </c>
      <c r="W34" s="706">
        <f t="shared" si="14"/>
        <v>100</v>
      </c>
      <c r="X34" s="1355"/>
      <c r="Y34" s="383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831" t="str">
        <f>A35</f>
        <v>成交单价（元/平方米）</v>
      </c>
      <c r="Q35" s="3831"/>
      <c r="R35" s="3832">
        <f>E35</f>
        <v>0</v>
      </c>
      <c r="S35" s="3832"/>
      <c r="T35" s="3832">
        <f>G35</f>
        <v>0</v>
      </c>
      <c r="U35" s="3832"/>
      <c r="V35" s="3832">
        <f>I35</f>
        <v>0</v>
      </c>
      <c r="W35" s="3832"/>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31" t="str">
        <f>A36</f>
        <v>比较价值（元/平方米）</v>
      </c>
      <c r="Q36" s="3831"/>
      <c r="R36" s="3832" t="e">
        <f>IF(F1="售价",ROUND(PRODUCT(R35,AA7:AA34),0),ROUND(PRODUCT(R35,AA7:AA34),1))</f>
        <v>#DIV/0!</v>
      </c>
      <c r="S36" s="3832"/>
      <c r="T36" s="3832" t="e">
        <f>IF(F1="售价",ROUND(PRODUCT(T35,AB7:AB34),0),ROUND(PRODUCT(T35,AB7:AB34),1))</f>
        <v>#DIV/0!</v>
      </c>
      <c r="U36" s="3832"/>
      <c r="V36" s="3832" t="e">
        <f>IF(F1="售价",ROUND(PRODUCT(V35,AC7:AC34),0),ROUND(PRODUCT(V35,AC7:AC34),1))</f>
        <v>#DIV/0!</v>
      </c>
      <c r="W36" s="383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828" t="str">
        <f>A37</f>
        <v>估价对象XX用房的比较价值（楼面单价，元/平方米）</v>
      </c>
      <c r="Q37" s="3829"/>
      <c r="R37" s="3899" t="e">
        <f>IF(F1="售价",ROUND(IF(D36="简单平均",AVERAGE(R36:W36),R36*F36+T36*H36+V36*J36),0),ROUND(IF(D36="简单平均",AVERAGE(R36:V36),R36*F36+T36*H36+V36*J36),1))</f>
        <v>#DIV/0!</v>
      </c>
      <c r="S37" s="3899"/>
      <c r="T37" s="3899"/>
      <c r="U37" s="3899"/>
      <c r="V37" s="3899"/>
      <c r="W37" s="389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2004-9</v>
      </c>
      <c r="D46" s="1185">
        <f>EDATE(C46,-1)</f>
        <v>38200</v>
      </c>
      <c r="E46" s="1185">
        <f t="shared" ref="E46:O46" si="16">EDATE(D46,-1)</f>
        <v>38169</v>
      </c>
      <c r="F46" s="1185">
        <f t="shared" si="16"/>
        <v>38139</v>
      </c>
      <c r="G46" s="1185">
        <f t="shared" si="16"/>
        <v>38108</v>
      </c>
      <c r="H46" s="1185">
        <f t="shared" si="16"/>
        <v>38078</v>
      </c>
      <c r="I46" s="1185">
        <f t="shared" si="16"/>
        <v>38047</v>
      </c>
      <c r="J46" s="1185">
        <f t="shared" si="16"/>
        <v>38018</v>
      </c>
      <c r="K46" s="1185">
        <f t="shared" si="16"/>
        <v>37987</v>
      </c>
      <c r="L46" s="1185">
        <f t="shared" si="16"/>
        <v>37956</v>
      </c>
      <c r="M46" s="1185">
        <f t="shared" si="16"/>
        <v>37926</v>
      </c>
      <c r="N46" s="1185">
        <f t="shared" si="16"/>
        <v>37895</v>
      </c>
      <c r="O46" s="1185">
        <f t="shared" si="16"/>
        <v>37865</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846" t="s">
        <v>1770</v>
      </c>
      <c r="D4" s="3847"/>
      <c r="E4" s="3848" t="s">
        <v>1771</v>
      </c>
      <c r="F4" s="3849"/>
      <c r="G4" s="3846" t="s">
        <v>1772</v>
      </c>
      <c r="H4" s="3847"/>
      <c r="I4" s="3846" t="s">
        <v>1773</v>
      </c>
      <c r="J4" s="3847"/>
      <c r="K4" s="559" t="s">
        <v>1774</v>
      </c>
      <c r="L4" s="2715"/>
      <c r="M4" s="2716"/>
      <c r="N4" s="2716"/>
      <c r="O4" s="2716"/>
      <c r="P4" s="3850" t="s">
        <v>1775</v>
      </c>
      <c r="Q4" s="3851"/>
      <c r="R4" s="3856" t="s">
        <v>1771</v>
      </c>
      <c r="S4" s="3857"/>
      <c r="T4" s="3856" t="s">
        <v>1772</v>
      </c>
      <c r="U4" s="3857"/>
      <c r="V4" s="3862" t="s">
        <v>1773</v>
      </c>
      <c r="W4" s="3862"/>
      <c r="X4" s="1355"/>
      <c r="Y4" s="3856" t="s">
        <v>1775</v>
      </c>
      <c r="Z4" s="3857"/>
      <c r="AA4" s="3843" t="s">
        <v>1771</v>
      </c>
      <c r="AB4" s="3844" t="s">
        <v>1772</v>
      </c>
      <c r="AC4" s="3843" t="s">
        <v>1773</v>
      </c>
    </row>
    <row r="5" spans="1:30">
      <c r="A5" s="358"/>
      <c r="B5" s="359"/>
      <c r="C5" s="3879" t="s">
        <v>1673</v>
      </c>
      <c r="D5" s="3871"/>
      <c r="E5" s="3881" t="s">
        <v>1674</v>
      </c>
      <c r="F5" s="3882"/>
      <c r="G5" s="3879" t="s">
        <v>1675</v>
      </c>
      <c r="H5" s="3871"/>
      <c r="I5" s="3879" t="s">
        <v>1676</v>
      </c>
      <c r="J5" s="3871"/>
      <c r="K5" s="559"/>
      <c r="L5" s="2715"/>
      <c r="M5" s="2716"/>
      <c r="N5" s="2716"/>
      <c r="O5" s="2716"/>
      <c r="P5" s="3852"/>
      <c r="Q5" s="3853"/>
      <c r="R5" s="3858"/>
      <c r="S5" s="3859"/>
      <c r="T5" s="3858"/>
      <c r="U5" s="3859"/>
      <c r="V5" s="3862"/>
      <c r="W5" s="3862"/>
      <c r="X5" s="1355"/>
      <c r="Y5" s="3858"/>
      <c r="Z5" s="3859"/>
      <c r="AA5" s="3844"/>
      <c r="AB5" s="3844"/>
      <c r="AC5" s="3844"/>
    </row>
    <row r="6" spans="1:30" ht="15" thickBot="1">
      <c r="A6" s="360"/>
      <c r="B6" s="361"/>
      <c r="C6" s="3878" t="s">
        <v>1677</v>
      </c>
      <c r="D6" s="3864"/>
      <c r="E6" s="3880" t="s">
        <v>1677</v>
      </c>
      <c r="F6" s="3873"/>
      <c r="G6" s="3878" t="s">
        <v>1677</v>
      </c>
      <c r="H6" s="3864"/>
      <c r="I6" s="3878" t="s">
        <v>1677</v>
      </c>
      <c r="J6" s="3864"/>
      <c r="K6" s="559" t="s">
        <v>1678</v>
      </c>
      <c r="L6" s="2715"/>
      <c r="M6" s="2716"/>
      <c r="N6" s="2716"/>
      <c r="O6" s="2716"/>
      <c r="P6" s="3854"/>
      <c r="Q6" s="3855"/>
      <c r="R6" s="3858"/>
      <c r="S6" s="3859"/>
      <c r="T6" s="3860"/>
      <c r="U6" s="3861"/>
      <c r="V6" s="3862"/>
      <c r="W6" s="3862"/>
      <c r="X6" s="1355"/>
      <c r="Y6" s="3860"/>
      <c r="Z6" s="3861"/>
      <c r="AA6" s="3845"/>
      <c r="AB6" s="3845"/>
      <c r="AC6" s="3845"/>
    </row>
    <row r="7" spans="1:30" s="108" customFormat="1" ht="15" thickBot="1">
      <c r="A7" s="362" t="s">
        <v>1679</v>
      </c>
      <c r="B7" s="363"/>
      <c r="C7" s="364">
        <f>'数据-取费表'!B2</f>
        <v>38260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67" t="s">
        <v>1680</v>
      </c>
      <c r="Q7" s="3869"/>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67" t="s">
        <v>1683</v>
      </c>
      <c r="Q8" s="3868"/>
      <c r="R8" s="701" t="s">
        <v>14</v>
      </c>
      <c r="S8" s="702">
        <f t="shared" si="0"/>
        <v>0</v>
      </c>
      <c r="T8" s="701" t="s">
        <v>14</v>
      </c>
      <c r="U8" s="702">
        <f t="shared" si="1"/>
        <v>0</v>
      </c>
      <c r="V8" s="701" t="s">
        <v>14</v>
      </c>
      <c r="W8" s="702">
        <f t="shared" si="2"/>
        <v>0</v>
      </c>
      <c r="X8" s="703"/>
      <c r="Y8" s="3867" t="s">
        <v>1683</v>
      </c>
      <c r="Z8" s="386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31" t="s">
        <v>1686</v>
      </c>
      <c r="Q9" s="1343" t="str">
        <f t="shared" ref="Q9:Q15" si="6">B9</f>
        <v>用途</v>
      </c>
      <c r="R9" s="701" t="s">
        <v>14</v>
      </c>
      <c r="S9" s="702">
        <f t="shared" si="0"/>
        <v>100</v>
      </c>
      <c r="T9" s="701" t="s">
        <v>14</v>
      </c>
      <c r="U9" s="702">
        <f t="shared" si="1"/>
        <v>100</v>
      </c>
      <c r="V9" s="701" t="s">
        <v>14</v>
      </c>
      <c r="W9" s="702">
        <f t="shared" si="2"/>
        <v>100</v>
      </c>
      <c r="X9" s="703"/>
      <c r="Y9" s="370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31"/>
      <c r="Q10" s="1343" t="str">
        <f t="shared" si="6"/>
        <v>土地使用年限（年）</v>
      </c>
      <c r="R10" s="701" t="s">
        <v>14</v>
      </c>
      <c r="S10" s="702" t="e">
        <f t="shared" si="0"/>
        <v>#DIV/0!</v>
      </c>
      <c r="T10" s="701" t="s">
        <v>14</v>
      </c>
      <c r="U10" s="702" t="e">
        <f t="shared" si="1"/>
        <v>#DIV/0!</v>
      </c>
      <c r="V10" s="701" t="s">
        <v>14</v>
      </c>
      <c r="W10" s="702" t="e">
        <f t="shared" si="2"/>
        <v>#DIV/0!</v>
      </c>
      <c r="X10" s="703"/>
      <c r="Y10" s="370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31"/>
      <c r="Q11" s="1343" t="str">
        <f t="shared" si="6"/>
        <v>容积率</v>
      </c>
      <c r="R11" s="701" t="s">
        <v>14</v>
      </c>
      <c r="S11" s="702" t="e">
        <f t="shared" si="0"/>
        <v>#N/A</v>
      </c>
      <c r="T11" s="701" t="s">
        <v>14</v>
      </c>
      <c r="U11" s="702" t="e">
        <f t="shared" si="1"/>
        <v>#N/A</v>
      </c>
      <c r="V11" s="701" t="s">
        <v>14</v>
      </c>
      <c r="W11" s="702" t="e">
        <f t="shared" si="2"/>
        <v>#N/A</v>
      </c>
      <c r="X11" s="703"/>
      <c r="Y11" s="370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31"/>
      <c r="Q12" s="1343" t="str">
        <f t="shared" si="6"/>
        <v>配建</v>
      </c>
      <c r="R12" s="701" t="s">
        <v>14</v>
      </c>
      <c r="S12" s="702">
        <f t="shared" si="0"/>
        <v>100</v>
      </c>
      <c r="T12" s="701" t="s">
        <v>14</v>
      </c>
      <c r="U12" s="702">
        <f t="shared" si="1"/>
        <v>100</v>
      </c>
      <c r="V12" s="701" t="s">
        <v>14</v>
      </c>
      <c r="W12" s="702">
        <f t="shared" si="2"/>
        <v>100</v>
      </c>
      <c r="X12" s="703"/>
      <c r="Y12" s="370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31"/>
      <c r="Q13" s="1343">
        <f t="shared" si="6"/>
        <v>111</v>
      </c>
      <c r="R13" s="701" t="s">
        <v>14</v>
      </c>
      <c r="S13" s="702">
        <f t="shared" si="0"/>
        <v>100</v>
      </c>
      <c r="T13" s="701" t="s">
        <v>14</v>
      </c>
      <c r="U13" s="702">
        <f t="shared" si="1"/>
        <v>100</v>
      </c>
      <c r="V13" s="701" t="s">
        <v>14</v>
      </c>
      <c r="W13" s="702">
        <f t="shared" si="2"/>
        <v>100</v>
      </c>
      <c r="X13" s="703"/>
      <c r="Y13" s="370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31"/>
      <c r="Q14" s="1343">
        <f t="shared" si="6"/>
        <v>111</v>
      </c>
      <c r="R14" s="701" t="s">
        <v>14</v>
      </c>
      <c r="S14" s="702">
        <f t="shared" si="0"/>
        <v>100</v>
      </c>
      <c r="T14" s="701" t="s">
        <v>14</v>
      </c>
      <c r="U14" s="702">
        <f t="shared" si="1"/>
        <v>100</v>
      </c>
      <c r="V14" s="701" t="s">
        <v>14</v>
      </c>
      <c r="W14" s="702">
        <f t="shared" si="2"/>
        <v>100</v>
      </c>
      <c r="X14" s="703"/>
      <c r="Y14" s="370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33" t="s">
        <v>1691</v>
      </c>
      <c r="Q15" s="1352" t="str">
        <f t="shared" si="6"/>
        <v>居住社区成熟度</v>
      </c>
      <c r="R15" s="705" t="s">
        <v>14</v>
      </c>
      <c r="S15" s="706">
        <f t="shared" si="0"/>
        <v>100</v>
      </c>
      <c r="T15" s="705" t="s">
        <v>14</v>
      </c>
      <c r="U15" s="706">
        <f t="shared" si="1"/>
        <v>100</v>
      </c>
      <c r="V15" s="705" t="s">
        <v>14</v>
      </c>
      <c r="W15" s="706">
        <f t="shared" si="2"/>
        <v>100</v>
      </c>
      <c r="X15" s="1355"/>
      <c r="Y15" s="383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34"/>
      <c r="Q16" s="1352"/>
      <c r="R16" s="705"/>
      <c r="S16" s="706"/>
      <c r="T16" s="705"/>
      <c r="U16" s="706"/>
      <c r="V16" s="705"/>
      <c r="W16" s="706"/>
      <c r="X16" s="1355"/>
      <c r="Y16" s="3834"/>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34"/>
      <c r="Q17" s="1352" t="str">
        <f>B17</f>
        <v>商业繁华度</v>
      </c>
      <c r="R17" s="705" t="s">
        <v>14</v>
      </c>
      <c r="S17" s="706">
        <f>F17</f>
        <v>100</v>
      </c>
      <c r="T17" s="705" t="s">
        <v>14</v>
      </c>
      <c r="U17" s="706">
        <f>H17</f>
        <v>100</v>
      </c>
      <c r="V17" s="705" t="s">
        <v>14</v>
      </c>
      <c r="W17" s="706">
        <f>J17</f>
        <v>100</v>
      </c>
      <c r="X17" s="1355"/>
      <c r="Y17" s="383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34"/>
      <c r="Q18" s="1352"/>
      <c r="R18" s="705"/>
      <c r="S18" s="706"/>
      <c r="T18" s="705"/>
      <c r="U18" s="706"/>
      <c r="V18" s="705"/>
      <c r="W18" s="706"/>
      <c r="X18" s="1355"/>
      <c r="Y18" s="3834"/>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34"/>
      <c r="Q19" s="1352" t="str">
        <f>B19</f>
        <v>办公集聚程度</v>
      </c>
      <c r="R19" s="705" t="s">
        <v>14</v>
      </c>
      <c r="S19" s="706">
        <f>F19</f>
        <v>100</v>
      </c>
      <c r="T19" s="705" t="s">
        <v>14</v>
      </c>
      <c r="U19" s="706">
        <f>H19</f>
        <v>100</v>
      </c>
      <c r="V19" s="705" t="s">
        <v>14</v>
      </c>
      <c r="W19" s="706">
        <f>J19</f>
        <v>100</v>
      </c>
      <c r="X19" s="1355"/>
      <c r="Y19" s="383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34"/>
      <c r="Q20" s="1352"/>
      <c r="R20" s="705"/>
      <c r="S20" s="706"/>
      <c r="T20" s="705"/>
      <c r="U20" s="706"/>
      <c r="V20" s="705"/>
      <c r="W20" s="706"/>
      <c r="X20" s="1355"/>
      <c r="Y20" s="3834"/>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34"/>
      <c r="Q21" s="1352" t="str">
        <f>B21</f>
        <v>交通便捷度</v>
      </c>
      <c r="R21" s="705" t="s">
        <v>14</v>
      </c>
      <c r="S21" s="706">
        <f>F21</f>
        <v>100</v>
      </c>
      <c r="T21" s="705" t="s">
        <v>14</v>
      </c>
      <c r="U21" s="706">
        <f>H21</f>
        <v>100</v>
      </c>
      <c r="V21" s="705" t="s">
        <v>14</v>
      </c>
      <c r="W21" s="706">
        <f>J21</f>
        <v>100</v>
      </c>
      <c r="X21" s="1355"/>
      <c r="Y21" s="383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34"/>
      <c r="Q22" s="1352"/>
      <c r="R22" s="705"/>
      <c r="S22" s="706"/>
      <c r="T22" s="705"/>
      <c r="U22" s="706"/>
      <c r="V22" s="705"/>
      <c r="W22" s="706"/>
      <c r="X22" s="1355"/>
      <c r="Y22" s="383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34"/>
      <c r="Q23" s="1352" t="str">
        <f t="shared" ref="Q23:Q37" si="8">B23</f>
        <v>区域土地利用方向</v>
      </c>
      <c r="R23" s="705" t="s">
        <v>14</v>
      </c>
      <c r="S23" s="706">
        <f>F23</f>
        <v>100</v>
      </c>
      <c r="T23" s="705" t="s">
        <v>14</v>
      </c>
      <c r="U23" s="706">
        <f>H23</f>
        <v>100</v>
      </c>
      <c r="V23" s="705" t="s">
        <v>14</v>
      </c>
      <c r="W23" s="706">
        <f>J23</f>
        <v>100</v>
      </c>
      <c r="X23" s="1355"/>
      <c r="Y23" s="383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34"/>
      <c r="Q24" s="1352"/>
      <c r="R24" s="705"/>
      <c r="S24" s="706"/>
      <c r="T24" s="705"/>
      <c r="U24" s="706"/>
      <c r="V24" s="705"/>
      <c r="W24" s="706"/>
      <c r="X24" s="1355"/>
      <c r="Y24" s="3834"/>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34"/>
      <c r="Q25" s="1352" t="str">
        <f t="shared" si="8"/>
        <v>自然及人文环境状况</v>
      </c>
      <c r="R25" s="705" t="s">
        <v>14</v>
      </c>
      <c r="S25" s="706">
        <f>F25</f>
        <v>100</v>
      </c>
      <c r="T25" s="705" t="s">
        <v>14</v>
      </c>
      <c r="U25" s="706">
        <f>H25</f>
        <v>100</v>
      </c>
      <c r="V25" s="705" t="s">
        <v>14</v>
      </c>
      <c r="W25" s="706">
        <f>J25</f>
        <v>100</v>
      </c>
      <c r="X25" s="1355"/>
      <c r="Y25" s="383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34"/>
      <c r="Q26" s="1352"/>
      <c r="R26" s="705"/>
      <c r="S26" s="706"/>
      <c r="T26" s="705"/>
      <c r="U26" s="706"/>
      <c r="V26" s="705"/>
      <c r="W26" s="706"/>
      <c r="X26" s="1355"/>
      <c r="Y26" s="3834"/>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34"/>
      <c r="Q27" s="1343" t="str">
        <f t="shared" si="8"/>
        <v>公共配套设施</v>
      </c>
      <c r="R27" s="701" t="s">
        <v>14</v>
      </c>
      <c r="S27" s="702">
        <f>F27</f>
        <v>100</v>
      </c>
      <c r="T27" s="701" t="s">
        <v>14</v>
      </c>
      <c r="U27" s="702">
        <f>H27</f>
        <v>100</v>
      </c>
      <c r="V27" s="701" t="s">
        <v>14</v>
      </c>
      <c r="W27" s="702">
        <f>J27</f>
        <v>100</v>
      </c>
      <c r="X27" s="703"/>
      <c r="Y27" s="383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34"/>
      <c r="Q28" s="1343"/>
      <c r="R28" s="701"/>
      <c r="S28" s="702"/>
      <c r="T28" s="701"/>
      <c r="U28" s="702"/>
      <c r="V28" s="701"/>
      <c r="W28" s="702"/>
      <c r="X28" s="703"/>
      <c r="Y28" s="3834"/>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34"/>
      <c r="Q29" s="1343" t="str">
        <f t="shared" ref="Q29" si="9">B29</f>
        <v>基础设施水平</v>
      </c>
      <c r="R29" s="701" t="s">
        <v>14</v>
      </c>
      <c r="S29" s="702">
        <f>F29</f>
        <v>100</v>
      </c>
      <c r="T29" s="701" t="s">
        <v>14</v>
      </c>
      <c r="U29" s="702">
        <f>H29</f>
        <v>100</v>
      </c>
      <c r="V29" s="701" t="s">
        <v>14</v>
      </c>
      <c r="W29" s="702">
        <f>J29</f>
        <v>100</v>
      </c>
      <c r="X29" s="703"/>
      <c r="Y29" s="383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34"/>
      <c r="Q30" s="1343"/>
      <c r="R30" s="701"/>
      <c r="S30" s="702"/>
      <c r="T30" s="701"/>
      <c r="U30" s="702"/>
      <c r="V30" s="701"/>
      <c r="W30" s="702"/>
      <c r="X30" s="703"/>
      <c r="Y30" s="383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3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3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34"/>
      <c r="Q32" s="1352" t="str">
        <f t="shared" si="8"/>
        <v>毗邻道路的类型与等级</v>
      </c>
      <c r="R32" s="705" t="s">
        <v>14</v>
      </c>
      <c r="S32" s="706">
        <f t="shared" si="10"/>
        <v>100</v>
      </c>
      <c r="T32" s="705" t="s">
        <v>14</v>
      </c>
      <c r="U32" s="706">
        <f t="shared" si="11"/>
        <v>100</v>
      </c>
      <c r="V32" s="705" t="s">
        <v>14</v>
      </c>
      <c r="W32" s="706">
        <f t="shared" si="12"/>
        <v>100</v>
      </c>
      <c r="X32" s="1355"/>
      <c r="Y32" s="383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34"/>
      <c r="Q33" s="1352"/>
      <c r="R33" s="705"/>
      <c r="S33" s="706"/>
      <c r="T33" s="705"/>
      <c r="U33" s="706"/>
      <c r="V33" s="705"/>
      <c r="W33" s="706"/>
      <c r="X33" s="1355"/>
      <c r="Y33" s="383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34"/>
      <c r="Q34" s="1352" t="str">
        <f t="shared" si="8"/>
        <v>土地级别</v>
      </c>
      <c r="R34" s="705" t="s">
        <v>14</v>
      </c>
      <c r="S34" s="706">
        <f t="shared" si="10"/>
        <v>100</v>
      </c>
      <c r="T34" s="705" t="s">
        <v>14</v>
      </c>
      <c r="U34" s="706">
        <f t="shared" si="11"/>
        <v>100</v>
      </c>
      <c r="V34" s="705" t="s">
        <v>14</v>
      </c>
      <c r="W34" s="706">
        <f t="shared" si="12"/>
        <v>100</v>
      </c>
      <c r="X34" s="1355"/>
      <c r="Y34" s="383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34"/>
      <c r="Q35" s="1352">
        <f t="shared" si="8"/>
        <v>111</v>
      </c>
      <c r="R35" s="705" t="s">
        <v>14</v>
      </c>
      <c r="S35" s="706">
        <f t="shared" si="10"/>
        <v>100</v>
      </c>
      <c r="T35" s="705" t="s">
        <v>14</v>
      </c>
      <c r="U35" s="706">
        <f t="shared" si="11"/>
        <v>100</v>
      </c>
      <c r="V35" s="705" t="s">
        <v>14</v>
      </c>
      <c r="W35" s="706">
        <f t="shared" si="12"/>
        <v>100</v>
      </c>
      <c r="X35" s="1355"/>
      <c r="Y35" s="383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98" t="s">
        <v>1696</v>
      </c>
      <c r="Q36" s="1352">
        <f t="shared" si="8"/>
        <v>111</v>
      </c>
      <c r="R36" s="705" t="s">
        <v>14</v>
      </c>
      <c r="S36" s="706">
        <f t="shared" si="10"/>
        <v>100</v>
      </c>
      <c r="T36" s="705" t="s">
        <v>14</v>
      </c>
      <c r="U36" s="706">
        <f t="shared" si="11"/>
        <v>100</v>
      </c>
      <c r="V36" s="705" t="s">
        <v>14</v>
      </c>
      <c r="W36" s="706">
        <f t="shared" si="12"/>
        <v>100</v>
      </c>
      <c r="X36" s="1355"/>
      <c r="Y36" s="383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38"/>
      <c r="Q37" s="1352">
        <f t="shared" si="8"/>
        <v>111</v>
      </c>
      <c r="R37" s="708" t="s">
        <v>14</v>
      </c>
      <c r="S37" s="709">
        <f t="shared" si="10"/>
        <v>100</v>
      </c>
      <c r="T37" s="708" t="s">
        <v>14</v>
      </c>
      <c r="U37" s="709">
        <f t="shared" si="11"/>
        <v>100</v>
      </c>
      <c r="V37" s="708" t="s">
        <v>14</v>
      </c>
      <c r="W37" s="709">
        <f t="shared" si="12"/>
        <v>100</v>
      </c>
      <c r="X37" s="710"/>
      <c r="Y37" s="383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38"/>
      <c r="Q38" s="1352" t="str">
        <f>B38</f>
        <v>宗地面积</v>
      </c>
      <c r="R38" s="705" t="s">
        <v>14</v>
      </c>
      <c r="S38" s="706" t="e">
        <f t="shared" si="10"/>
        <v>#N/A</v>
      </c>
      <c r="T38" s="705" t="s">
        <v>14</v>
      </c>
      <c r="U38" s="706" t="e">
        <f t="shared" si="11"/>
        <v>#N/A</v>
      </c>
      <c r="V38" s="705" t="s">
        <v>14</v>
      </c>
      <c r="W38" s="706" t="e">
        <f t="shared" si="12"/>
        <v>#N/A</v>
      </c>
      <c r="X38" s="1355"/>
      <c r="Y38" s="383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38"/>
      <c r="Q39" s="1352" t="str">
        <f t="shared" ref="Q39:Q45" si="14">B39</f>
        <v>宗地形状</v>
      </c>
      <c r="R39" s="705" t="s">
        <v>14</v>
      </c>
      <c r="S39" s="706">
        <f t="shared" si="10"/>
        <v>100</v>
      </c>
      <c r="T39" s="705" t="s">
        <v>14</v>
      </c>
      <c r="U39" s="706">
        <f t="shared" si="11"/>
        <v>100</v>
      </c>
      <c r="V39" s="705" t="s">
        <v>14</v>
      </c>
      <c r="W39" s="706">
        <f t="shared" si="12"/>
        <v>100</v>
      </c>
      <c r="X39" s="1355"/>
      <c r="Y39" s="383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38"/>
      <c r="Q40" s="1352" t="str">
        <f t="shared" si="14"/>
        <v>临街宽度及深度</v>
      </c>
      <c r="R40" s="705" t="s">
        <v>14</v>
      </c>
      <c r="S40" s="706">
        <f t="shared" si="10"/>
        <v>100</v>
      </c>
      <c r="T40" s="705" t="s">
        <v>14</v>
      </c>
      <c r="U40" s="706">
        <f t="shared" si="11"/>
        <v>100</v>
      </c>
      <c r="V40" s="705" t="s">
        <v>14</v>
      </c>
      <c r="W40" s="706">
        <f t="shared" si="12"/>
        <v>100</v>
      </c>
      <c r="X40" s="1355"/>
      <c r="Y40" s="383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38"/>
      <c r="Q41" s="1352" t="str">
        <f t="shared" si="14"/>
        <v>宗地开发程度</v>
      </c>
      <c r="R41" s="701" t="s">
        <v>14</v>
      </c>
      <c r="S41" s="702">
        <f t="shared" si="10"/>
        <v>100</v>
      </c>
      <c r="T41" s="701" t="s">
        <v>14</v>
      </c>
      <c r="U41" s="702">
        <f t="shared" si="11"/>
        <v>100</v>
      </c>
      <c r="V41" s="701" t="s">
        <v>14</v>
      </c>
      <c r="W41" s="702">
        <f t="shared" si="12"/>
        <v>100</v>
      </c>
      <c r="X41" s="703"/>
      <c r="Y41" s="383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38" t="s">
        <v>1696</v>
      </c>
      <c r="Q42" s="1352" t="str">
        <f t="shared" si="14"/>
        <v>工程地质条件</v>
      </c>
      <c r="R42" s="705" t="s">
        <v>14</v>
      </c>
      <c r="S42" s="706">
        <f t="shared" si="10"/>
        <v>100</v>
      </c>
      <c r="T42" s="705" t="s">
        <v>14</v>
      </c>
      <c r="U42" s="706">
        <f t="shared" si="11"/>
        <v>100</v>
      </c>
      <c r="V42" s="705" t="s">
        <v>14</v>
      </c>
      <c r="W42" s="706">
        <f t="shared" si="12"/>
        <v>100</v>
      </c>
      <c r="X42" s="1355"/>
      <c r="Y42" s="383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38"/>
      <c r="Q43" s="1352">
        <f t="shared" si="14"/>
        <v>111</v>
      </c>
      <c r="R43" s="705" t="s">
        <v>14</v>
      </c>
      <c r="S43" s="706">
        <f t="shared" si="10"/>
        <v>100</v>
      </c>
      <c r="T43" s="705" t="s">
        <v>14</v>
      </c>
      <c r="U43" s="706">
        <f t="shared" si="11"/>
        <v>100</v>
      </c>
      <c r="V43" s="705" t="s">
        <v>14</v>
      </c>
      <c r="W43" s="706">
        <f t="shared" si="12"/>
        <v>100</v>
      </c>
      <c r="X43" s="1355"/>
      <c r="Y43" s="383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38"/>
      <c r="Q44" s="1352">
        <f t="shared" si="14"/>
        <v>111</v>
      </c>
      <c r="R44" s="705" t="s">
        <v>14</v>
      </c>
      <c r="S44" s="706">
        <f t="shared" si="10"/>
        <v>100</v>
      </c>
      <c r="T44" s="705" t="s">
        <v>14</v>
      </c>
      <c r="U44" s="706">
        <f t="shared" si="11"/>
        <v>100</v>
      </c>
      <c r="V44" s="705" t="s">
        <v>14</v>
      </c>
      <c r="W44" s="706">
        <f t="shared" si="12"/>
        <v>100</v>
      </c>
      <c r="X44" s="1355"/>
      <c r="Y44" s="383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38"/>
      <c r="Q45" s="1352">
        <f t="shared" si="14"/>
        <v>111</v>
      </c>
      <c r="R45" s="708" t="s">
        <v>14</v>
      </c>
      <c r="S45" s="709">
        <f t="shared" si="10"/>
        <v>100</v>
      </c>
      <c r="T45" s="708" t="s">
        <v>14</v>
      </c>
      <c r="U45" s="709">
        <f t="shared" si="11"/>
        <v>100</v>
      </c>
      <c r="V45" s="708" t="s">
        <v>14</v>
      </c>
      <c r="W45" s="709">
        <f t="shared" si="12"/>
        <v>100</v>
      </c>
      <c r="X45" s="710"/>
      <c r="Y45" s="3838"/>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831" t="str">
        <f>A46</f>
        <v>成交单价</v>
      </c>
      <c r="Q46" s="3831"/>
      <c r="R46" s="3862">
        <f>E46</f>
        <v>0</v>
      </c>
      <c r="S46" s="3862"/>
      <c r="T46" s="3862">
        <f>G46</f>
        <v>0</v>
      </c>
      <c r="U46" s="3862"/>
      <c r="V46" s="3862">
        <f>I46</f>
        <v>0</v>
      </c>
      <c r="W46" s="3862"/>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31" t="str">
        <f>A47</f>
        <v>比较价值（元/平方米）</v>
      </c>
      <c r="Q47" s="3831"/>
      <c r="R47" s="3900" t="e">
        <f>ROUND(PRODUCT(R46,AA7:AA45),0)</f>
        <v>#DIV/0!</v>
      </c>
      <c r="S47" s="3900"/>
      <c r="T47" s="3900" t="e">
        <f>ROUND(PRODUCT(T46,AB7:AB45),0)</f>
        <v>#DIV/0!</v>
      </c>
      <c r="U47" s="3900"/>
      <c r="V47" s="3900" t="e">
        <f>ROUND(PRODUCT(V46,AC7:AC45),0)</f>
        <v>#DIV/0!</v>
      </c>
      <c r="W47" s="390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828" t="str">
        <f>A48</f>
        <v>估价对象XX用房的比较价值（楼面单价，元/平方米）</v>
      </c>
      <c r="Q48" s="3829"/>
      <c r="R48" s="3901" t="e">
        <f>ROUND(IF(D47="简单平均",AVERAGE(R47:W47),R47*F47+T47*H47+V47*J47),0)</f>
        <v>#DIV/0!</v>
      </c>
      <c r="S48" s="3901"/>
      <c r="T48" s="3901"/>
      <c r="U48" s="3901"/>
      <c r="V48" s="3901"/>
      <c r="W48" s="390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46" t="s">
        <v>1887</v>
      </c>
      <c r="H55" s="390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79.7</v>
      </c>
      <c r="F56" s="886" t="e">
        <f t="shared" ref="F56:F64" si="15">ROUND(B56*E56/10000,0)</f>
        <v>#DIV/0!</v>
      </c>
      <c r="G56" s="3842"/>
      <c r="H56" s="383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79.7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2004-9-1</v>
      </c>
      <c r="D67" s="692">
        <f>EDATE(C67,-3)</f>
        <v>38139</v>
      </c>
      <c r="E67" s="692">
        <f>EDATE(D67,-3)</f>
        <v>38047</v>
      </c>
      <c r="F67" s="692">
        <f t="shared" ref="F67:O67" si="18">EDATE(E67,-3)</f>
        <v>37956</v>
      </c>
      <c r="G67" s="692">
        <f t="shared" si="18"/>
        <v>37865</v>
      </c>
      <c r="H67" s="692">
        <f t="shared" si="18"/>
        <v>37773</v>
      </c>
      <c r="I67" s="692">
        <f t="shared" si="18"/>
        <v>37681</v>
      </c>
      <c r="J67" s="692">
        <f t="shared" si="18"/>
        <v>37591</v>
      </c>
      <c r="K67" s="692">
        <f t="shared" si="18"/>
        <v>37500</v>
      </c>
      <c r="L67" s="692">
        <f t="shared" si="18"/>
        <v>37408</v>
      </c>
      <c r="M67" s="692">
        <f t="shared" si="18"/>
        <v>37316</v>
      </c>
      <c r="N67" s="692">
        <f t="shared" si="18"/>
        <v>37226</v>
      </c>
      <c r="O67" s="692">
        <f t="shared" si="18"/>
        <v>37135</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2004-3</v>
      </c>
      <c r="D69" s="1182" t="str">
        <f>YEAR(D67)&amp;"-"&amp;ROUNDUP(MONTH(D67)/3,0)</f>
        <v>2004-2</v>
      </c>
      <c r="E69" s="1182" t="str">
        <f t="shared" ref="E69:O69" si="19">YEAR(E67)&amp;"-"&amp;ROUNDUP(MONTH(E67)/3,0)</f>
        <v>2004-1</v>
      </c>
      <c r="F69" s="1182" t="str">
        <f t="shared" si="19"/>
        <v>2003-4</v>
      </c>
      <c r="G69" s="1182" t="str">
        <f t="shared" si="19"/>
        <v>2003-3</v>
      </c>
      <c r="H69" s="1182" t="str">
        <f t="shared" si="19"/>
        <v>2003-2</v>
      </c>
      <c r="I69" s="1182" t="str">
        <f t="shared" si="19"/>
        <v>2003-1</v>
      </c>
      <c r="J69" s="1182" t="str">
        <f t="shared" si="19"/>
        <v>2002-4</v>
      </c>
      <c r="K69" s="1182" t="str">
        <f t="shared" si="19"/>
        <v>2002-3</v>
      </c>
      <c r="L69" s="1182" t="str">
        <f t="shared" si="19"/>
        <v>2002-2</v>
      </c>
      <c r="M69" s="1182" t="str">
        <f t="shared" si="19"/>
        <v>2002-1</v>
      </c>
      <c r="N69" s="1182" t="str">
        <f t="shared" si="19"/>
        <v>2001-4</v>
      </c>
      <c r="O69" s="1182" t="str">
        <f t="shared" si="19"/>
        <v>2001-3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46" t="s">
        <v>1770</v>
      </c>
      <c r="D4" s="3847"/>
      <c r="E4" s="3848" t="s">
        <v>1771</v>
      </c>
      <c r="F4" s="3849"/>
      <c r="G4" s="3846" t="s">
        <v>1772</v>
      </c>
      <c r="H4" s="3847"/>
      <c r="I4" s="3846" t="s">
        <v>1773</v>
      </c>
      <c r="J4" s="3847"/>
      <c r="K4" s="559" t="s">
        <v>1774</v>
      </c>
      <c r="L4" s="2715"/>
      <c r="M4" s="2716"/>
      <c r="N4" s="2716"/>
      <c r="O4" s="2716"/>
      <c r="P4" s="3850" t="s">
        <v>1775</v>
      </c>
      <c r="Q4" s="3851"/>
      <c r="R4" s="3856" t="s">
        <v>1771</v>
      </c>
      <c r="S4" s="3857"/>
      <c r="T4" s="3856" t="s">
        <v>1772</v>
      </c>
      <c r="U4" s="3857"/>
      <c r="V4" s="3862" t="s">
        <v>1773</v>
      </c>
      <c r="W4" s="3862"/>
      <c r="X4" s="1355"/>
      <c r="Y4" s="3856" t="s">
        <v>1775</v>
      </c>
      <c r="Z4" s="3857"/>
      <c r="AA4" s="3843" t="s">
        <v>1771</v>
      </c>
      <c r="AB4" s="3844" t="s">
        <v>1772</v>
      </c>
      <c r="AC4" s="3843" t="s">
        <v>1773</v>
      </c>
    </row>
    <row r="5" spans="1:29">
      <c r="A5" s="358"/>
      <c r="B5" s="359"/>
      <c r="C5" s="3879" t="s">
        <v>1673</v>
      </c>
      <c r="D5" s="3871"/>
      <c r="E5" s="3881" t="s">
        <v>1674</v>
      </c>
      <c r="F5" s="3882"/>
      <c r="G5" s="3879" t="s">
        <v>1675</v>
      </c>
      <c r="H5" s="3871"/>
      <c r="I5" s="3879" t="s">
        <v>1676</v>
      </c>
      <c r="J5" s="3871"/>
      <c r="K5" s="559"/>
      <c r="L5" s="2715"/>
      <c r="M5" s="2716"/>
      <c r="N5" s="2716"/>
      <c r="O5" s="2716"/>
      <c r="P5" s="3852"/>
      <c r="Q5" s="3853"/>
      <c r="R5" s="3858"/>
      <c r="S5" s="3859"/>
      <c r="T5" s="3858"/>
      <c r="U5" s="3859"/>
      <c r="V5" s="3862"/>
      <c r="W5" s="3862"/>
      <c r="X5" s="1355"/>
      <c r="Y5" s="3858"/>
      <c r="Z5" s="3859"/>
      <c r="AA5" s="3844"/>
      <c r="AB5" s="3844"/>
      <c r="AC5" s="3844"/>
    </row>
    <row r="6" spans="1:29" ht="15" thickBot="1">
      <c r="A6" s="360"/>
      <c r="B6" s="361"/>
      <c r="C6" s="3903" t="s">
        <v>1919</v>
      </c>
      <c r="D6" s="3904"/>
      <c r="E6" s="3905" t="s">
        <v>1919</v>
      </c>
      <c r="F6" s="3906"/>
      <c r="G6" s="3903" t="s">
        <v>1919</v>
      </c>
      <c r="H6" s="3904"/>
      <c r="I6" s="3903" t="s">
        <v>1919</v>
      </c>
      <c r="J6" s="3904"/>
      <c r="K6" s="559" t="s">
        <v>1678</v>
      </c>
      <c r="L6" s="2715"/>
      <c r="M6" s="2716"/>
      <c r="N6" s="2716"/>
      <c r="O6" s="2716"/>
      <c r="P6" s="3854"/>
      <c r="Q6" s="3855"/>
      <c r="R6" s="3858"/>
      <c r="S6" s="3859"/>
      <c r="T6" s="3860"/>
      <c r="U6" s="3861"/>
      <c r="V6" s="3862"/>
      <c r="W6" s="3862"/>
      <c r="X6" s="1355"/>
      <c r="Y6" s="3860"/>
      <c r="Z6" s="3861"/>
      <c r="AA6" s="3845"/>
      <c r="AB6" s="3845"/>
      <c r="AC6" s="3845"/>
    </row>
    <row r="7" spans="1:29" s="108" customFormat="1" ht="15" thickBot="1">
      <c r="A7" s="362" t="s">
        <v>1679</v>
      </c>
      <c r="B7" s="363"/>
      <c r="C7" s="364">
        <f>'数据-取费表'!B2</f>
        <v>38260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67" t="s">
        <v>1680</v>
      </c>
      <c r="Q7" s="3869"/>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67" t="s">
        <v>1683</v>
      </c>
      <c r="Q8" s="3868"/>
      <c r="R8" s="701" t="s">
        <v>14</v>
      </c>
      <c r="S8" s="702">
        <f t="shared" si="0"/>
        <v>0</v>
      </c>
      <c r="T8" s="701" t="s">
        <v>14</v>
      </c>
      <c r="U8" s="702">
        <f t="shared" si="1"/>
        <v>0</v>
      </c>
      <c r="V8" s="701" t="s">
        <v>14</v>
      </c>
      <c r="W8" s="702">
        <f t="shared" si="2"/>
        <v>0</v>
      </c>
      <c r="X8" s="703"/>
      <c r="Y8" s="3867" t="s">
        <v>1683</v>
      </c>
      <c r="Z8" s="386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31" t="s">
        <v>1686</v>
      </c>
      <c r="Q9" s="1343" t="str">
        <f t="shared" ref="Q9:Q15" si="6">B9</f>
        <v>用途</v>
      </c>
      <c r="R9" s="701" t="s">
        <v>14</v>
      </c>
      <c r="S9" s="702">
        <f t="shared" si="0"/>
        <v>100</v>
      </c>
      <c r="T9" s="701" t="s">
        <v>14</v>
      </c>
      <c r="U9" s="702">
        <f t="shared" si="1"/>
        <v>100</v>
      </c>
      <c r="V9" s="701" t="s">
        <v>14</v>
      </c>
      <c r="W9" s="702">
        <f t="shared" si="2"/>
        <v>100</v>
      </c>
      <c r="X9" s="703"/>
      <c r="Y9" s="370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31"/>
      <c r="Q10" s="1343" t="str">
        <f t="shared" si="6"/>
        <v>土地使用年限（年）</v>
      </c>
      <c r="R10" s="701" t="s">
        <v>14</v>
      </c>
      <c r="S10" s="702" t="e">
        <f t="shared" si="0"/>
        <v>#DIV/0!</v>
      </c>
      <c r="T10" s="701" t="s">
        <v>14</v>
      </c>
      <c r="U10" s="702" t="e">
        <f t="shared" si="1"/>
        <v>#DIV/0!</v>
      </c>
      <c r="V10" s="701" t="s">
        <v>14</v>
      </c>
      <c r="W10" s="702" t="e">
        <f t="shared" si="2"/>
        <v>#DIV/0!</v>
      </c>
      <c r="X10" s="703"/>
      <c r="Y10" s="370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31"/>
      <c r="Q11" s="1343" t="str">
        <f t="shared" si="6"/>
        <v>容积率</v>
      </c>
      <c r="R11" s="701" t="s">
        <v>14</v>
      </c>
      <c r="S11" s="702" t="e">
        <f t="shared" si="0"/>
        <v>#N/A</v>
      </c>
      <c r="T11" s="701" t="s">
        <v>14</v>
      </c>
      <c r="U11" s="702" t="e">
        <f t="shared" si="1"/>
        <v>#N/A</v>
      </c>
      <c r="V11" s="701" t="s">
        <v>14</v>
      </c>
      <c r="W11" s="702" t="e">
        <f t="shared" si="2"/>
        <v>#N/A</v>
      </c>
      <c r="X11" s="703"/>
      <c r="Y11" s="370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31"/>
      <c r="Q12" s="1343">
        <f t="shared" si="6"/>
        <v>111</v>
      </c>
      <c r="R12" s="701" t="s">
        <v>14</v>
      </c>
      <c r="S12" s="702">
        <f t="shared" si="0"/>
        <v>100</v>
      </c>
      <c r="T12" s="701" t="s">
        <v>14</v>
      </c>
      <c r="U12" s="702">
        <f t="shared" si="1"/>
        <v>100</v>
      </c>
      <c r="V12" s="701" t="s">
        <v>14</v>
      </c>
      <c r="W12" s="702">
        <f t="shared" si="2"/>
        <v>100</v>
      </c>
      <c r="X12" s="703"/>
      <c r="Y12" s="370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31"/>
      <c r="Q13" s="1343">
        <f t="shared" si="6"/>
        <v>111</v>
      </c>
      <c r="R13" s="701" t="s">
        <v>14</v>
      </c>
      <c r="S13" s="702">
        <f t="shared" si="0"/>
        <v>100</v>
      </c>
      <c r="T13" s="701" t="s">
        <v>14</v>
      </c>
      <c r="U13" s="702">
        <f t="shared" si="1"/>
        <v>100</v>
      </c>
      <c r="V13" s="701" t="s">
        <v>14</v>
      </c>
      <c r="W13" s="702">
        <f t="shared" si="2"/>
        <v>100</v>
      </c>
      <c r="X13" s="703"/>
      <c r="Y13" s="370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31"/>
      <c r="Q14" s="1343">
        <f t="shared" si="6"/>
        <v>111</v>
      </c>
      <c r="R14" s="701" t="s">
        <v>14</v>
      </c>
      <c r="S14" s="702">
        <f t="shared" si="0"/>
        <v>100</v>
      </c>
      <c r="T14" s="701" t="s">
        <v>14</v>
      </c>
      <c r="U14" s="702">
        <f t="shared" si="1"/>
        <v>100</v>
      </c>
      <c r="V14" s="701" t="s">
        <v>14</v>
      </c>
      <c r="W14" s="702">
        <f t="shared" si="2"/>
        <v>100</v>
      </c>
      <c r="X14" s="703"/>
      <c r="Y14" s="3706"/>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33" t="s">
        <v>1691</v>
      </c>
      <c r="Q15" s="1352" t="str">
        <f t="shared" si="6"/>
        <v>产业集聚程度</v>
      </c>
      <c r="R15" s="705" t="s">
        <v>14</v>
      </c>
      <c r="S15" s="706">
        <f t="shared" si="0"/>
        <v>100</v>
      </c>
      <c r="T15" s="705" t="s">
        <v>14</v>
      </c>
      <c r="U15" s="706">
        <f t="shared" si="1"/>
        <v>100</v>
      </c>
      <c r="V15" s="705" t="s">
        <v>14</v>
      </c>
      <c r="W15" s="706">
        <f t="shared" si="2"/>
        <v>100</v>
      </c>
      <c r="X15" s="1355"/>
      <c r="Y15" s="383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34"/>
      <c r="Q16" s="1352"/>
      <c r="R16" s="705"/>
      <c r="S16" s="706"/>
      <c r="T16" s="705"/>
      <c r="U16" s="706"/>
      <c r="V16" s="705"/>
      <c r="W16" s="706"/>
      <c r="X16" s="1355"/>
      <c r="Y16" s="3834"/>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34"/>
      <c r="Q17" s="1352" t="str">
        <f>B17</f>
        <v>交通便捷度</v>
      </c>
      <c r="R17" s="705" t="s">
        <v>14</v>
      </c>
      <c r="S17" s="706">
        <f>F17</f>
        <v>100</v>
      </c>
      <c r="T17" s="705" t="s">
        <v>14</v>
      </c>
      <c r="U17" s="706">
        <f>H17</f>
        <v>100</v>
      </c>
      <c r="V17" s="705" t="s">
        <v>14</v>
      </c>
      <c r="W17" s="706">
        <f>J17</f>
        <v>100</v>
      </c>
      <c r="X17" s="1355"/>
      <c r="Y17" s="383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34"/>
      <c r="Q18" s="1352"/>
      <c r="R18" s="705"/>
      <c r="S18" s="706"/>
      <c r="T18" s="705"/>
      <c r="U18" s="706"/>
      <c r="V18" s="705"/>
      <c r="W18" s="706"/>
      <c r="X18" s="1355"/>
      <c r="Y18" s="3834"/>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34"/>
      <c r="Q19" s="1352" t="str">
        <f t="shared" ref="Q19:Q33" si="8">B19</f>
        <v>区域土地利用方向</v>
      </c>
      <c r="R19" s="705" t="s">
        <v>14</v>
      </c>
      <c r="S19" s="706">
        <f>F19</f>
        <v>100</v>
      </c>
      <c r="T19" s="705" t="s">
        <v>14</v>
      </c>
      <c r="U19" s="706">
        <f>H19</f>
        <v>100</v>
      </c>
      <c r="V19" s="705" t="s">
        <v>14</v>
      </c>
      <c r="W19" s="706">
        <f>J19</f>
        <v>100</v>
      </c>
      <c r="X19" s="1355"/>
      <c r="Y19" s="383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34"/>
      <c r="Q20" s="1352"/>
      <c r="R20" s="705"/>
      <c r="S20" s="706"/>
      <c r="T20" s="705"/>
      <c r="U20" s="706"/>
      <c r="V20" s="705"/>
      <c r="W20" s="706"/>
      <c r="X20" s="1355"/>
      <c r="Y20" s="3834"/>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34"/>
      <c r="Q21" s="1352" t="str">
        <f t="shared" si="8"/>
        <v>环境状况</v>
      </c>
      <c r="R21" s="705" t="s">
        <v>14</v>
      </c>
      <c r="S21" s="706">
        <f>F21</f>
        <v>100</v>
      </c>
      <c r="T21" s="705" t="s">
        <v>14</v>
      </c>
      <c r="U21" s="706">
        <f>H21</f>
        <v>100</v>
      </c>
      <c r="V21" s="705" t="s">
        <v>14</v>
      </c>
      <c r="W21" s="706">
        <f>J21</f>
        <v>100</v>
      </c>
      <c r="X21" s="1355"/>
      <c r="Y21" s="383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34"/>
      <c r="Q22" s="1352"/>
      <c r="R22" s="705"/>
      <c r="S22" s="706"/>
      <c r="T22" s="705"/>
      <c r="U22" s="706"/>
      <c r="V22" s="705"/>
      <c r="W22" s="706"/>
      <c r="X22" s="1355"/>
      <c r="Y22" s="3834"/>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34"/>
      <c r="Q23" s="1343" t="str">
        <f t="shared" si="8"/>
        <v>公共配套设施</v>
      </c>
      <c r="R23" s="701" t="s">
        <v>14</v>
      </c>
      <c r="S23" s="702">
        <f>F23</f>
        <v>100</v>
      </c>
      <c r="T23" s="701" t="s">
        <v>14</v>
      </c>
      <c r="U23" s="702">
        <f>H23</f>
        <v>100</v>
      </c>
      <c r="V23" s="701" t="s">
        <v>14</v>
      </c>
      <c r="W23" s="702">
        <f>J23</f>
        <v>100</v>
      </c>
      <c r="X23" s="703"/>
      <c r="Y23" s="383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34"/>
      <c r="Q24" s="1343"/>
      <c r="R24" s="701"/>
      <c r="S24" s="702"/>
      <c r="T24" s="701"/>
      <c r="U24" s="702"/>
      <c r="V24" s="701"/>
      <c r="W24" s="702"/>
      <c r="X24" s="703"/>
      <c r="Y24" s="3834"/>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34"/>
      <c r="Q25" s="1343" t="str">
        <f t="shared" ref="Q25" si="9">B25</f>
        <v>基础设施水平</v>
      </c>
      <c r="R25" s="701" t="s">
        <v>14</v>
      </c>
      <c r="S25" s="702">
        <f>F25</f>
        <v>100</v>
      </c>
      <c r="T25" s="701" t="s">
        <v>14</v>
      </c>
      <c r="U25" s="702">
        <f>H25</f>
        <v>100</v>
      </c>
      <c r="V25" s="701" t="s">
        <v>14</v>
      </c>
      <c r="W25" s="702">
        <f>J25</f>
        <v>100</v>
      </c>
      <c r="X25" s="703"/>
      <c r="Y25" s="383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34"/>
      <c r="Q26" s="1343"/>
      <c r="R26" s="701"/>
      <c r="S26" s="702"/>
      <c r="T26" s="701"/>
      <c r="U26" s="702"/>
      <c r="V26" s="701"/>
      <c r="W26" s="702"/>
      <c r="X26" s="703"/>
      <c r="Y26" s="383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3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34"/>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34"/>
      <c r="Q28" s="1352" t="str">
        <f t="shared" si="8"/>
        <v>毗邻道路的类型与等级</v>
      </c>
      <c r="R28" s="705" t="s">
        <v>14</v>
      </c>
      <c r="S28" s="706">
        <f t="shared" si="10"/>
        <v>100</v>
      </c>
      <c r="T28" s="705" t="s">
        <v>14</v>
      </c>
      <c r="U28" s="706">
        <f t="shared" si="11"/>
        <v>100</v>
      </c>
      <c r="V28" s="705" t="s">
        <v>14</v>
      </c>
      <c r="W28" s="706">
        <f t="shared" si="12"/>
        <v>100</v>
      </c>
      <c r="X28" s="1355"/>
      <c r="Y28" s="383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34"/>
      <c r="Q29" s="1352"/>
      <c r="R29" s="705"/>
      <c r="S29" s="706"/>
      <c r="T29" s="705"/>
      <c r="U29" s="706"/>
      <c r="V29" s="705"/>
      <c r="W29" s="706"/>
      <c r="X29" s="1355"/>
      <c r="Y29" s="383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34"/>
      <c r="Q30" s="1352" t="str">
        <f t="shared" si="8"/>
        <v>土地级别</v>
      </c>
      <c r="R30" s="705" t="s">
        <v>14</v>
      </c>
      <c r="S30" s="706">
        <f t="shared" si="10"/>
        <v>100</v>
      </c>
      <c r="T30" s="705" t="s">
        <v>14</v>
      </c>
      <c r="U30" s="706">
        <f t="shared" si="11"/>
        <v>100</v>
      </c>
      <c r="V30" s="705" t="s">
        <v>14</v>
      </c>
      <c r="W30" s="706">
        <f t="shared" si="12"/>
        <v>100</v>
      </c>
      <c r="X30" s="1355"/>
      <c r="Y30" s="383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34"/>
      <c r="Q31" s="1352">
        <f t="shared" si="8"/>
        <v>111</v>
      </c>
      <c r="R31" s="705" t="s">
        <v>14</v>
      </c>
      <c r="S31" s="706">
        <f t="shared" si="10"/>
        <v>100</v>
      </c>
      <c r="T31" s="705" t="s">
        <v>14</v>
      </c>
      <c r="U31" s="706">
        <f t="shared" si="11"/>
        <v>100</v>
      </c>
      <c r="V31" s="705" t="s">
        <v>14</v>
      </c>
      <c r="W31" s="706">
        <f t="shared" si="12"/>
        <v>100</v>
      </c>
      <c r="X31" s="1355"/>
      <c r="Y31" s="383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98" t="s">
        <v>1696</v>
      </c>
      <c r="Q32" s="1352">
        <f t="shared" si="8"/>
        <v>111</v>
      </c>
      <c r="R32" s="705" t="s">
        <v>14</v>
      </c>
      <c r="S32" s="706">
        <f t="shared" si="10"/>
        <v>100</v>
      </c>
      <c r="T32" s="705" t="s">
        <v>14</v>
      </c>
      <c r="U32" s="706">
        <f t="shared" si="11"/>
        <v>100</v>
      </c>
      <c r="V32" s="705" t="s">
        <v>14</v>
      </c>
      <c r="W32" s="706">
        <f t="shared" si="12"/>
        <v>100</v>
      </c>
      <c r="X32" s="1355"/>
      <c r="Y32" s="3838"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38"/>
      <c r="Q33" s="1352">
        <f t="shared" si="8"/>
        <v>111</v>
      </c>
      <c r="R33" s="708" t="s">
        <v>14</v>
      </c>
      <c r="S33" s="709">
        <f t="shared" si="10"/>
        <v>100</v>
      </c>
      <c r="T33" s="708" t="s">
        <v>14</v>
      </c>
      <c r="U33" s="709">
        <f t="shared" si="11"/>
        <v>100</v>
      </c>
      <c r="V33" s="708" t="s">
        <v>14</v>
      </c>
      <c r="W33" s="709">
        <f t="shared" si="12"/>
        <v>100</v>
      </c>
      <c r="X33" s="710"/>
      <c r="Y33" s="383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38"/>
      <c r="Q34" s="1352" t="str">
        <f>B34</f>
        <v>宗地面积</v>
      </c>
      <c r="R34" s="705" t="s">
        <v>14</v>
      </c>
      <c r="S34" s="706" t="e">
        <f t="shared" si="10"/>
        <v>#N/A</v>
      </c>
      <c r="T34" s="705" t="s">
        <v>14</v>
      </c>
      <c r="U34" s="706" t="e">
        <f t="shared" si="11"/>
        <v>#N/A</v>
      </c>
      <c r="V34" s="705" t="s">
        <v>14</v>
      </c>
      <c r="W34" s="706" t="e">
        <f t="shared" si="12"/>
        <v>#N/A</v>
      </c>
      <c r="X34" s="1355"/>
      <c r="Y34" s="383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38"/>
      <c r="Q35" s="1352" t="str">
        <f t="shared" ref="Q35:Q40" si="14">B35</f>
        <v>宗地形状</v>
      </c>
      <c r="R35" s="705" t="s">
        <v>14</v>
      </c>
      <c r="S35" s="706">
        <f t="shared" si="10"/>
        <v>100</v>
      </c>
      <c r="T35" s="705" t="s">
        <v>14</v>
      </c>
      <c r="U35" s="706">
        <f t="shared" si="11"/>
        <v>100</v>
      </c>
      <c r="V35" s="705" t="s">
        <v>14</v>
      </c>
      <c r="W35" s="706">
        <f t="shared" si="12"/>
        <v>100</v>
      </c>
      <c r="X35" s="1355"/>
      <c r="Y35" s="383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38"/>
      <c r="Q36" s="1352" t="str">
        <f t="shared" si="14"/>
        <v>宗地开发程度</v>
      </c>
      <c r="R36" s="701" t="s">
        <v>14</v>
      </c>
      <c r="S36" s="702">
        <f t="shared" si="10"/>
        <v>100</v>
      </c>
      <c r="T36" s="701" t="s">
        <v>14</v>
      </c>
      <c r="U36" s="702">
        <f t="shared" si="11"/>
        <v>100</v>
      </c>
      <c r="V36" s="701" t="s">
        <v>14</v>
      </c>
      <c r="W36" s="702">
        <f t="shared" si="12"/>
        <v>100</v>
      </c>
      <c r="X36" s="703"/>
      <c r="Y36" s="383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38" t="s">
        <v>1696</v>
      </c>
      <c r="Q37" s="1352" t="str">
        <f t="shared" si="14"/>
        <v>工程地质条件</v>
      </c>
      <c r="R37" s="705" t="s">
        <v>14</v>
      </c>
      <c r="S37" s="706">
        <f t="shared" si="10"/>
        <v>100</v>
      </c>
      <c r="T37" s="705" t="s">
        <v>14</v>
      </c>
      <c r="U37" s="706">
        <f t="shared" si="11"/>
        <v>100</v>
      </c>
      <c r="V37" s="705" t="s">
        <v>14</v>
      </c>
      <c r="W37" s="706">
        <f t="shared" si="12"/>
        <v>100</v>
      </c>
      <c r="X37" s="1355"/>
      <c r="Y37" s="383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38"/>
      <c r="Q38" s="1352">
        <f t="shared" si="14"/>
        <v>111</v>
      </c>
      <c r="R38" s="705" t="s">
        <v>14</v>
      </c>
      <c r="S38" s="706">
        <f t="shared" si="10"/>
        <v>100</v>
      </c>
      <c r="T38" s="705" t="s">
        <v>14</v>
      </c>
      <c r="U38" s="706">
        <f t="shared" si="11"/>
        <v>100</v>
      </c>
      <c r="V38" s="705" t="s">
        <v>14</v>
      </c>
      <c r="W38" s="706">
        <f t="shared" si="12"/>
        <v>100</v>
      </c>
      <c r="X38" s="1355"/>
      <c r="Y38" s="383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38"/>
      <c r="Q39" s="1352">
        <f t="shared" si="14"/>
        <v>111</v>
      </c>
      <c r="R39" s="705" t="s">
        <v>14</v>
      </c>
      <c r="S39" s="706">
        <f t="shared" si="10"/>
        <v>100</v>
      </c>
      <c r="T39" s="705" t="s">
        <v>14</v>
      </c>
      <c r="U39" s="706">
        <f t="shared" si="11"/>
        <v>100</v>
      </c>
      <c r="V39" s="705" t="s">
        <v>14</v>
      </c>
      <c r="W39" s="706">
        <f t="shared" si="12"/>
        <v>100</v>
      </c>
      <c r="X39" s="1355"/>
      <c r="Y39" s="383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38"/>
      <c r="Q40" s="1352">
        <f t="shared" si="14"/>
        <v>111</v>
      </c>
      <c r="R40" s="708" t="s">
        <v>14</v>
      </c>
      <c r="S40" s="709">
        <f t="shared" si="10"/>
        <v>100</v>
      </c>
      <c r="T40" s="708" t="s">
        <v>14</v>
      </c>
      <c r="U40" s="709">
        <f t="shared" si="11"/>
        <v>100</v>
      </c>
      <c r="V40" s="708" t="s">
        <v>14</v>
      </c>
      <c r="W40" s="709">
        <f t="shared" si="12"/>
        <v>100</v>
      </c>
      <c r="X40" s="710"/>
      <c r="Y40" s="3838"/>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831" t="str">
        <f>A41</f>
        <v>成交单价</v>
      </c>
      <c r="Q41" s="3831"/>
      <c r="R41" s="3862">
        <f>E41</f>
        <v>0</v>
      </c>
      <c r="S41" s="3862"/>
      <c r="T41" s="3862">
        <f>G41</f>
        <v>0</v>
      </c>
      <c r="U41" s="3862"/>
      <c r="V41" s="3862">
        <f>I41</f>
        <v>0</v>
      </c>
      <c r="W41" s="3862"/>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31" t="str">
        <f>A42</f>
        <v>比较价值（元/平方米）</v>
      </c>
      <c r="Q42" s="3831"/>
      <c r="R42" s="3900" t="e">
        <f>ROUND(PRODUCT(R41,AA7:AA40),0)</f>
        <v>#DIV/0!</v>
      </c>
      <c r="S42" s="3900"/>
      <c r="T42" s="3900" t="e">
        <f>ROUND(PRODUCT(T41,AB7:AB40),0)</f>
        <v>#DIV/0!</v>
      </c>
      <c r="U42" s="3900"/>
      <c r="V42" s="3900" t="e">
        <f>ROUND(PRODUCT(V41,AC7:AC40),0)</f>
        <v>#DIV/0!</v>
      </c>
      <c r="W42" s="390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828" t="str">
        <f>A43</f>
        <v>估价对象XX用房的比较价值（楼面单价，元/平方米）</v>
      </c>
      <c r="Q43" s="3829"/>
      <c r="R43" s="3901" t="e">
        <f>ROUND(IF(D42="简单平均",AVERAGE(R42:W42),R42*F42+T42*H42+V42*J42),0)</f>
        <v>#DIV/0!</v>
      </c>
      <c r="S43" s="3901"/>
      <c r="T43" s="3901"/>
      <c r="U43" s="3901"/>
      <c r="V43" s="3901"/>
      <c r="W43" s="390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846" t="s">
        <v>1887</v>
      </c>
      <c r="H50" s="390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79.7</v>
      </c>
      <c r="F51" s="639" t="e">
        <f t="shared" ref="F51:F60" si="15">ROUND(B51*E51/10000,0)</f>
        <v>#DIV/0!</v>
      </c>
      <c r="G51" s="3842"/>
      <c r="H51" s="383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2004-9-1</v>
      </c>
      <c r="D63" s="692">
        <f>EDATE(C63,-3)</f>
        <v>38139</v>
      </c>
      <c r="E63" s="692">
        <f>EDATE(D63,-3)</f>
        <v>38047</v>
      </c>
      <c r="F63" s="692">
        <f t="shared" ref="F63:O63" si="18">EDATE(E63,-3)</f>
        <v>37956</v>
      </c>
      <c r="G63" s="692">
        <f t="shared" si="18"/>
        <v>37865</v>
      </c>
      <c r="H63" s="692">
        <f t="shared" si="18"/>
        <v>37773</v>
      </c>
      <c r="I63" s="692">
        <f t="shared" si="18"/>
        <v>37681</v>
      </c>
      <c r="J63" s="692">
        <f t="shared" si="18"/>
        <v>37591</v>
      </c>
      <c r="K63" s="692">
        <f t="shared" si="18"/>
        <v>37500</v>
      </c>
      <c r="L63" s="692">
        <f t="shared" si="18"/>
        <v>37408</v>
      </c>
      <c r="M63" s="692">
        <f t="shared" si="18"/>
        <v>37316</v>
      </c>
      <c r="N63" s="692">
        <f t="shared" si="18"/>
        <v>37226</v>
      </c>
      <c r="O63" s="692">
        <f t="shared" si="18"/>
        <v>37135</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2004-3</v>
      </c>
      <c r="D65" s="1182" t="str">
        <f t="shared" ref="D65:O65" si="19">YEAR(D63)&amp;"-"&amp;ROUNDUP(MONTH(D63)/3,0)</f>
        <v>2004-2</v>
      </c>
      <c r="E65" s="1182" t="str">
        <f t="shared" si="19"/>
        <v>2004-1</v>
      </c>
      <c r="F65" s="1182" t="str">
        <f t="shared" si="19"/>
        <v>2003-4</v>
      </c>
      <c r="G65" s="1182" t="str">
        <f t="shared" si="19"/>
        <v>2003-3</v>
      </c>
      <c r="H65" s="1182" t="str">
        <f t="shared" si="19"/>
        <v>2003-2</v>
      </c>
      <c r="I65" s="1182" t="str">
        <f t="shared" si="19"/>
        <v>2003-1</v>
      </c>
      <c r="J65" s="1182" t="str">
        <f t="shared" si="19"/>
        <v>2002-4</v>
      </c>
      <c r="K65" s="1182" t="str">
        <f t="shared" si="19"/>
        <v>2002-3</v>
      </c>
      <c r="L65" s="1182" t="str">
        <f t="shared" si="19"/>
        <v>2002-2</v>
      </c>
      <c r="M65" s="1182" t="str">
        <f t="shared" si="19"/>
        <v>2002-1</v>
      </c>
      <c r="N65" s="1182" t="str">
        <f t="shared" si="19"/>
        <v>2001-4</v>
      </c>
      <c r="O65" s="1182" t="str">
        <f t="shared" si="19"/>
        <v>2001-3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10" t="s">
        <v>2084</v>
      </c>
      <c r="D1" s="3911"/>
      <c r="E1" s="3911"/>
      <c r="F1" s="3911"/>
      <c r="G1" s="3911"/>
      <c r="H1" s="3911"/>
      <c r="I1" s="3911"/>
      <c r="J1" s="3911"/>
      <c r="K1" s="3911"/>
      <c r="L1" s="3911"/>
      <c r="M1" s="3911"/>
      <c r="N1" s="3911"/>
      <c r="O1" s="3911"/>
      <c r="P1" s="3911"/>
      <c r="Q1" s="3911"/>
      <c r="R1" s="3911"/>
      <c r="S1" s="391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07" t="s">
        <v>27</v>
      </c>
      <c r="D22" s="3908"/>
      <c r="E22" s="3908"/>
      <c r="F22" s="3908"/>
      <c r="G22" s="3908"/>
      <c r="H22" s="3908"/>
      <c r="I22" s="3908"/>
      <c r="J22" s="3908"/>
      <c r="K22" s="3908"/>
      <c r="L22" s="3908"/>
      <c r="M22" s="3908"/>
      <c r="N22" s="3908"/>
      <c r="O22" s="3908"/>
      <c r="P22" s="3908"/>
      <c r="Q22" s="390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20"/>
      <c r="B4" s="3921"/>
      <c r="C4" s="3921"/>
      <c r="D4" s="3922"/>
      <c r="E4" s="3922"/>
      <c r="F4" s="3922"/>
      <c r="G4" s="3922"/>
      <c r="H4" s="3922"/>
      <c r="I4" s="3922"/>
      <c r="J4" s="392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17" t="s">
        <v>1960</v>
      </c>
      <c r="X8" s="391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19"/>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1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24" t="s">
        <v>3255</v>
      </c>
      <c r="B20" s="167" t="s">
        <v>1994</v>
      </c>
      <c r="C20" s="3325" t="e">
        <f>ROUND(IF(F21="与级别开发程度一致",0,(G21-E21)/C21),0)</f>
        <v>#DIV/0!</v>
      </c>
      <c r="D20" s="3341" t="s">
        <v>1998</v>
      </c>
      <c r="E20" s="3342"/>
      <c r="F20" s="3930" t="s">
        <v>1995</v>
      </c>
      <c r="G20" s="393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2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38260</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5.4900000000000004E-2</v>
      </c>
      <c r="M36" s="3358">
        <f ca="1">ROUND($L$36*(1+M31),3)</f>
        <v>6.9000000000000006E-2</v>
      </c>
      <c r="N36" s="3358">
        <f ca="1">ROUND($L$36*(1+N31),3)</f>
        <v>6.6000000000000003E-2</v>
      </c>
      <c r="O36" s="3358">
        <f ca="1">ROUND($L$36*(1+O31),3)</f>
        <v>6.3E-2</v>
      </c>
      <c r="P36" s="3358">
        <f ca="1">ROUND($L$36*(1+P31),3)</f>
        <v>0.06</v>
      </c>
      <c r="Q36" s="3358">
        <f ca="1">ROUND($L$36*(1+Q31),3)</f>
        <v>6.3E-2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2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5.9900000000000002E-2</v>
      </c>
      <c r="M37" s="3358">
        <f ca="1">ROUND($L$37*(1+M31),3)</f>
        <v>7.4999999999999997E-2</v>
      </c>
      <c r="N37" s="3358">
        <f t="shared" ref="N37:Q37" ca="1" si="3">ROUND($L$37*(1+N31),3)</f>
        <v>7.1999999999999995E-2</v>
      </c>
      <c r="O37" s="3358">
        <f t="shared" ca="1" si="3"/>
        <v>6.9000000000000006E-2</v>
      </c>
      <c r="P37" s="3358">
        <f t="shared" ca="1" si="3"/>
        <v>6.6000000000000003E-2</v>
      </c>
      <c r="Q37" s="3358">
        <f t="shared" ca="1" si="3"/>
        <v>6.9000000000000006E-2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2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29"/>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26" t="s">
        <v>3295</v>
      </c>
      <c r="B103" s="3926"/>
      <c r="C103" s="3926"/>
      <c r="D103" s="3926"/>
      <c r="E103" s="3926"/>
      <c r="F103" s="3926"/>
      <c r="G103" s="3926"/>
      <c r="H103" s="3926"/>
      <c r="I103" s="3926"/>
      <c r="J103" s="3926"/>
      <c r="K103" s="3390"/>
      <c r="L103" s="3390"/>
      <c r="M103" s="3390"/>
      <c r="N103" s="3390"/>
    </row>
    <row r="104" spans="1:14">
      <c r="A104" s="3927" t="s">
        <v>3296</v>
      </c>
      <c r="B104" s="3927" t="s">
        <v>3297</v>
      </c>
      <c r="C104" s="3391" t="s">
        <v>3298</v>
      </c>
      <c r="D104" s="3392"/>
      <c r="E104" s="3392"/>
      <c r="F104" s="3392"/>
      <c r="G104" s="3392"/>
      <c r="H104" s="3392"/>
      <c r="I104" s="3392"/>
      <c r="J104" s="3393"/>
      <c r="K104" s="3394"/>
      <c r="L104" s="3394"/>
      <c r="M104" s="3394"/>
      <c r="N104" s="3394"/>
    </row>
    <row r="105" spans="1:14">
      <c r="A105" s="3927"/>
      <c r="B105" s="3927"/>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913"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1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1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1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1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14"/>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1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16" t="s">
        <v>3312</v>
      </c>
      <c r="B113" s="3916"/>
      <c r="C113" s="3916"/>
      <c r="D113" s="3916"/>
      <c r="E113" s="3916"/>
      <c r="F113" s="3916"/>
      <c r="G113" s="3916"/>
      <c r="H113" s="3916"/>
      <c r="I113" s="3916"/>
      <c r="J113" s="391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941" t="s">
        <v>2608</v>
      </c>
      <c r="B20" s="3936" t="s">
        <v>2629</v>
      </c>
      <c r="C20" s="3103" t="s">
        <v>2440</v>
      </c>
      <c r="D20" s="3104"/>
      <c r="E20" s="3105">
        <v>1</v>
      </c>
      <c r="F20" s="3106" t="s">
        <v>2441</v>
      </c>
      <c r="G20" s="3106"/>
    </row>
    <row r="21" spans="1:13" ht="19.5" customHeight="1">
      <c r="A21" s="3942"/>
      <c r="B21" s="3935"/>
      <c r="C21" s="3107" t="s">
        <v>2442</v>
      </c>
      <c r="D21" s="3108"/>
      <c r="E21" s="3109">
        <v>1</v>
      </c>
      <c r="F21" s="3106" t="s">
        <v>2443</v>
      </c>
      <c r="G21" s="3106"/>
    </row>
    <row r="22" spans="1:13" ht="19.5" customHeight="1">
      <c r="A22" s="3942"/>
      <c r="B22" s="3935"/>
      <c r="C22" s="3107" t="s">
        <v>2444</v>
      </c>
      <c r="D22" s="3108"/>
      <c r="E22" s="3109">
        <v>0.9</v>
      </c>
      <c r="F22" s="3106" t="s">
        <v>2445</v>
      </c>
      <c r="G22" s="3106"/>
    </row>
    <row r="23" spans="1:13" ht="19.5" customHeight="1">
      <c r="A23" s="3942"/>
      <c r="B23" s="3935"/>
      <c r="C23" s="3107" t="s">
        <v>2446</v>
      </c>
      <c r="D23" s="3108"/>
      <c r="E23" s="3109">
        <v>0.9</v>
      </c>
      <c r="F23" s="3106" t="s">
        <v>2447</v>
      </c>
      <c r="G23" s="3106"/>
    </row>
    <row r="24" spans="1:13" ht="19.5" customHeight="1">
      <c r="A24" s="3942"/>
      <c r="B24" s="3935"/>
      <c r="C24" s="3107" t="s">
        <v>2448</v>
      </c>
      <c r="D24" s="3108"/>
      <c r="E24" s="3109">
        <v>0.8</v>
      </c>
      <c r="F24" s="3106" t="s">
        <v>2449</v>
      </c>
      <c r="G24" s="3106"/>
    </row>
    <row r="25" spans="1:13" ht="19.5" customHeight="1" thickBot="1">
      <c r="A25" s="3943"/>
      <c r="B25" s="3937"/>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938" t="s">
        <v>2632</v>
      </c>
      <c r="B27" s="3936" t="s">
        <v>2613</v>
      </c>
      <c r="C27" s="3103" t="s">
        <v>2453</v>
      </c>
      <c r="D27" s="3104"/>
      <c r="E27" s="3105">
        <v>1</v>
      </c>
      <c r="F27" s="3106" t="s">
        <v>2454</v>
      </c>
      <c r="G27" s="3106"/>
    </row>
    <row r="28" spans="1:13" ht="19.5" customHeight="1">
      <c r="A28" s="3939"/>
      <c r="B28" s="3935"/>
      <c r="C28" s="3107" t="s">
        <v>2455</v>
      </c>
      <c r="D28" s="3108"/>
      <c r="E28" s="3109">
        <v>1</v>
      </c>
      <c r="F28" s="3106" t="s">
        <v>2456</v>
      </c>
      <c r="G28" s="3106"/>
    </row>
    <row r="29" spans="1:13" ht="19.5" customHeight="1">
      <c r="A29" s="3939"/>
      <c r="B29" s="3935"/>
      <c r="C29" s="3107" t="s">
        <v>2457</v>
      </c>
      <c r="D29" s="3108"/>
      <c r="E29" s="3109">
        <v>0.8</v>
      </c>
      <c r="F29" s="3106" t="s">
        <v>2458</v>
      </c>
      <c r="G29" s="3106"/>
    </row>
    <row r="30" spans="1:13" ht="19.5" customHeight="1">
      <c r="A30" s="3939"/>
      <c r="B30" s="3935"/>
      <c r="C30" s="3107" t="s">
        <v>2459</v>
      </c>
      <c r="D30" s="3108"/>
      <c r="E30" s="3109">
        <v>0.8</v>
      </c>
      <c r="F30" s="3106" t="s">
        <v>2460</v>
      </c>
      <c r="G30" s="3106"/>
    </row>
    <row r="31" spans="1:13" ht="19.5" customHeight="1">
      <c r="A31" s="3939"/>
      <c r="B31" s="3935"/>
      <c r="C31" s="3107" t="s">
        <v>2461</v>
      </c>
      <c r="D31" s="3108"/>
      <c r="E31" s="3109">
        <v>0.8</v>
      </c>
      <c r="F31" s="3106" t="s">
        <v>2462</v>
      </c>
      <c r="G31" s="3106"/>
    </row>
    <row r="32" spans="1:13" ht="19.5" customHeight="1">
      <c r="A32" s="3939"/>
      <c r="B32" s="3935"/>
      <c r="C32" s="3107" t="s">
        <v>2463</v>
      </c>
      <c r="D32" s="3108"/>
      <c r="E32" s="3109">
        <v>0.7</v>
      </c>
      <c r="F32" s="3106" t="s">
        <v>2464</v>
      </c>
      <c r="G32" s="3106"/>
    </row>
    <row r="33" spans="1:7" ht="19.5" customHeight="1">
      <c r="A33" s="3939"/>
      <c r="B33" s="3935"/>
      <c r="C33" s="3107" t="s">
        <v>2465</v>
      </c>
      <c r="D33" s="3108"/>
      <c r="E33" s="3109">
        <v>0.8</v>
      </c>
      <c r="F33" s="3106" t="s">
        <v>2466</v>
      </c>
      <c r="G33" s="3106"/>
    </row>
    <row r="34" spans="1:7" ht="19.5" customHeight="1">
      <c r="A34" s="3939"/>
      <c r="B34" s="3935"/>
      <c r="C34" s="3107" t="s">
        <v>2467</v>
      </c>
      <c r="D34" s="3108"/>
      <c r="E34" s="3109">
        <v>0.6</v>
      </c>
      <c r="F34" s="3106" t="s">
        <v>2468</v>
      </c>
      <c r="G34" s="3106"/>
    </row>
    <row r="35" spans="1:7" ht="19.5" customHeight="1">
      <c r="A35" s="3939"/>
      <c r="B35" s="3935"/>
      <c r="C35" s="3107" t="s">
        <v>2469</v>
      </c>
      <c r="D35" s="3108"/>
      <c r="E35" s="3109">
        <v>0.2</v>
      </c>
      <c r="F35" s="3106" t="s">
        <v>2470</v>
      </c>
      <c r="G35" s="3106"/>
    </row>
    <row r="36" spans="1:7" ht="19.5" customHeight="1">
      <c r="A36" s="3939"/>
      <c r="B36" s="3935"/>
      <c r="C36" s="3107" t="s">
        <v>2471</v>
      </c>
      <c r="D36" s="3108"/>
      <c r="E36" s="3109">
        <v>0.2</v>
      </c>
      <c r="F36" s="3106" t="s">
        <v>2472</v>
      </c>
      <c r="G36" s="3106"/>
    </row>
    <row r="37" spans="1:7" ht="19.5" customHeight="1">
      <c r="A37" s="3939"/>
      <c r="B37" s="3933" t="s">
        <v>2633</v>
      </c>
      <c r="C37" s="3107" t="s">
        <v>2473</v>
      </c>
      <c r="D37" s="3108"/>
      <c r="E37" s="3109">
        <v>0.6</v>
      </c>
      <c r="F37" s="3106" t="s">
        <v>2474</v>
      </c>
      <c r="G37" s="3106"/>
    </row>
    <row r="38" spans="1:7" ht="19.5" customHeight="1">
      <c r="A38" s="3939"/>
      <c r="B38" s="3935"/>
      <c r="C38" s="3107" t="s">
        <v>2475</v>
      </c>
      <c r="D38" s="3108"/>
      <c r="E38" s="3109">
        <v>0.6</v>
      </c>
      <c r="F38" s="3106" t="s">
        <v>2476</v>
      </c>
      <c r="G38" s="3106"/>
    </row>
    <row r="39" spans="1:7" ht="19.5" customHeight="1" thickBot="1">
      <c r="A39" s="3940"/>
      <c r="B39" s="3937"/>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941" t="s">
        <v>2611</v>
      </c>
      <c r="B41" s="3936" t="s">
        <v>2635</v>
      </c>
      <c r="C41" s="3103" t="s">
        <v>2480</v>
      </c>
      <c r="D41" s="3104"/>
      <c r="E41" s="3105">
        <v>1</v>
      </c>
      <c r="F41" s="3106" t="s">
        <v>2481</v>
      </c>
      <c r="G41" s="3106"/>
    </row>
    <row r="42" spans="1:7" ht="19.5" customHeight="1">
      <c r="A42" s="3942"/>
      <c r="B42" s="3935"/>
      <c r="C42" s="3107" t="s">
        <v>2482</v>
      </c>
      <c r="D42" s="3108"/>
      <c r="E42" s="3109">
        <v>1</v>
      </c>
      <c r="F42" s="3106" t="s">
        <v>2483</v>
      </c>
      <c r="G42" s="3106"/>
    </row>
    <row r="43" spans="1:7" ht="19.5" customHeight="1">
      <c r="A43" s="3942"/>
      <c r="B43" s="3934"/>
      <c r="C43" s="3107" t="s">
        <v>2484</v>
      </c>
      <c r="D43" s="3108"/>
      <c r="E43" s="3109">
        <v>1.5</v>
      </c>
      <c r="F43" s="3106" t="s">
        <v>2485</v>
      </c>
      <c r="G43" s="3106"/>
    </row>
    <row r="44" spans="1:7" ht="19.5" customHeight="1">
      <c r="A44" s="3942"/>
      <c r="B44" s="3118" t="s">
        <v>2636</v>
      </c>
      <c r="C44" s="3107" t="s">
        <v>2637</v>
      </c>
      <c r="D44" s="3108"/>
      <c r="E44" s="3109">
        <v>2</v>
      </c>
      <c r="F44" s="3106" t="s">
        <v>2486</v>
      </c>
      <c r="G44" s="3106"/>
    </row>
    <row r="45" spans="1:7" ht="19.5" customHeight="1">
      <c r="A45" s="3942"/>
      <c r="B45" s="3933" t="s">
        <v>2638</v>
      </c>
      <c r="C45" s="3107" t="s">
        <v>2487</v>
      </c>
      <c r="D45" s="3108"/>
      <c r="E45" s="3109">
        <v>1</v>
      </c>
      <c r="F45" s="3106" t="s">
        <v>2488</v>
      </c>
      <c r="G45" s="3106"/>
    </row>
    <row r="46" spans="1:7" ht="19.5" customHeight="1">
      <c r="A46" s="3942"/>
      <c r="B46" s="3935"/>
      <c r="C46" s="3107" t="s">
        <v>2489</v>
      </c>
      <c r="D46" s="3108"/>
      <c r="E46" s="3109">
        <v>1</v>
      </c>
      <c r="F46" s="3106" t="s">
        <v>2490</v>
      </c>
      <c r="G46" s="3106"/>
    </row>
    <row r="47" spans="1:7" ht="19.5" customHeight="1">
      <c r="A47" s="3942"/>
      <c r="B47" s="3935"/>
      <c r="C47" s="3107" t="s">
        <v>2491</v>
      </c>
      <c r="D47" s="3108"/>
      <c r="E47" s="3109">
        <v>1</v>
      </c>
      <c r="F47" s="3106" t="s">
        <v>2492</v>
      </c>
      <c r="G47" s="3106"/>
    </row>
    <row r="48" spans="1:7" ht="19.5" customHeight="1">
      <c r="A48" s="3942"/>
      <c r="B48" s="3935"/>
      <c r="C48" s="3107" t="s">
        <v>2493</v>
      </c>
      <c r="D48" s="3108"/>
      <c r="E48" s="3109">
        <v>1</v>
      </c>
      <c r="F48" s="3106" t="s">
        <v>2494</v>
      </c>
      <c r="G48" s="3106"/>
    </row>
    <row r="49" spans="1:7" ht="19.5" customHeight="1">
      <c r="A49" s="3942"/>
      <c r="B49" s="3935"/>
      <c r="C49" s="3107" t="s">
        <v>2495</v>
      </c>
      <c r="D49" s="3108"/>
      <c r="E49" s="3109">
        <v>1</v>
      </c>
      <c r="F49" s="3106" t="s">
        <v>2496</v>
      </c>
      <c r="G49" s="3106"/>
    </row>
    <row r="50" spans="1:7" ht="19.5" customHeight="1">
      <c r="A50" s="3942"/>
      <c r="B50" s="3935"/>
      <c r="C50" s="3107" t="s">
        <v>2497</v>
      </c>
      <c r="D50" s="3108"/>
      <c r="E50" s="3109">
        <v>1</v>
      </c>
      <c r="F50" s="3106" t="s">
        <v>2498</v>
      </c>
      <c r="G50" s="3106"/>
    </row>
    <row r="51" spans="1:7" ht="19.5" customHeight="1" thickBot="1">
      <c r="A51" s="3943"/>
      <c r="B51" s="3937"/>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933" t="s">
        <v>2652</v>
      </c>
      <c r="C73" s="3092" t="s">
        <v>2653</v>
      </c>
      <c r="D73" s="3092" t="s">
        <v>2654</v>
      </c>
      <c r="E73" s="3118">
        <v>0.2</v>
      </c>
      <c r="F73" s="3118">
        <v>25</v>
      </c>
    </row>
    <row r="74" spans="1:7" ht="24">
      <c r="A74" s="3118">
        <v>2</v>
      </c>
      <c r="B74" s="3935"/>
      <c r="C74" s="3092" t="s">
        <v>2655</v>
      </c>
      <c r="D74" s="3092" t="s">
        <v>2656</v>
      </c>
      <c r="E74" s="3118">
        <v>0.2</v>
      </c>
      <c r="F74" s="3118">
        <v>25</v>
      </c>
    </row>
    <row r="75" spans="1:7" ht="24">
      <c r="A75" s="3118">
        <v>3</v>
      </c>
      <c r="B75" s="3935"/>
      <c r="C75" s="3092" t="s">
        <v>2657</v>
      </c>
      <c r="D75" s="3092" t="s">
        <v>2658</v>
      </c>
      <c r="E75" s="3118">
        <v>0.2</v>
      </c>
      <c r="F75" s="3118">
        <v>25</v>
      </c>
    </row>
    <row r="76" spans="1:7" ht="14.4">
      <c r="A76" s="3118">
        <v>4</v>
      </c>
      <c r="B76" s="3935"/>
      <c r="C76" s="3092" t="s">
        <v>2659</v>
      </c>
      <c r="D76" s="3092" t="s">
        <v>2660</v>
      </c>
      <c r="E76" s="3118">
        <v>0.15</v>
      </c>
      <c r="F76" s="3118">
        <v>20</v>
      </c>
    </row>
    <row r="77" spans="1:7" ht="24">
      <c r="A77" s="3118">
        <v>5</v>
      </c>
      <c r="B77" s="3935"/>
      <c r="C77" s="3092" t="s">
        <v>2661</v>
      </c>
      <c r="D77" s="3092" t="s">
        <v>2662</v>
      </c>
      <c r="E77" s="3118">
        <v>0.15</v>
      </c>
      <c r="F77" s="3118">
        <v>20</v>
      </c>
    </row>
    <row r="78" spans="1:7" ht="24">
      <c r="A78" s="3118">
        <v>6</v>
      </c>
      <c r="B78" s="3935"/>
      <c r="C78" s="3092" t="s">
        <v>2663</v>
      </c>
      <c r="D78" s="3092" t="s">
        <v>2664</v>
      </c>
      <c r="E78" s="3118">
        <v>0.15</v>
      </c>
      <c r="F78" s="3118">
        <v>20</v>
      </c>
    </row>
    <row r="79" spans="1:7" ht="24">
      <c r="A79" s="3118">
        <v>7</v>
      </c>
      <c r="B79" s="3935"/>
      <c r="C79" s="3092" t="s">
        <v>2665</v>
      </c>
      <c r="D79" s="3092" t="s">
        <v>2666</v>
      </c>
      <c r="E79" s="3118">
        <v>0.15</v>
      </c>
      <c r="F79" s="3118">
        <v>20</v>
      </c>
    </row>
    <row r="80" spans="1:7" ht="24">
      <c r="A80" s="3118">
        <v>8</v>
      </c>
      <c r="B80" s="3935"/>
      <c r="C80" s="3092" t="s">
        <v>2667</v>
      </c>
      <c r="D80" s="3092" t="s">
        <v>2668</v>
      </c>
      <c r="E80" s="3118">
        <v>0.1</v>
      </c>
      <c r="F80" s="3118">
        <v>15</v>
      </c>
    </row>
    <row r="81" spans="1:6" ht="24">
      <c r="A81" s="3118">
        <v>9</v>
      </c>
      <c r="B81" s="3935"/>
      <c r="C81" s="3092" t="s">
        <v>2669</v>
      </c>
      <c r="D81" s="3092" t="s">
        <v>2670</v>
      </c>
      <c r="E81" s="3118">
        <v>0.1</v>
      </c>
      <c r="F81" s="3118">
        <v>15</v>
      </c>
    </row>
    <row r="82" spans="1:6" ht="24">
      <c r="A82" s="3118">
        <v>10</v>
      </c>
      <c r="B82" s="3935"/>
      <c r="C82" s="3092" t="s">
        <v>2671</v>
      </c>
      <c r="D82" s="3092" t="s">
        <v>2672</v>
      </c>
      <c r="E82" s="3118">
        <v>0.1</v>
      </c>
      <c r="F82" s="3118">
        <v>15</v>
      </c>
    </row>
    <row r="83" spans="1:6" ht="24">
      <c r="A83" s="3118">
        <v>11</v>
      </c>
      <c r="B83" s="3935"/>
      <c r="C83" s="3092" t="s">
        <v>2673</v>
      </c>
      <c r="D83" s="3092" t="s">
        <v>2674</v>
      </c>
      <c r="E83" s="3118">
        <v>0.1</v>
      </c>
      <c r="F83" s="3118">
        <v>15</v>
      </c>
    </row>
    <row r="84" spans="1:6" ht="24">
      <c r="A84" s="3118">
        <v>12</v>
      </c>
      <c r="B84" s="3935"/>
      <c r="C84" s="3092" t="s">
        <v>2675</v>
      </c>
      <c r="D84" s="3092" t="s">
        <v>2676</v>
      </c>
      <c r="E84" s="3118">
        <v>0.1</v>
      </c>
      <c r="F84" s="3118">
        <v>15</v>
      </c>
    </row>
    <row r="85" spans="1:6" ht="24">
      <c r="A85" s="3118">
        <v>13</v>
      </c>
      <c r="B85" s="3935"/>
      <c r="C85" s="3092" t="s">
        <v>2677</v>
      </c>
      <c r="D85" s="3092" t="s">
        <v>2678</v>
      </c>
      <c r="E85" s="3118">
        <v>0.1</v>
      </c>
      <c r="F85" s="3118">
        <v>15</v>
      </c>
    </row>
    <row r="86" spans="1:6" ht="24">
      <c r="A86" s="3118">
        <v>14</v>
      </c>
      <c r="B86" s="3935"/>
      <c r="C86" s="3092" t="s">
        <v>2679</v>
      </c>
      <c r="D86" s="3092" t="s">
        <v>2680</v>
      </c>
      <c r="E86" s="3118">
        <v>0.1</v>
      </c>
      <c r="F86" s="3118">
        <v>15</v>
      </c>
    </row>
    <row r="87" spans="1:6" ht="24">
      <c r="A87" s="3118">
        <v>15</v>
      </c>
      <c r="B87" s="3935"/>
      <c r="C87" s="3092" t="s">
        <v>2681</v>
      </c>
      <c r="D87" s="3092" t="s">
        <v>2682</v>
      </c>
      <c r="E87" s="3118">
        <v>0.1</v>
      </c>
      <c r="F87" s="3118">
        <v>15</v>
      </c>
    </row>
    <row r="88" spans="1:6" ht="24">
      <c r="A88" s="3118">
        <v>16</v>
      </c>
      <c r="B88" s="3935"/>
      <c r="C88" s="3092" t="s">
        <v>2683</v>
      </c>
      <c r="D88" s="3092" t="s">
        <v>2684</v>
      </c>
      <c r="E88" s="3118">
        <v>0.1</v>
      </c>
      <c r="F88" s="3118">
        <v>15</v>
      </c>
    </row>
    <row r="89" spans="1:6" ht="24">
      <c r="A89" s="3118">
        <v>17</v>
      </c>
      <c r="B89" s="3934"/>
      <c r="C89" s="3092" t="s">
        <v>2685</v>
      </c>
      <c r="D89" s="3092" t="s">
        <v>2686</v>
      </c>
      <c r="E89" s="3118">
        <v>0.1</v>
      </c>
      <c r="F89" s="3118">
        <v>15</v>
      </c>
    </row>
    <row r="90" spans="1:6" ht="14.4">
      <c r="A90" s="3118">
        <v>18</v>
      </c>
      <c r="B90" s="3933" t="s">
        <v>2687</v>
      </c>
      <c r="C90" s="3092" t="s">
        <v>2688</v>
      </c>
      <c r="D90" s="3092" t="s">
        <v>2689</v>
      </c>
      <c r="E90" s="3118">
        <v>0.2</v>
      </c>
      <c r="F90" s="3118">
        <v>25</v>
      </c>
    </row>
    <row r="91" spans="1:6" ht="24">
      <c r="A91" s="3118">
        <v>19</v>
      </c>
      <c r="B91" s="3935"/>
      <c r="C91" s="3092" t="s">
        <v>2690</v>
      </c>
      <c r="D91" s="3092" t="s">
        <v>2691</v>
      </c>
      <c r="E91" s="3118">
        <v>0.2</v>
      </c>
      <c r="F91" s="3118">
        <v>25</v>
      </c>
    </row>
    <row r="92" spans="1:6" ht="14.4">
      <c r="A92" s="3118">
        <v>20</v>
      </c>
      <c r="B92" s="3935"/>
      <c r="C92" s="3092" t="s">
        <v>2692</v>
      </c>
      <c r="D92" s="3092" t="s">
        <v>2693</v>
      </c>
      <c r="E92" s="3118">
        <v>0.15</v>
      </c>
      <c r="F92" s="3118">
        <v>20</v>
      </c>
    </row>
    <row r="93" spans="1:6" ht="24">
      <c r="A93" s="3118">
        <v>21</v>
      </c>
      <c r="B93" s="3935"/>
      <c r="C93" s="3092" t="s">
        <v>2694</v>
      </c>
      <c r="D93" s="3092" t="s">
        <v>2695</v>
      </c>
      <c r="E93" s="3118">
        <v>0.15</v>
      </c>
      <c r="F93" s="3118">
        <v>20</v>
      </c>
    </row>
    <row r="94" spans="1:6" ht="24">
      <c r="A94" s="3118">
        <v>22</v>
      </c>
      <c r="B94" s="3935"/>
      <c r="C94" s="3092" t="s">
        <v>2696</v>
      </c>
      <c r="D94" s="3092" t="s">
        <v>2697</v>
      </c>
      <c r="E94" s="3118">
        <v>0.15</v>
      </c>
      <c r="F94" s="3118">
        <v>20</v>
      </c>
    </row>
    <row r="95" spans="1:6" ht="36">
      <c r="A95" s="3118">
        <v>23</v>
      </c>
      <c r="B95" s="3935"/>
      <c r="C95" s="3092" t="s">
        <v>2698</v>
      </c>
      <c r="D95" s="3092" t="s">
        <v>2699</v>
      </c>
      <c r="E95" s="3118">
        <v>0.15</v>
      </c>
      <c r="F95" s="3118">
        <v>20</v>
      </c>
    </row>
    <row r="96" spans="1:6" ht="24">
      <c r="A96" s="3118">
        <v>24</v>
      </c>
      <c r="B96" s="3935"/>
      <c r="C96" s="3092" t="s">
        <v>2700</v>
      </c>
      <c r="D96" s="3092" t="s">
        <v>2701</v>
      </c>
      <c r="E96" s="3118">
        <v>0.1</v>
      </c>
      <c r="F96" s="3118">
        <v>15</v>
      </c>
    </row>
    <row r="97" spans="1:6" ht="24">
      <c r="A97" s="3118">
        <v>25</v>
      </c>
      <c r="B97" s="3935"/>
      <c r="C97" s="3092" t="s">
        <v>2702</v>
      </c>
      <c r="D97" s="3092" t="s">
        <v>2703</v>
      </c>
      <c r="E97" s="3118">
        <v>0.1</v>
      </c>
      <c r="F97" s="3118">
        <v>15</v>
      </c>
    </row>
    <row r="98" spans="1:6" ht="24">
      <c r="A98" s="3118">
        <v>26</v>
      </c>
      <c r="B98" s="3935"/>
      <c r="C98" s="3092" t="s">
        <v>2704</v>
      </c>
      <c r="D98" s="3092" t="s">
        <v>2705</v>
      </c>
      <c r="E98" s="3118">
        <v>0.1</v>
      </c>
      <c r="F98" s="3118">
        <v>15</v>
      </c>
    </row>
    <row r="99" spans="1:6" ht="24">
      <c r="A99" s="3118">
        <v>27</v>
      </c>
      <c r="B99" s="3935"/>
      <c r="C99" s="3092" t="s">
        <v>2706</v>
      </c>
      <c r="D99" s="3092" t="s">
        <v>2707</v>
      </c>
      <c r="E99" s="3118">
        <v>0.1</v>
      </c>
      <c r="F99" s="3118">
        <v>15</v>
      </c>
    </row>
    <row r="100" spans="1:6" ht="24">
      <c r="A100" s="3118">
        <v>28</v>
      </c>
      <c r="B100" s="3935"/>
      <c r="C100" s="3092" t="s">
        <v>2708</v>
      </c>
      <c r="D100" s="3092" t="s">
        <v>2709</v>
      </c>
      <c r="E100" s="3118">
        <v>0.1</v>
      </c>
      <c r="F100" s="3118">
        <v>15</v>
      </c>
    </row>
    <row r="101" spans="1:6" ht="24">
      <c r="A101" s="3118">
        <v>29</v>
      </c>
      <c r="B101" s="3935"/>
      <c r="C101" s="3092" t="s">
        <v>2710</v>
      </c>
      <c r="D101" s="3092" t="s">
        <v>2711</v>
      </c>
      <c r="E101" s="3118">
        <v>0.1</v>
      </c>
      <c r="F101" s="3118">
        <v>15</v>
      </c>
    </row>
    <row r="102" spans="1:6" ht="24">
      <c r="A102" s="3118">
        <v>30</v>
      </c>
      <c r="B102" s="3935"/>
      <c r="C102" s="3092" t="s">
        <v>2712</v>
      </c>
      <c r="D102" s="3092" t="s">
        <v>2713</v>
      </c>
      <c r="E102" s="3118">
        <v>0.1</v>
      </c>
      <c r="F102" s="3118">
        <v>15</v>
      </c>
    </row>
    <row r="103" spans="1:6" ht="24">
      <c r="A103" s="3118">
        <v>31</v>
      </c>
      <c r="B103" s="3935"/>
      <c r="C103" s="3092" t="s">
        <v>2714</v>
      </c>
      <c r="D103" s="3092" t="s">
        <v>2715</v>
      </c>
      <c r="E103" s="3118">
        <v>0.1</v>
      </c>
      <c r="F103" s="3118">
        <v>15</v>
      </c>
    </row>
    <row r="104" spans="1:6" ht="24">
      <c r="A104" s="3118">
        <v>32</v>
      </c>
      <c r="B104" s="3935"/>
      <c r="C104" s="3092" t="s">
        <v>2716</v>
      </c>
      <c r="D104" s="3092" t="s">
        <v>2717</v>
      </c>
      <c r="E104" s="3118">
        <v>0.1</v>
      </c>
      <c r="F104" s="3118">
        <v>15</v>
      </c>
    </row>
    <row r="105" spans="1:6" ht="24">
      <c r="A105" s="3118">
        <v>33</v>
      </c>
      <c r="B105" s="3935"/>
      <c r="C105" s="3092" t="s">
        <v>2718</v>
      </c>
      <c r="D105" s="3092" t="s">
        <v>2719</v>
      </c>
      <c r="E105" s="3118">
        <v>0.1</v>
      </c>
      <c r="F105" s="3118">
        <v>15</v>
      </c>
    </row>
    <row r="106" spans="1:6" ht="24">
      <c r="A106" s="3118">
        <v>34</v>
      </c>
      <c r="B106" s="3934"/>
      <c r="C106" s="3092" t="s">
        <v>2720</v>
      </c>
      <c r="D106" s="3092" t="s">
        <v>2721</v>
      </c>
      <c r="E106" s="3118">
        <v>0.1</v>
      </c>
      <c r="F106" s="3118">
        <v>15</v>
      </c>
    </row>
    <row r="107" spans="1:6" ht="36">
      <c r="A107" s="3118">
        <v>35</v>
      </c>
      <c r="B107" s="3933" t="s">
        <v>2722</v>
      </c>
      <c r="C107" s="3118" t="s">
        <v>2723</v>
      </c>
      <c r="D107" s="3092" t="s">
        <v>2724</v>
      </c>
      <c r="E107" s="3118">
        <v>0.15</v>
      </c>
      <c r="F107" s="3118">
        <v>20</v>
      </c>
    </row>
    <row r="108" spans="1:6" ht="24">
      <c r="A108" s="3118">
        <v>36</v>
      </c>
      <c r="B108" s="3935"/>
      <c r="C108" s="3118" t="s">
        <v>2725</v>
      </c>
      <c r="D108" s="3092" t="s">
        <v>2726</v>
      </c>
      <c r="E108" s="3118">
        <v>0.15</v>
      </c>
      <c r="F108" s="3118">
        <v>20</v>
      </c>
    </row>
    <row r="109" spans="1:6" ht="24">
      <c r="A109" s="3118">
        <v>37</v>
      </c>
      <c r="B109" s="3935"/>
      <c r="C109" s="3118" t="s">
        <v>2727</v>
      </c>
      <c r="D109" s="3092" t="s">
        <v>2728</v>
      </c>
      <c r="E109" s="3118">
        <v>0.15</v>
      </c>
      <c r="F109" s="3118">
        <v>20</v>
      </c>
    </row>
    <row r="110" spans="1:6" ht="24">
      <c r="A110" s="3118">
        <v>38</v>
      </c>
      <c r="B110" s="3935"/>
      <c r="C110" s="3118" t="s">
        <v>2729</v>
      </c>
      <c r="D110" s="3092" t="s">
        <v>2730</v>
      </c>
      <c r="E110" s="3118">
        <v>0.1</v>
      </c>
      <c r="F110" s="3118">
        <v>15</v>
      </c>
    </row>
    <row r="111" spans="1:6" ht="24">
      <c r="A111" s="3118">
        <v>39</v>
      </c>
      <c r="B111" s="3935"/>
      <c r="C111" s="3118" t="s">
        <v>2731</v>
      </c>
      <c r="D111" s="3092" t="s">
        <v>2732</v>
      </c>
      <c r="E111" s="3118">
        <v>0.1</v>
      </c>
      <c r="F111" s="3118">
        <v>15</v>
      </c>
    </row>
    <row r="112" spans="1:6" ht="24">
      <c r="A112" s="3118">
        <v>40</v>
      </c>
      <c r="B112" s="3934"/>
      <c r="C112" s="3118" t="s">
        <v>2733</v>
      </c>
      <c r="D112" s="3092" t="s">
        <v>2734</v>
      </c>
      <c r="E112" s="3118">
        <v>0.1</v>
      </c>
      <c r="F112" s="3118">
        <v>15</v>
      </c>
    </row>
    <row r="113" spans="1:6" ht="24">
      <c r="A113" s="3118">
        <v>41</v>
      </c>
      <c r="B113" s="3932" t="s">
        <v>2735</v>
      </c>
      <c r="C113" s="3118" t="s">
        <v>2736</v>
      </c>
      <c r="D113" s="3092" t="s">
        <v>2737</v>
      </c>
      <c r="E113" s="3118">
        <v>0.1</v>
      </c>
      <c r="F113" s="3118">
        <v>15</v>
      </c>
    </row>
    <row r="114" spans="1:6" ht="24">
      <c r="A114" s="3118">
        <v>42</v>
      </c>
      <c r="B114" s="3932"/>
      <c r="C114" s="3118" t="s">
        <v>2738</v>
      </c>
      <c r="D114" s="3092" t="s">
        <v>2739</v>
      </c>
      <c r="E114" s="3118">
        <v>0.1</v>
      </c>
      <c r="F114" s="3118">
        <v>15</v>
      </c>
    </row>
    <row r="115" spans="1:6" ht="24">
      <c r="A115" s="3118">
        <v>43</v>
      </c>
      <c r="B115" s="3932"/>
      <c r="C115" s="3118" t="s">
        <v>2740</v>
      </c>
      <c r="D115" s="3092" t="s">
        <v>2741</v>
      </c>
      <c r="E115" s="3118">
        <v>0.1</v>
      </c>
      <c r="F115" s="3118">
        <v>15</v>
      </c>
    </row>
    <row r="116" spans="1:6" ht="24">
      <c r="A116" s="3118">
        <v>44</v>
      </c>
      <c r="B116" s="3933" t="s">
        <v>2742</v>
      </c>
      <c r="C116" s="3118" t="s">
        <v>2743</v>
      </c>
      <c r="D116" s="3092" t="s">
        <v>2744</v>
      </c>
      <c r="E116" s="3118">
        <v>0.1</v>
      </c>
      <c r="F116" s="3118">
        <v>15</v>
      </c>
    </row>
    <row r="117" spans="1:6" ht="24">
      <c r="A117" s="3118">
        <v>45</v>
      </c>
      <c r="B117" s="3934"/>
      <c r="C117" s="3092" t="s">
        <v>2745</v>
      </c>
      <c r="D117" s="3092" t="s">
        <v>2746</v>
      </c>
      <c r="E117" s="3118">
        <v>0.1</v>
      </c>
      <c r="F117" s="3118">
        <v>15</v>
      </c>
    </row>
    <row r="118" spans="1:6" ht="24">
      <c r="A118" s="3118">
        <v>46</v>
      </c>
      <c r="B118" s="3933" t="s">
        <v>2747</v>
      </c>
      <c r="C118" s="3118" t="s">
        <v>2748</v>
      </c>
      <c r="D118" s="3092" t="s">
        <v>2749</v>
      </c>
      <c r="E118" s="3118">
        <v>0.1</v>
      </c>
      <c r="F118" s="3118">
        <v>15</v>
      </c>
    </row>
    <row r="119" spans="1:6" ht="24">
      <c r="A119" s="3118">
        <v>47</v>
      </c>
      <c r="B119" s="3934"/>
      <c r="C119" s="3118" t="s">
        <v>2750</v>
      </c>
      <c r="D119" s="3092" t="s">
        <v>2751</v>
      </c>
      <c r="E119" s="3118">
        <v>0.1</v>
      </c>
      <c r="F119" s="3118">
        <v>15</v>
      </c>
    </row>
    <row r="120" spans="1:6" ht="24">
      <c r="A120" s="3118">
        <v>48</v>
      </c>
      <c r="B120" s="3933" t="s">
        <v>2752</v>
      </c>
      <c r="C120" s="3118" t="s">
        <v>2753</v>
      </c>
      <c r="D120" s="3092" t="s">
        <v>2754</v>
      </c>
      <c r="E120" s="3118">
        <v>0.1</v>
      </c>
      <c r="F120" s="3118">
        <v>15</v>
      </c>
    </row>
    <row r="121" spans="1:6" ht="24">
      <c r="A121" s="3118">
        <v>49</v>
      </c>
      <c r="B121" s="3934"/>
      <c r="C121" s="3118" t="s">
        <v>2755</v>
      </c>
      <c r="D121" s="3092" t="s">
        <v>2756</v>
      </c>
      <c r="E121" s="3118">
        <v>0.1</v>
      </c>
      <c r="F121" s="3118">
        <v>15</v>
      </c>
    </row>
    <row r="122" spans="1:6" ht="24">
      <c r="A122" s="3118">
        <v>50</v>
      </c>
      <c r="B122" s="3932" t="s">
        <v>2757</v>
      </c>
      <c r="C122" s="3118" t="s">
        <v>2758</v>
      </c>
      <c r="D122" s="3092" t="s">
        <v>2759</v>
      </c>
      <c r="E122" s="3118">
        <v>0.1</v>
      </c>
      <c r="F122" s="3118">
        <v>15</v>
      </c>
    </row>
    <row r="123" spans="1:6" ht="24">
      <c r="A123" s="3118">
        <v>51</v>
      </c>
      <c r="B123" s="3932"/>
      <c r="C123" s="3118" t="s">
        <v>2760</v>
      </c>
      <c r="D123" s="3092" t="s">
        <v>2761</v>
      </c>
      <c r="E123" s="3118">
        <v>0.1</v>
      </c>
      <c r="F123" s="3118">
        <v>15</v>
      </c>
    </row>
    <row r="124" spans="1:6" ht="24">
      <c r="A124" s="3118">
        <v>52</v>
      </c>
      <c r="B124" s="3932" t="s">
        <v>2762</v>
      </c>
      <c r="C124" s="3118" t="s">
        <v>2763</v>
      </c>
      <c r="D124" s="3092" t="s">
        <v>2764</v>
      </c>
      <c r="E124" s="3118">
        <v>0.1</v>
      </c>
      <c r="F124" s="3118">
        <v>15</v>
      </c>
    </row>
    <row r="125" spans="1:6" ht="24">
      <c r="A125" s="3118">
        <v>53</v>
      </c>
      <c r="B125" s="3932"/>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932" t="s">
        <v>2770</v>
      </c>
      <c r="C127" s="3118" t="s">
        <v>2771</v>
      </c>
      <c r="D127" s="3092" t="s">
        <v>2772</v>
      </c>
      <c r="E127" s="3118">
        <v>0.1</v>
      </c>
      <c r="F127" s="3118">
        <v>15</v>
      </c>
    </row>
    <row r="128" spans="1:6" ht="24">
      <c r="A128" s="3118">
        <v>56</v>
      </c>
      <c r="B128" s="3932"/>
      <c r="C128" s="3118" t="s">
        <v>2773</v>
      </c>
      <c r="D128" s="3092" t="s">
        <v>2774</v>
      </c>
      <c r="E128" s="3118">
        <v>0.1</v>
      </c>
      <c r="F128" s="3118">
        <v>15</v>
      </c>
    </row>
    <row r="129" spans="1:6" ht="24">
      <c r="A129" s="3118">
        <v>57</v>
      </c>
      <c r="B129" s="3932"/>
      <c r="C129" s="3118" t="s">
        <v>2775</v>
      </c>
      <c r="D129" s="3092" t="s">
        <v>2776</v>
      </c>
      <c r="E129" s="3118">
        <v>0.1</v>
      </c>
      <c r="F129" s="3118">
        <v>15</v>
      </c>
    </row>
    <row r="130" spans="1:6" ht="24">
      <c r="A130" s="3118">
        <v>58</v>
      </c>
      <c r="B130" s="3932" t="s">
        <v>2777</v>
      </c>
      <c r="C130" s="3118" t="s">
        <v>2778</v>
      </c>
      <c r="D130" s="3092" t="s">
        <v>2779</v>
      </c>
      <c r="E130" s="3118">
        <v>0.1</v>
      </c>
      <c r="F130" s="3118">
        <v>15</v>
      </c>
    </row>
    <row r="131" spans="1:6" ht="24">
      <c r="A131" s="3118">
        <v>59</v>
      </c>
      <c r="B131" s="3932"/>
      <c r="C131" s="3118" t="s">
        <v>2780</v>
      </c>
      <c r="D131" s="3092" t="s">
        <v>2781</v>
      </c>
      <c r="E131" s="3118">
        <v>0.1</v>
      </c>
      <c r="F131" s="3118">
        <v>15</v>
      </c>
    </row>
    <row r="132" spans="1:6" ht="24">
      <c r="A132" s="3118">
        <v>60</v>
      </c>
      <c r="B132" s="3933" t="s">
        <v>2782</v>
      </c>
      <c r="C132" s="3118" t="s">
        <v>2783</v>
      </c>
      <c r="D132" s="3092" t="s">
        <v>2784</v>
      </c>
      <c r="E132" s="3118">
        <v>0.1</v>
      </c>
      <c r="F132" s="3118">
        <v>15</v>
      </c>
    </row>
    <row r="133" spans="1:6" ht="24">
      <c r="A133" s="3118">
        <v>61</v>
      </c>
      <c r="B133" s="3934"/>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932" t="s">
        <v>2790</v>
      </c>
      <c r="C135" s="3118" t="s">
        <v>2791</v>
      </c>
      <c r="D135" s="3092" t="s">
        <v>2792</v>
      </c>
      <c r="E135" s="3118">
        <v>0.1</v>
      </c>
      <c r="F135" s="3118">
        <v>15</v>
      </c>
    </row>
    <row r="136" spans="1:6" ht="24">
      <c r="A136" s="3118">
        <v>64</v>
      </c>
      <c r="B136" s="3932"/>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1"/>
      <c r="C2" s="3621"/>
      <c r="D2" s="3621"/>
      <c r="E2" s="3621"/>
    </row>
    <row r="3" spans="1:5" ht="17.399999999999999">
      <c r="A3" s="3622" t="str">
        <f>IF(项目基本情况!B9="房地产市场价值","估价结果一览表（市场价值不需“结果表-1”）","估价结果一览表")</f>
        <v>估价结果一览表（市场价值不需“结果表-1”）</v>
      </c>
      <c r="B3" s="3622"/>
      <c r="C3" s="3622"/>
      <c r="D3" s="3622"/>
      <c r="E3" s="3622"/>
    </row>
    <row r="4" spans="1:5" ht="18" thickBot="1">
      <c r="A4" s="1493"/>
      <c r="B4" s="3620" t="s">
        <v>917</v>
      </c>
      <c r="C4" s="3620"/>
      <c r="D4" s="3620"/>
      <c r="E4" s="1493"/>
    </row>
    <row r="5" spans="1:5" ht="16.2" thickTop="1">
      <c r="A5" s="1491"/>
      <c r="B5" s="3618" t="s">
        <v>909</v>
      </c>
      <c r="C5" s="1494" t="s">
        <v>910</v>
      </c>
      <c r="D5" s="850" t="e">
        <f ca="1">结果表!H101</f>
        <v>#REF!</v>
      </c>
      <c r="E5" s="1491"/>
    </row>
    <row r="6" spans="1:5" ht="15.6">
      <c r="A6" s="1491"/>
      <c r="B6" s="3618"/>
      <c r="C6" s="1494" t="s">
        <v>911</v>
      </c>
      <c r="D6" s="850" t="e">
        <f ca="1">NUMBERSTRING(INT(D5*10000),2)&amp;"元整"</f>
        <v>#REF!</v>
      </c>
      <c r="E6" s="1491"/>
    </row>
    <row r="7" spans="1:5" ht="15.6">
      <c r="A7" s="1491"/>
      <c r="B7" s="3623"/>
      <c r="C7" s="1495" t="s">
        <v>912</v>
      </c>
      <c r="D7" s="851" t="e">
        <f ca="1">结果表!H102</f>
        <v>#REF!</v>
      </c>
      <c r="E7" s="1491"/>
    </row>
    <row r="8" spans="1:5" ht="15.6">
      <c r="A8" s="1491"/>
      <c r="B8" s="3624" t="str">
        <f>结果表!E103</f>
        <v>2.估价师知悉的法定优先受偿款</v>
      </c>
      <c r="C8" s="1496" t="s">
        <v>913</v>
      </c>
      <c r="D8" s="851">
        <f>结果表!H103</f>
        <v>0</v>
      </c>
      <c r="E8" s="1491"/>
    </row>
    <row r="9" spans="1:5" ht="15.6">
      <c r="A9" s="1491"/>
      <c r="B9" s="362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17" t="str">
        <f>结果表!E107</f>
        <v>3.房地产抵押价值</v>
      </c>
      <c r="C13" s="1499" t="s">
        <v>910</v>
      </c>
      <c r="D13" s="853" t="e">
        <f ca="1">结果表!H107</f>
        <v>#REF!</v>
      </c>
      <c r="E13" s="1491"/>
    </row>
    <row r="14" spans="1:5" ht="15.6">
      <c r="A14" s="1491"/>
      <c r="B14" s="3618"/>
      <c r="C14" s="1494" t="s">
        <v>911</v>
      </c>
      <c r="D14" s="850" t="e">
        <f ca="1">NUMBERSTRING(INT(D13*10000),2)&amp;"元整"</f>
        <v>#REF!</v>
      </c>
      <c r="E14" s="1491"/>
    </row>
    <row r="15" spans="1:5" ht="15.6">
      <c r="A15" s="1491"/>
      <c r="B15" s="3623"/>
      <c r="C15" s="1495" t="s">
        <v>921</v>
      </c>
      <c r="D15" s="859" t="e">
        <f ca="1">结果表!H108</f>
        <v>#REF!</v>
      </c>
      <c r="E15" s="1491"/>
    </row>
    <row r="16" spans="1:5" ht="15.6">
      <c r="A16" s="1491"/>
      <c r="B16" s="3624" t="str">
        <f>结果表!E109</f>
        <v>——</v>
      </c>
      <c r="C16" s="1499" t="s">
        <v>922</v>
      </c>
      <c r="D16" s="1500" t="str">
        <f>结果表!H109</f>
        <v>——</v>
      </c>
      <c r="E16" s="1491"/>
    </row>
    <row r="17" spans="1:5" ht="15.6">
      <c r="A17" s="1491"/>
      <c r="B17" s="3625"/>
      <c r="C17" s="1494" t="s">
        <v>923</v>
      </c>
      <c r="D17" s="850" t="e">
        <f>NUMBERSTRING(INT(D16*10000),2)&amp;"元整"</f>
        <v>#VALUE!</v>
      </c>
      <c r="E17" s="1491"/>
    </row>
    <row r="18" spans="1:5" ht="15.6">
      <c r="A18" s="1491"/>
      <c r="B18" s="3626"/>
      <c r="C18" s="1495" t="s">
        <v>912</v>
      </c>
      <c r="D18" s="859" t="str">
        <f>结果表!H110</f>
        <v>——</v>
      </c>
      <c r="E18" s="1491"/>
    </row>
    <row r="19" spans="1:5" ht="15.6">
      <c r="A19" s="1491"/>
      <c r="B19" s="3617" t="str">
        <f>结果表!E111</f>
        <v>——</v>
      </c>
      <c r="C19" s="1499" t="s">
        <v>910</v>
      </c>
      <c r="D19" s="851" t="str">
        <f>结果表!H111</f>
        <v>——</v>
      </c>
      <c r="E19" s="1491"/>
    </row>
    <row r="20" spans="1:5" ht="15.6">
      <c r="A20" s="1491"/>
      <c r="B20" s="3618"/>
      <c r="C20" s="1494" t="s">
        <v>923</v>
      </c>
      <c r="D20" s="850" t="e">
        <f>NUMBERSTRING(INT(D19*10000),2)&amp;"元整"</f>
        <v>#VALUE!</v>
      </c>
      <c r="E20" s="1491"/>
    </row>
    <row r="21" spans="1:5" ht="16.2" thickBot="1">
      <c r="A21" s="1491"/>
      <c r="B21" s="361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26556</v>
      </c>
      <c r="C2" s="2" t="s">
        <v>106</v>
      </c>
      <c r="D2" s="199"/>
      <c r="E2" s="199"/>
      <c r="F2" s="199"/>
      <c r="G2" s="199"/>
    </row>
    <row r="3" spans="1:7" s="200" customFormat="1" ht="18" customHeight="1" thickBot="1">
      <c r="A3" s="203" t="s">
        <v>58</v>
      </c>
      <c r="B3" s="204">
        <f ca="1">ROUND(B2*10000/'数据-汇总表'!E3,0)</f>
        <v>3331995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79.7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79.7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2336</v>
      </c>
      <c r="D22" s="235">
        <f ca="1">C26</f>
        <v>5.0000000000000001E-4</v>
      </c>
      <c r="E22" s="236" t="s">
        <v>99</v>
      </c>
      <c r="F22" s="237">
        <f ca="1">'数据-取费表'!B40</f>
        <v>5.4900000000000004E-2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2325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1665</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26534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79.7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99" t="s">
        <v>94</v>
      </c>
    </row>
    <row r="43" spans="1:7" ht="13.5" customHeight="1">
      <c r="A43" s="780" t="s">
        <v>347</v>
      </c>
      <c r="B43" s="215" t="s">
        <v>426</v>
      </c>
      <c r="C43" s="238">
        <f ca="1">ROUND(IF('数据-取费表'!B22&lt;=1,C39*F22*'数据-取费表'!B21/2,C39*(POWER((1+F22),'数据-取费表'!B21/2)-1)),0)</f>
        <v>0</v>
      </c>
      <c r="D43" s="238"/>
      <c r="E43" s="238"/>
      <c r="F43" s="239"/>
      <c r="G43" s="3800"/>
    </row>
    <row r="44" spans="1:7" ht="13.5" customHeight="1">
      <c r="A44" s="780" t="s">
        <v>348</v>
      </c>
      <c r="B44" s="215" t="s">
        <v>428</v>
      </c>
      <c r="C44" s="238">
        <f ca="1">ROUND(IF('数据-取费表'!B22&lt;=1,C40*F22*'数据-取费表'!B21/2,C40*(POWER((1+F22),'数据-取费表'!B21/2)-1)),4)</f>
        <v>5.0000000000000001E-4</v>
      </c>
      <c r="D44" s="238"/>
      <c r="E44" s="238"/>
      <c r="F44" s="239"/>
      <c r="G44" s="3801"/>
    </row>
    <row r="45" spans="1:7" s="214" customFormat="1" ht="13.5" customHeight="1">
      <c r="A45" s="777" t="s">
        <v>341</v>
      </c>
      <c r="B45" s="244" t="s">
        <v>85</v>
      </c>
      <c r="C45" s="245">
        <f>C46</f>
        <v>2</v>
      </c>
      <c r="D45" s="235">
        <f>C47</f>
        <v>8.0000000000000004E-4</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22</v>
      </c>
      <c r="D51" s="232"/>
      <c r="E51" s="232"/>
      <c r="F51" s="264"/>
      <c r="G51" s="234" t="s">
        <v>37</v>
      </c>
    </row>
    <row r="52" spans="1:7" s="208" customFormat="1" ht="16.8" thickBot="1">
      <c r="A52" s="265" t="s">
        <v>38</v>
      </c>
      <c r="B52" s="266"/>
      <c r="C52" s="267">
        <f ca="1">C31+C51</f>
        <v>26556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46" t="s">
        <v>2840</v>
      </c>
      <c r="B1" s="3946"/>
      <c r="C1" s="3946"/>
      <c r="D1" s="3946"/>
      <c r="E1" s="3946"/>
      <c r="F1" s="3946"/>
      <c r="G1" s="3947"/>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944"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945"/>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48" t="s">
        <v>3182</v>
      </c>
      <c r="B1" s="3948"/>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49" t="s">
        <v>3233</v>
      </c>
      <c r="B1" s="3949"/>
      <c r="C1" s="3949"/>
      <c r="D1" s="3949"/>
      <c r="E1" s="3949"/>
      <c r="F1" s="3950"/>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38260</v>
      </c>
      <c r="B1" s="3210" t="s">
        <v>3372</v>
      </c>
      <c r="C1" s="3211"/>
      <c r="D1" s="3211"/>
      <c r="E1" s="3211"/>
      <c r="F1" s="3211"/>
      <c r="G1" s="3211"/>
      <c r="H1" s="3211"/>
      <c r="I1" s="3211"/>
      <c r="J1" s="3165"/>
      <c r="K1" s="3211" t="s">
        <v>454</v>
      </c>
      <c r="L1" s="3211"/>
      <c r="M1" s="3211"/>
      <c r="N1" s="3211"/>
      <c r="O1" s="3211"/>
      <c r="P1" s="3211"/>
      <c r="Q1" s="3165"/>
      <c r="R1" s="3951" t="s">
        <v>456</v>
      </c>
      <c r="S1" s="3952"/>
      <c r="T1" s="3952"/>
      <c r="U1" s="3952"/>
      <c r="V1" s="3952"/>
      <c r="W1" s="3952"/>
      <c r="X1" s="3165"/>
      <c r="Y1" s="3951" t="s">
        <v>457</v>
      </c>
      <c r="Z1" s="3952"/>
      <c r="AA1" s="3952"/>
      <c r="AB1" s="3952"/>
      <c r="AC1" s="3952"/>
      <c r="AD1" s="3952"/>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951" t="s">
        <v>2828</v>
      </c>
      <c r="S24" s="3952"/>
      <c r="T24" s="3952"/>
      <c r="U24" s="3952"/>
      <c r="V24" s="3952"/>
      <c r="W24" s="3952"/>
      <c r="X24" s="3165"/>
      <c r="Y24" s="3951" t="s">
        <v>2829</v>
      </c>
      <c r="Z24" s="3952"/>
      <c r="AA24" s="3952"/>
      <c r="AB24" s="3952"/>
      <c r="AC24" s="3952"/>
      <c r="AD24" s="3952"/>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58" t="s">
        <v>452</v>
      </c>
      <c r="C1" s="3958"/>
      <c r="D1" s="3958"/>
      <c r="E1" s="3958"/>
      <c r="F1" s="3958"/>
      <c r="G1" s="3957" t="s">
        <v>453</v>
      </c>
      <c r="H1" s="3957"/>
      <c r="I1" s="3957"/>
      <c r="J1" s="3957"/>
      <c r="K1" s="3957"/>
      <c r="L1" s="3957"/>
      <c r="N1" s="3957" t="s">
        <v>454</v>
      </c>
      <c r="O1" s="3957"/>
      <c r="P1" s="3957"/>
      <c r="Q1" s="3957"/>
      <c r="S1" s="3957" t="s">
        <v>455</v>
      </c>
      <c r="T1" s="3957"/>
      <c r="U1" s="3957"/>
      <c r="V1" s="3957"/>
      <c r="X1" s="3956" t="s">
        <v>456</v>
      </c>
      <c r="Y1" s="3957"/>
      <c r="Z1" s="3957"/>
      <c r="AA1" s="3957"/>
      <c r="AB1" s="3957"/>
      <c r="AD1" s="3956" t="s">
        <v>457</v>
      </c>
      <c r="AE1" s="3957"/>
      <c r="AF1" s="3957"/>
      <c r="AG1" s="3957"/>
      <c r="AH1" s="395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5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5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5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6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5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5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5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6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5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5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5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5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5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5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5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5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5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5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5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5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6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6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6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6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5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5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5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5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5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5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5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5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5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5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5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5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5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5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5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5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5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5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5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5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5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5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5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5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5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5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5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5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5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5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5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5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5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5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5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5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5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5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5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5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5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5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5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5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38260</v>
      </c>
      <c r="D1" s="1302" t="s">
        <v>603</v>
      </c>
      <c r="E1" s="1297">
        <f>'数据-取费表'!B22</f>
        <v>2</v>
      </c>
      <c r="F1" s="1302" t="s">
        <v>604</v>
      </c>
      <c r="G1" s="1298">
        <f ca="1">INDIRECT("d"&amp;$K$1)/100</f>
        <v>5.4900000000000004E-2</v>
      </c>
      <c r="H1" s="1302" t="s">
        <v>634</v>
      </c>
      <c r="I1" s="1298">
        <f ca="1">F4/100</f>
        <v>1.9799999999999998E-2</v>
      </c>
      <c r="J1" s="1303">
        <f>IF(C1&gt;C13,0,MATCH(C1,C$13:C$113,-1))+IF(SUMIF(C13:C113,C1,D13:D113)=0,13,12)</f>
        <v>55</v>
      </c>
      <c r="K1" s="1303">
        <f>MATCH(E1,C3:C7,1)+IF(SUMIF(C3:C7,E1,D3:D7)=0,2,1)</f>
        <v>5</v>
      </c>
      <c r="L1" s="1303">
        <f>IF(C1&gt;M13,0,MATCH(C1,M$13:M$100,-1))+IF(SUMIF(M13:M100,C1,N13:N100)=0,13,12)</f>
        <v>39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5.04</v>
      </c>
      <c r="E3" s="1246">
        <v>0.5</v>
      </c>
      <c r="F3" s="1247">
        <f ca="1">INDIRECT("p"&amp;$L$1)</f>
        <v>1.89</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5.31</v>
      </c>
      <c r="E4" s="1252">
        <v>1</v>
      </c>
      <c r="F4" s="1253">
        <f ca="1">INDIRECT("q"&amp;$L$1)</f>
        <v>1.98</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5.49</v>
      </c>
      <c r="E5" s="1252">
        <v>2</v>
      </c>
      <c r="F5" s="1253">
        <f ca="1">INDIRECT("r"&amp;$L$1)</f>
        <v>2.25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5.58</v>
      </c>
      <c r="E6" s="1252">
        <v>3</v>
      </c>
      <c r="F6" s="1253">
        <f ca="1">INDIRECT("s"&amp;$L$1)</f>
        <v>2.52</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5.76</v>
      </c>
      <c r="E7" s="1257">
        <v>5</v>
      </c>
      <c r="F7" s="1258">
        <f ca="1">INDIRECT("t"&amp;$L$1)</f>
        <v>2.79</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34" t="str">
        <f>IF(项目基本情况!B9="房地产市场价值","估价结果一览表","结果表-2")</f>
        <v>估价结果一览表</v>
      </c>
      <c r="B1" s="3634"/>
      <c r="C1" s="3634"/>
      <c r="D1" s="3634"/>
      <c r="E1" s="3634"/>
      <c r="F1" s="3634"/>
      <c r="G1" s="3634"/>
      <c r="H1" s="3634"/>
      <c r="I1" s="3634"/>
    </row>
    <row r="2" spans="1:9" ht="30" customHeight="1" thickTop="1">
      <c r="A2" s="3635" t="s">
        <v>928</v>
      </c>
      <c r="B2" s="3635" t="s">
        <v>929</v>
      </c>
      <c r="C2" s="3635" t="s">
        <v>930</v>
      </c>
      <c r="D2" s="3635" t="str">
        <f>结果表!D116</f>
        <v>出让国有建设用地使用权价值</v>
      </c>
      <c r="E2" s="3635"/>
      <c r="F2" s="3635" t="str">
        <f>结果表!F116</f>
        <v>在建建筑物价值</v>
      </c>
      <c r="G2" s="3635"/>
      <c r="H2" s="3635" t="str">
        <f>IF(项目基本情况!B9="房地产市场价值","房地产市场价值","房地产价值")</f>
        <v>房地产市场价值</v>
      </c>
      <c r="I2" s="3635"/>
    </row>
    <row r="3" spans="1:9" ht="15.6">
      <c r="A3" s="3630"/>
      <c r="B3" s="3630"/>
      <c r="C3" s="3630"/>
      <c r="D3" s="854" t="s">
        <v>925</v>
      </c>
      <c r="E3" s="854" t="s">
        <v>931</v>
      </c>
      <c r="F3" s="854" t="s">
        <v>925</v>
      </c>
      <c r="G3" s="854" t="s">
        <v>926</v>
      </c>
      <c r="H3" s="854" t="s">
        <v>925</v>
      </c>
      <c r="I3" s="854" t="s">
        <v>926</v>
      </c>
    </row>
    <row r="4" spans="1:9" ht="15">
      <c r="A4" s="1505" t="str">
        <f>项目基本情况!S2</f>
        <v>北京市房地产</v>
      </c>
      <c r="B4" s="854">
        <f>项目基本情况!C17</f>
        <v>79.7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30" t="s">
        <v>927</v>
      </c>
      <c r="B5" s="3630"/>
      <c r="C5" s="3630"/>
      <c r="D5" s="3630" t="e">
        <f ca="1">结果表!D119</f>
        <v>#REF!</v>
      </c>
      <c r="E5" s="3630"/>
      <c r="F5" s="3630" t="e">
        <f ca="1">结果表!F119</f>
        <v>#REF!</v>
      </c>
      <c r="G5" s="3630"/>
      <c r="H5" s="3630" t="e">
        <f ca="1">结果表!H119</f>
        <v>#REF!</v>
      </c>
      <c r="I5" s="3630"/>
    </row>
    <row r="6" spans="1:9" ht="15.6">
      <c r="A6" s="3629" t="str">
        <f>结果表!A120</f>
        <v/>
      </c>
      <c r="B6" s="3629"/>
      <c r="C6" s="3629"/>
      <c r="D6" s="3629">
        <f>结果表!D120</f>
        <v>0</v>
      </c>
      <c r="E6" s="3629"/>
      <c r="F6" s="3629"/>
      <c r="G6" s="3629"/>
      <c r="H6" s="3629"/>
      <c r="I6" s="3629"/>
    </row>
    <row r="7" spans="1:9" ht="15">
      <c r="A7" s="3630" t="s">
        <v>927</v>
      </c>
      <c r="B7" s="3630"/>
      <c r="C7" s="3630"/>
      <c r="D7" s="3631" t="str">
        <f>结果表!D121</f>
        <v>零元整</v>
      </c>
      <c r="E7" s="3632"/>
      <c r="F7" s="3632"/>
      <c r="G7" s="3632"/>
      <c r="H7" s="3632"/>
      <c r="I7" s="3633"/>
    </row>
    <row r="8" spans="1:9" ht="15.6">
      <c r="A8" s="3629" t="str">
        <f>结果表!A122</f>
        <v/>
      </c>
      <c r="B8" s="3629"/>
      <c r="C8" s="3629"/>
      <c r="D8" s="3629" t="e">
        <f ca="1">结果表!D122</f>
        <v>#REF!</v>
      </c>
      <c r="E8" s="3629"/>
      <c r="F8" s="3629"/>
      <c r="G8" s="3629"/>
      <c r="H8" s="3629"/>
      <c r="I8" s="3629"/>
    </row>
    <row r="9" spans="1:9" ht="15">
      <c r="A9" s="3630" t="s">
        <v>927</v>
      </c>
      <c r="B9" s="3630"/>
      <c r="C9" s="3630"/>
      <c r="D9" s="3630" t="e">
        <f ca="1">结果表!D123</f>
        <v>#REF!</v>
      </c>
      <c r="E9" s="3630"/>
      <c r="F9" s="3630"/>
      <c r="G9" s="3630"/>
      <c r="H9" s="3630"/>
      <c r="I9" s="3630"/>
    </row>
    <row r="10" spans="1:9" ht="15.6">
      <c r="A10" s="3629" t="str">
        <f>结果表!A124</f>
        <v/>
      </c>
      <c r="B10" s="3629"/>
      <c r="C10" s="3629"/>
      <c r="D10" s="3629" t="str">
        <f>结果表!D124</f>
        <v>——</v>
      </c>
      <c r="E10" s="3629"/>
      <c r="F10" s="3629"/>
      <c r="G10" s="3629"/>
      <c r="H10" s="3629"/>
      <c r="I10" s="3629"/>
    </row>
    <row r="11" spans="1:9" ht="15">
      <c r="A11" s="3630" t="s">
        <v>927</v>
      </c>
      <c r="B11" s="3630"/>
      <c r="C11" s="3630"/>
      <c r="D11" s="3630" t="e">
        <f>结果表!D125</f>
        <v>#VALUE!</v>
      </c>
      <c r="E11" s="3630"/>
      <c r="F11" s="3630"/>
      <c r="G11" s="3630"/>
      <c r="H11" s="3630"/>
      <c r="I11" s="3630"/>
    </row>
    <row r="12" spans="1:9" ht="15.6">
      <c r="A12" s="3629" t="str">
        <f>结果表!A126</f>
        <v/>
      </c>
      <c r="B12" s="3629"/>
      <c r="C12" s="3629"/>
      <c r="D12" s="3629" t="str">
        <f>结果表!D126</f>
        <v>——</v>
      </c>
      <c r="E12" s="3629"/>
      <c r="F12" s="3629"/>
      <c r="G12" s="3629"/>
      <c r="H12" s="3629"/>
      <c r="I12" s="3629"/>
    </row>
    <row r="13" spans="1:9" ht="15.6" thickBot="1">
      <c r="A13" s="3627" t="s">
        <v>927</v>
      </c>
      <c r="B13" s="3627"/>
      <c r="C13" s="3627"/>
      <c r="D13" s="3627" t="e">
        <f>结果表!D127</f>
        <v>#VALUE!</v>
      </c>
      <c r="E13" s="3627"/>
      <c r="F13" s="3627"/>
      <c r="G13" s="3627"/>
      <c r="H13" s="3627"/>
      <c r="I13" s="3627"/>
    </row>
    <row r="14" spans="1:9" ht="14.4" thickTop="1">
      <c r="A14" s="3628" t="s">
        <v>932</v>
      </c>
      <c r="B14" s="3628"/>
      <c r="C14" s="3628"/>
      <c r="D14" s="3628"/>
      <c r="E14" s="3628"/>
      <c r="F14" s="3628"/>
      <c r="G14" s="3628"/>
      <c r="H14" s="3628"/>
      <c r="I14" s="362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42" t="s">
        <v>949</v>
      </c>
      <c r="B1" s="3642"/>
      <c r="C1" s="3642"/>
      <c r="D1" s="3642"/>
    </row>
    <row r="2" spans="1:4" ht="17.399999999999999">
      <c r="A2" s="3643" t="s">
        <v>933</v>
      </c>
      <c r="B2" s="3643"/>
      <c r="C2" s="3643"/>
      <c r="D2" s="364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43" t="s">
        <v>939</v>
      </c>
      <c r="B6" s="3643"/>
      <c r="C6" s="3643"/>
      <c r="D6" s="364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44" t="s">
        <v>942</v>
      </c>
      <c r="B11" s="3636"/>
      <c r="C11" s="3636"/>
      <c r="D11" s="3636"/>
    </row>
    <row r="12" spans="1:4" ht="15.6">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1"/>
      <c r="C12" s="3641"/>
      <c r="D12" s="3641"/>
    </row>
    <row r="13" spans="1:4" ht="30" customHeight="1">
      <c r="A13" s="3636" t="str">
        <f>IF(项目基本情况!B8="抵押","3.抵押双方在办理抵押登记手续时，应使用本公司出具的正式《房地产评估报告》，特提醒报告使用者注意。","——")</f>
        <v>——</v>
      </c>
      <c r="B13" s="3641"/>
      <c r="C13" s="3641"/>
      <c r="D13" s="3641"/>
    </row>
    <row r="14" spans="1:4" ht="15.75" customHeight="1">
      <c r="A14" s="3636" t="str">
        <f>IF(项目基本情况!B8="抵押","4.本次评估估价师所知悉的法定优先受偿款情况说明如下：","——")</f>
        <v>——</v>
      </c>
      <c r="B14" s="3641"/>
      <c r="C14" s="3641"/>
      <c r="D14" s="3641"/>
    </row>
    <row r="15" spans="1:4" ht="42" customHeight="1">
      <c r="A15" s="3636" t="str">
        <f>IF(项目基本情况!B8="抵押","（1）"&amp;CONCATENATE(项目基本情况!L20,项目基本情况!L21,项目基本情况!L22),"——")</f>
        <v>——</v>
      </c>
      <c r="B15" s="3636"/>
      <c r="C15" s="3636"/>
      <c r="D15" s="3636"/>
    </row>
    <row r="16" spans="1:4" ht="30" customHeight="1">
      <c r="A16" s="3638" t="s">
        <v>943</v>
      </c>
      <c r="B16" s="3638"/>
      <c r="C16" s="3638"/>
      <c r="D16" s="3638"/>
    </row>
    <row r="17" spans="1:4" ht="144" customHeight="1">
      <c r="A17" s="3638" t="s">
        <v>944</v>
      </c>
      <c r="B17" s="3638"/>
      <c r="C17" s="3638"/>
      <c r="D17" s="3638"/>
    </row>
    <row r="18" spans="1:4" ht="15.75" customHeight="1">
      <c r="A18" s="3636" t="str">
        <f>IF(项目基本情况!B8="抵押",结果表!K120,"——")</f>
        <v>——</v>
      </c>
      <c r="B18" s="3636"/>
      <c r="C18" s="3636"/>
      <c r="D18" s="3636"/>
    </row>
    <row r="19" spans="1:4" ht="46.5" customHeight="1">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spans="1:4" ht="57.75" customHeight="1">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spans="1:4" ht="57.75" customHeight="1">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spans="1:4" ht="18.75" customHeight="1">
      <c r="A22" s="3640" t="s">
        <v>945</v>
      </c>
      <c r="B22" s="3640"/>
      <c r="C22" s="3640"/>
      <c r="D22" s="364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37">
        <v>42551</v>
      </c>
      <c r="D31" s="36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50" t="s">
        <v>956</v>
      </c>
      <c r="B15" s="3645" t="s">
        <v>109</v>
      </c>
      <c r="C15" s="3646"/>
    </row>
    <row r="16" spans="1:7" ht="14.4">
      <c r="A16" s="3651"/>
      <c r="B16" s="3645" t="s">
        <v>42</v>
      </c>
      <c r="C16" s="3646"/>
    </row>
    <row r="17" spans="1:3" ht="14.4">
      <c r="A17" s="3651"/>
      <c r="B17" s="3648" t="s">
        <v>957</v>
      </c>
      <c r="C17" s="1532" t="s">
        <v>956</v>
      </c>
    </row>
    <row r="18" spans="1:3" ht="14.4">
      <c r="A18" s="3651"/>
      <c r="B18" s="3648"/>
      <c r="C18" s="1532" t="s">
        <v>958</v>
      </c>
    </row>
    <row r="19" spans="1:3" ht="14.4">
      <c r="A19" s="3651"/>
      <c r="B19" s="3648"/>
      <c r="C19" s="1532" t="s">
        <v>959</v>
      </c>
    </row>
    <row r="20" spans="1:3" ht="14.4">
      <c r="A20" s="3652"/>
      <c r="B20" s="3647" t="s">
        <v>960</v>
      </c>
      <c r="C20" s="3646"/>
    </row>
    <row r="21" spans="1:3" ht="14.4">
      <c r="A21" s="1533" t="s">
        <v>961</v>
      </c>
      <c r="B21" s="1534"/>
      <c r="C21" s="1535"/>
    </row>
    <row r="22" spans="1:3" ht="14.4">
      <c r="A22" s="3649" t="s">
        <v>962</v>
      </c>
      <c r="B22" s="3647" t="s">
        <v>963</v>
      </c>
      <c r="C22" s="3646"/>
    </row>
    <row r="23" spans="1:3" ht="14.4">
      <c r="A23" s="3649"/>
      <c r="B23" s="3647" t="s">
        <v>964</v>
      </c>
      <c r="C23" s="3646"/>
    </row>
    <row r="24" spans="1:3" ht="14.4">
      <c r="A24" s="3649"/>
      <c r="B24" s="3647" t="s">
        <v>965</v>
      </c>
      <c r="C24" s="3646"/>
    </row>
    <row r="25" spans="1:3" ht="14.4">
      <c r="A25" s="3649"/>
      <c r="B25" s="3648" t="s">
        <v>966</v>
      </c>
      <c r="C25" s="1532" t="s">
        <v>967</v>
      </c>
    </row>
    <row r="26" spans="1:3" ht="14.4">
      <c r="A26" s="3649"/>
      <c r="B26" s="3648"/>
      <c r="C26" s="1532" t="s">
        <v>968</v>
      </c>
    </row>
    <row r="27" spans="1:3" ht="14.4">
      <c r="A27" s="3649"/>
      <c r="B27" s="3648"/>
      <c r="C27" s="1532" t="s">
        <v>969</v>
      </c>
    </row>
    <row r="28" spans="1:3" ht="14.4">
      <c r="A28" s="3649"/>
      <c r="B28" s="3648"/>
      <c r="C28" s="1532" t="s">
        <v>970</v>
      </c>
    </row>
    <row r="29" spans="1:3" ht="14.4">
      <c r="A29" s="3649"/>
      <c r="B29" s="3648"/>
      <c r="C29" s="1532" t="s">
        <v>971</v>
      </c>
    </row>
    <row r="30" spans="1:3" ht="14.4">
      <c r="A30" s="3649"/>
      <c r="B30" s="3648"/>
      <c r="C30" s="1532" t="s">
        <v>972</v>
      </c>
    </row>
    <row r="31" spans="1:3" ht="14.4">
      <c r="A31" s="3649"/>
      <c r="B31" s="3648"/>
      <c r="C31" s="1532" t="s">
        <v>973</v>
      </c>
    </row>
    <row r="32" spans="1:3" ht="14.4">
      <c r="A32" s="3649"/>
      <c r="B32" s="3648"/>
      <c r="C32" s="1532" t="s">
        <v>974</v>
      </c>
    </row>
    <row r="33" spans="1:3" ht="14.4">
      <c r="A33" s="3649"/>
      <c r="B33" s="364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45757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53" t="s">
        <v>2160</v>
      </c>
      <c r="B17" s="3653"/>
      <c r="C17" s="3653"/>
      <c r="D17" s="3653"/>
      <c r="E17" s="3653"/>
      <c r="F17" s="3653"/>
      <c r="G17" s="3653"/>
      <c r="H17" s="3653"/>
    </row>
    <row r="18" spans="1:8" ht="24" customHeight="1">
      <c r="A18" s="3654" t="s">
        <v>2161</v>
      </c>
      <c r="B18" s="3654"/>
      <c r="C18" s="3654"/>
      <c r="D18" s="2343"/>
      <c r="E18" s="3655" t="s">
        <v>2162</v>
      </c>
      <c r="F18" s="3654"/>
      <c r="G18" s="365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2025-04-10T08:34:35Z</dcterms:modified>
</cp:coreProperties>
</file>