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48固安项目\"/>
    </mc:Choice>
  </mc:AlternateContent>
  <bookViews>
    <workbookView xWindow="480" yWindow="210" windowWidth="12120" windowHeight="7620" tabRatio="875" firstSheet="13" activeTab="19"/>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土地案例"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K13" i="3" l="1"/>
  <c r="G7" i="39"/>
  <c r="I9" i="39" l="1"/>
  <c r="G9" i="39"/>
  <c r="E9" i="39"/>
  <c r="I7" i="39"/>
  <c r="E7" i="39"/>
  <c r="I40" i="39"/>
  <c r="G40" i="39"/>
  <c r="E40" i="39"/>
  <c r="I48" i="39"/>
  <c r="G48" i="39"/>
  <c r="E48" i="39"/>
  <c r="C11" i="4" l="1"/>
  <c r="B7" i="4"/>
  <c r="I13" i="3" l="1"/>
  <c r="D3" i="4"/>
  <c r="C40" i="39" l="1"/>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F6" i="68"/>
  <c r="M11" i="68" l="1"/>
  <c r="J10" i="68" s="1"/>
  <c r="F11" i="68"/>
  <c r="F38" i="68"/>
  <c r="J15" i="68"/>
  <c r="F36" i="68"/>
  <c r="M22" i="68"/>
  <c r="M6" i="68"/>
  <c r="F9" i="68"/>
  <c r="F26" i="68"/>
  <c r="F40" i="68"/>
  <c r="M28" i="68"/>
  <c r="F13" i="68"/>
  <c r="M24" i="68"/>
  <c r="F16" i="68"/>
  <c r="F37" i="68"/>
  <c r="F8" i="68"/>
  <c r="M23" i="68"/>
  <c r="F42" i="68"/>
  <c r="M26" i="68"/>
  <c r="M8" i="68"/>
  <c r="M9" i="68"/>
  <c r="C76" i="68"/>
  <c r="F68" i="68" l="1"/>
  <c r="F64" i="68"/>
  <c r="F70" i="68"/>
  <c r="Q71" i="68"/>
  <c r="C27" i="68"/>
  <c r="F65" i="68"/>
  <c r="F51" i="68"/>
  <c r="F66"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E8" i="67"/>
  <c r="B9" i="67"/>
  <c r="B10" i="67"/>
  <c r="B14" i="67"/>
  <c r="F8" i="67"/>
  <c r="E10" i="67"/>
  <c r="E14" i="67"/>
  <c r="F12" i="67"/>
  <c r="E12" i="67"/>
  <c r="B12" i="67"/>
  <c r="E13" i="67"/>
  <c r="E9" i="67"/>
  <c r="F14" i="67"/>
  <c r="B13" i="67"/>
  <c r="F11" i="67"/>
  <c r="F10" i="67"/>
  <c r="F9" i="67"/>
  <c r="B11" i="67"/>
  <c r="F13" i="67"/>
  <c r="B8"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6" i="65"/>
  <c r="N4" i="65"/>
  <c r="N3" i="65"/>
  <c r="I3" i="65"/>
  <c r="C4" i="65" l="1"/>
  <c r="B39" i="1" s="1"/>
  <c r="J6" i="65"/>
  <c r="J7" i="65"/>
  <c r="J4" i="65"/>
  <c r="I4" i="65"/>
  <c r="J5" i="65"/>
  <c r="I6" i="65"/>
  <c r="J3" i="65"/>
  <c r="I5" i="65"/>
  <c r="I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N14" i="59"/>
  <c r="D14" i="59"/>
  <c r="Q13" i="59"/>
  <c r="P13" i="59"/>
  <c r="AA13" i="59" s="1"/>
  <c r="O13" i="59"/>
  <c r="N13" i="59"/>
  <c r="X13" i="59" s="1"/>
  <c r="Q12" i="59"/>
  <c r="P12" i="59"/>
  <c r="AA12" i="59" s="1"/>
  <c r="O12" i="59"/>
  <c r="N12" i="59"/>
  <c r="X12" i="59" s="1"/>
  <c r="Q11" i="59"/>
  <c r="P11" i="59"/>
  <c r="AA11" i="59" s="1"/>
  <c r="O11" i="59"/>
  <c r="N11" i="59"/>
  <c r="X11" i="59" s="1"/>
  <c r="Q10" i="59"/>
  <c r="P10" i="59"/>
  <c r="AA10" i="59" s="1"/>
  <c r="O10" i="59"/>
  <c r="N10" i="59"/>
  <c r="D10" i="59"/>
  <c r="Y11" i="59" l="1"/>
  <c r="Z11" i="59" s="1"/>
  <c r="AB11" i="59"/>
  <c r="Y12" i="59"/>
  <c r="Z12" i="59" s="1"/>
  <c r="AB12" i="59"/>
  <c r="Y13" i="59"/>
  <c r="Z13" i="59" s="1"/>
  <c r="AB13" i="59"/>
  <c r="X15" i="59"/>
  <c r="AA15" i="59"/>
  <c r="X16" i="59"/>
  <c r="AA16" i="59"/>
  <c r="X17" i="59"/>
  <c r="AA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A484" i="3" s="1"/>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A492" i="3" s="1"/>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A509" i="3" s="1"/>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A512" i="3" s="1"/>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A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A525" i="3" s="1"/>
  <c r="BC525" i="3"/>
  <c r="BD525" i="3"/>
  <c r="BE525" i="3"/>
  <c r="BF525" i="3"/>
  <c r="BG525" i="3"/>
  <c r="BH525" i="3"/>
  <c r="BI525" i="3"/>
  <c r="BJ525" i="3"/>
  <c r="BK525" i="3"/>
  <c r="BM525" i="3"/>
  <c r="BL525" i="3" s="1"/>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BD530" i="3"/>
  <c r="BE530" i="3"/>
  <c r="BF530" i="3"/>
  <c r="BG530" i="3"/>
  <c r="BH530" i="3"/>
  <c r="BI530" i="3"/>
  <c r="BJ530" i="3"/>
  <c r="BK530" i="3"/>
  <c r="BM530" i="3"/>
  <c r="BN530" i="3"/>
  <c r="BO530" i="3"/>
  <c r="BP530" i="3"/>
  <c r="BR530" i="3"/>
  <c r="BS530" i="3"/>
  <c r="BT530" i="3"/>
  <c r="H531" i="3"/>
  <c r="AC531" i="3"/>
  <c r="G531" i="3"/>
  <c r="BB531" i="3"/>
  <c r="BC531" i="3"/>
  <c r="BA531" i="3" s="1"/>
  <c r="BD531" i="3"/>
  <c r="BE531" i="3"/>
  <c r="BF531" i="3"/>
  <c r="BG531" i="3"/>
  <c r="BH531" i="3"/>
  <c r="BI531" i="3"/>
  <c r="BJ531" i="3"/>
  <c r="BK531" i="3"/>
  <c r="BM531" i="3"/>
  <c r="BN531" i="3"/>
  <c r="BL531" i="3" s="1"/>
  <c r="AZ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L537" i="3" s="1"/>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A547" i="3" s="1"/>
  <c r="BD547" i="3"/>
  <c r="BE547" i="3"/>
  <c r="BF547" i="3"/>
  <c r="BG547" i="3"/>
  <c r="BH547" i="3"/>
  <c r="BI547" i="3"/>
  <c r="BJ547" i="3"/>
  <c r="BK547" i="3"/>
  <c r="BM547" i="3"/>
  <c r="BN547" i="3"/>
  <c r="BO547" i="3"/>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c r="AA38" i="39" s="1"/>
  <c r="J30" i="36"/>
  <c r="H30" i="36"/>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34" i="37"/>
  <c r="D99" i="37"/>
  <c r="E99" i="37" s="1"/>
  <c r="F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F45" i="39" s="1"/>
  <c r="AA45" i="39" s="1"/>
  <c r="D128" i="39"/>
  <c r="D124" i="39"/>
  <c r="B106" i="39"/>
  <c r="D99" i="39"/>
  <c r="D97" i="39"/>
  <c r="D95" i="39"/>
  <c r="E95" i="39" s="1"/>
  <c r="F95" i="39" s="1"/>
  <c r="G95" i="39" s="1"/>
  <c r="D93" i="39"/>
  <c r="E93" i="39" s="1"/>
  <c r="F93" i="39" s="1"/>
  <c r="G93" i="39" s="1"/>
  <c r="D91" i="39"/>
  <c r="E91" i="39" s="1"/>
  <c r="F91" i="39" s="1"/>
  <c r="G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U36" i="37" s="1"/>
  <c r="D103" i="37"/>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s="1"/>
  <c r="D75" i="37"/>
  <c r="E75" i="37" s="1"/>
  <c r="F75" i="37" s="1"/>
  <c r="D73" i="37"/>
  <c r="E73" i="37" s="1"/>
  <c r="F73" i="37" s="1"/>
  <c r="G73" i="37" s="1"/>
  <c r="D71" i="37"/>
  <c r="E71" i="37" s="1"/>
  <c r="F71" i="37" s="1"/>
  <c r="G71" i="37" s="1"/>
  <c r="F15" i="37"/>
  <c r="AA15" i="37" s="1"/>
  <c r="B68" i="37"/>
  <c r="H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J26" i="36"/>
  <c r="W26" i="36" s="1"/>
  <c r="B75" i="36"/>
  <c r="B73" i="36"/>
  <c r="J24" i="36" s="1"/>
  <c r="B71" i="36"/>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S35" i="35" s="1"/>
  <c r="B97" i="35"/>
  <c r="J34" i="35" s="1"/>
  <c r="AC34" i="35" s="1"/>
  <c r="B77" i="35"/>
  <c r="B75" i="35"/>
  <c r="J24" i="35" s="1"/>
  <c r="B73" i="35"/>
  <c r="B57" i="35"/>
  <c r="B61" i="35"/>
  <c r="B59" i="35"/>
  <c r="H12" i="35" s="1"/>
  <c r="B131" i="34"/>
  <c r="H47" i="34" s="1"/>
  <c r="U47" i="34" s="1"/>
  <c r="B129" i="34"/>
  <c r="B127" i="34"/>
  <c r="B99" i="34"/>
  <c r="B97" i="34"/>
  <c r="B95" i="34"/>
  <c r="B93" i="34"/>
  <c r="B75" i="34"/>
  <c r="B73" i="34"/>
  <c r="H13" i="34" s="1"/>
  <c r="U13" i="34" s="1"/>
  <c r="B71" i="34"/>
  <c r="B130" i="33"/>
  <c r="B128" i="33"/>
  <c r="H45" i="33"/>
  <c r="U45" i="33" s="1"/>
  <c r="B126" i="33"/>
  <c r="B98" i="33"/>
  <c r="F31" i="33" s="1"/>
  <c r="B96" i="33"/>
  <c r="F30" i="33" s="1"/>
  <c r="S30" i="33" s="1"/>
  <c r="B94" i="33"/>
  <c r="B74" i="33"/>
  <c r="H14" i="33" s="1"/>
  <c r="U14" i="33" s="1"/>
  <c r="B72" i="33"/>
  <c r="H13" i="33" s="1"/>
  <c r="U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D123" i="21"/>
  <c r="E123" i="21" s="1"/>
  <c r="F123" i="21" s="1"/>
  <c r="D119" i="21"/>
  <c r="D117" i="21"/>
  <c r="E117" i="21" s="1"/>
  <c r="F117" i="21" s="1"/>
  <c r="G117" i="21" s="1"/>
  <c r="D115" i="2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U44" i="21" s="1"/>
  <c r="B98" i="21"/>
  <c r="H31" i="21" s="1"/>
  <c r="U31" i="21" s="1"/>
  <c r="B96" i="21"/>
  <c r="H30" i="21" s="1"/>
  <c r="B94" i="21"/>
  <c r="B92" i="21"/>
  <c r="F28" i="21" s="1"/>
  <c r="B90" i="21"/>
  <c r="J27" i="21" s="1"/>
  <c r="W27" i="21" s="1"/>
  <c r="B74" i="21"/>
  <c r="J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F9" i="12"/>
  <c r="E9" i="12"/>
  <c r="G9" i="12"/>
  <c r="K5" i="3"/>
  <c r="F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F32" i="21"/>
  <c r="AA32" i="21" s="1"/>
  <c r="F36" i="21"/>
  <c r="S36" i="21" s="1"/>
  <c r="F39" i="21"/>
  <c r="AA39" i="21" s="1"/>
  <c r="J40" i="21"/>
  <c r="W40" i="21" s="1"/>
  <c r="H35" i="21"/>
  <c r="AB35" i="21" s="1"/>
  <c r="J8" i="21"/>
  <c r="AC8" i="21" s="1"/>
  <c r="H8" i="21"/>
  <c r="H10" i="21"/>
  <c r="U10" i="21" s="1"/>
  <c r="H39" i="21"/>
  <c r="AB39" i="21" s="1"/>
  <c r="J34" i="21"/>
  <c r="W34" i="21" s="1"/>
  <c r="H36" i="21"/>
  <c r="U36" i="21" s="1"/>
  <c r="J10" i="21"/>
  <c r="AC10" i="21" s="1"/>
  <c r="H26" i="21"/>
  <c r="U26" i="21" s="1"/>
  <c r="F19" i="21"/>
  <c r="AA19" i="21" s="1"/>
  <c r="H19" i="21"/>
  <c r="AB19" i="21" s="1"/>
  <c r="J19" i="21"/>
  <c r="W19" i="21" s="1"/>
  <c r="J12" i="21"/>
  <c r="AC12" i="21" s="1"/>
  <c r="J26" i="21"/>
  <c r="W26" i="21" s="1"/>
  <c r="F26" i="21"/>
  <c r="AA26" i="21" s="1"/>
  <c r="AA41" i="21"/>
  <c r="S10" i="39"/>
  <c r="E103" i="37"/>
  <c r="F103" i="37" s="1"/>
  <c r="F39" i="37"/>
  <c r="S39" i="37" s="1"/>
  <c r="F29" i="36"/>
  <c r="AA29" i="36" s="1"/>
  <c r="F16" i="36"/>
  <c r="AA16" i="36" s="1"/>
  <c r="U22" i="36"/>
  <c r="W22" i="36"/>
  <c r="AC31" i="36"/>
  <c r="AC27" i="35"/>
  <c r="S31" i="35"/>
  <c r="W31" i="35"/>
  <c r="F36" i="34"/>
  <c r="S36" i="34" s="1"/>
  <c r="S34" i="34"/>
  <c r="H39" i="33"/>
  <c r="AB39" i="33" s="1"/>
  <c r="W38" i="33"/>
  <c r="U38" i="33"/>
  <c r="AB27" i="35"/>
  <c r="S10" i="40"/>
  <c r="W10" i="40"/>
  <c r="S11" i="40"/>
  <c r="U11" i="40"/>
  <c r="S36" i="40"/>
  <c r="U36" i="40"/>
  <c r="S40" i="39"/>
  <c r="S36" i="39"/>
  <c r="C29" i="39"/>
  <c r="C23" i="39"/>
  <c r="U36" i="39"/>
  <c r="H32" i="33"/>
  <c r="AB32" i="33" s="1"/>
  <c r="J11" i="21"/>
  <c r="W11" i="21" s="1"/>
  <c r="J27" i="36"/>
  <c r="W27" i="36" s="1"/>
  <c r="J30" i="35"/>
  <c r="W30" i="35" s="1"/>
  <c r="F22" i="35"/>
  <c r="AA22" i="35" s="1"/>
  <c r="H10" i="35"/>
  <c r="J29" i="36"/>
  <c r="AC29" i="36" s="1"/>
  <c r="F24" i="36"/>
  <c r="AA24" i="36" s="1"/>
  <c r="S10" i="36"/>
  <c r="H16" i="35"/>
  <c r="U16" i="35" s="1"/>
  <c r="H33" i="35"/>
  <c r="AB33" i="35" s="1"/>
  <c r="W8" i="35"/>
  <c r="AC8" i="35"/>
  <c r="F35" i="37"/>
  <c r="S35" i="37" s="1"/>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J28" i="34"/>
  <c r="W28" i="34" s="1"/>
  <c r="F36" i="33"/>
  <c r="S36" i="33" s="1"/>
  <c r="F19" i="33"/>
  <c r="S19" i="33" s="1"/>
  <c r="J19" i="33"/>
  <c r="W19" i="33" s="1"/>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AA42" i="34"/>
  <c r="S42" i="34"/>
  <c r="AC38" i="34"/>
  <c r="AA38" i="34"/>
  <c r="J37" i="33"/>
  <c r="W37" i="33" s="1"/>
  <c r="J44" i="34"/>
  <c r="AC44" i="34" s="1"/>
  <c r="F44" i="34"/>
  <c r="J10" i="35"/>
  <c r="W10" i="35" s="1"/>
  <c r="AL5" i="3"/>
  <c r="BQ13" i="3"/>
  <c r="F14" i="21"/>
  <c r="AA14" i="21" s="1"/>
  <c r="H28" i="21"/>
  <c r="AB28" i="21" s="1"/>
  <c r="J28" i="21"/>
  <c r="AC28" i="21" s="1"/>
  <c r="F30" i="21"/>
  <c r="S30" i="21" s="1"/>
  <c r="J44" i="21"/>
  <c r="AC44" i="21" s="1"/>
  <c r="F44" i="21"/>
  <c r="AA44" i="21" s="1"/>
  <c r="J46" i="21"/>
  <c r="W46" i="21" s="1"/>
  <c r="F28" i="33"/>
  <c r="AA28" i="33"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J27" i="33"/>
  <c r="AC27" i="33" s="1"/>
  <c r="F27" i="33"/>
  <c r="S27" i="33" s="1"/>
  <c r="F13" i="33"/>
  <c r="H31" i="33"/>
  <c r="J45" i="33"/>
  <c r="W45" i="33" s="1"/>
  <c r="F45" i="33"/>
  <c r="S45" i="33" s="1"/>
  <c r="F11" i="35"/>
  <c r="S11" i="35" s="1"/>
  <c r="H28" i="36"/>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F29" i="37"/>
  <c r="AA29" i="37" s="1"/>
  <c r="AB36" i="37"/>
  <c r="J37" i="37"/>
  <c r="AC37" i="37" s="1"/>
  <c r="H37" i="37"/>
  <c r="U37" i="37" s="1"/>
  <c r="H40" i="37"/>
  <c r="U40" i="37" s="1"/>
  <c r="J40" i="37"/>
  <c r="W40" i="37" s="1"/>
  <c r="F40" i="37"/>
  <c r="AA40" i="37" s="1"/>
  <c r="F14" i="33"/>
  <c r="AA14" i="33" s="1"/>
  <c r="H30" i="33"/>
  <c r="AB30" i="33" s="1"/>
  <c r="J30" i="33"/>
  <c r="W30" i="33" s="1"/>
  <c r="H44" i="33"/>
  <c r="U44" i="33" s="1"/>
  <c r="J44" i="33"/>
  <c r="AC44" i="33" s="1"/>
  <c r="F44" i="33"/>
  <c r="S44" i="33" s="1"/>
  <c r="J46" i="33"/>
  <c r="AC46" i="33" s="1"/>
  <c r="J13" i="34"/>
  <c r="W13" i="34" s="1"/>
  <c r="H29" i="34"/>
  <c r="U29" i="34" s="1"/>
  <c r="H45" i="34"/>
  <c r="U45" i="34" s="1"/>
  <c r="F47" i="34"/>
  <c r="AA47" i="34" s="1"/>
  <c r="H13" i="35"/>
  <c r="U13" i="35" s="1"/>
  <c r="F25" i="35"/>
  <c r="J35" i="35"/>
  <c r="H35" i="35"/>
  <c r="U35" i="35" s="1"/>
  <c r="F25" i="36"/>
  <c r="AA25" i="36" s="1"/>
  <c r="H13" i="37"/>
  <c r="AB13" i="37" s="1"/>
  <c r="J13" i="37"/>
  <c r="AC13" i="37" s="1"/>
  <c r="J28" i="37"/>
  <c r="AC28" i="37" s="1"/>
  <c r="H38" i="37"/>
  <c r="AB38" i="37" s="1"/>
  <c r="F38" i="37"/>
  <c r="S38" i="37" s="1"/>
  <c r="F14" i="37"/>
  <c r="AA14" i="37" s="1"/>
  <c r="F27" i="37"/>
  <c r="J14" i="37"/>
  <c r="W14" i="37" s="1"/>
  <c r="J27" i="37"/>
  <c r="W27" i="37" s="1"/>
  <c r="W46" i="33"/>
  <c r="AB40" i="37"/>
  <c r="J36" i="37"/>
  <c r="AC36" i="37" s="1"/>
  <c r="AB31" i="21"/>
  <c r="AC13" i="36"/>
  <c r="AB27" i="33"/>
  <c r="S19" i="21"/>
  <c r="G521" i="3"/>
  <c r="G513" i="3"/>
  <c r="G499" i="3"/>
  <c r="G485" i="3"/>
  <c r="G565" i="3"/>
  <c r="G557" i="3"/>
  <c r="G545" i="3"/>
  <c r="BL569" i="3"/>
  <c r="BL557" i="3"/>
  <c r="BL545" i="3"/>
  <c r="BL527" i="3"/>
  <c r="BL511" i="3"/>
  <c r="BL491" i="3"/>
  <c r="G16" i="3"/>
  <c r="BL559" i="3"/>
  <c r="BL551" i="3"/>
  <c r="BL533" i="3"/>
  <c r="G518" i="3"/>
  <c r="G510" i="3"/>
  <c r="BL495" i="3"/>
  <c r="G18" i="3"/>
  <c r="BA565" i="3"/>
  <c r="BA559" i="3"/>
  <c r="AZ559" i="3" s="1"/>
  <c r="BA551" i="3"/>
  <c r="BA545" i="3"/>
  <c r="AZ545" i="3" s="1"/>
  <c r="BA541" i="3"/>
  <c r="BA521" i="3"/>
  <c r="BA505" i="3"/>
  <c r="BA493" i="3"/>
  <c r="BA19" i="3"/>
  <c r="BA566" i="3"/>
  <c r="BA560" i="3"/>
  <c r="BA556" i="3"/>
  <c r="AZ556" i="3" s="1"/>
  <c r="BA550" i="3"/>
  <c r="BA546" i="3"/>
  <c r="BA540" i="3"/>
  <c r="BA532" i="3"/>
  <c r="BA524" i="3"/>
  <c r="BA516" i="3"/>
  <c r="BA508" i="3"/>
  <c r="BA498" i="3"/>
  <c r="BA488" i="3"/>
  <c r="BA20" i="3"/>
  <c r="G566" i="3"/>
  <c r="G560" i="3"/>
  <c r="G556" i="3"/>
  <c r="G550" i="3"/>
  <c r="BL543" i="3"/>
  <c r="BA542" i="3"/>
  <c r="AC542" i="3"/>
  <c r="BQ542" i="3"/>
  <c r="BL542" i="3" s="1"/>
  <c r="BQ568" i="3"/>
  <c r="BQ566" i="3"/>
  <c r="BQ564" i="3"/>
  <c r="BQ562" i="3"/>
  <c r="BQ560" i="3"/>
  <c r="BL560" i="3" s="1"/>
  <c r="AZ560" i="3" s="1"/>
  <c r="BQ558" i="3"/>
  <c r="BQ556" i="3"/>
  <c r="BL556" i="3" s="1"/>
  <c r="BQ554" i="3"/>
  <c r="BQ552" i="3"/>
  <c r="BQ550" i="3"/>
  <c r="BL550" i="3" s="1"/>
  <c r="BQ548" i="3"/>
  <c r="BQ546" i="3"/>
  <c r="BQ544" i="3"/>
  <c r="G544" i="3"/>
  <c r="G534" i="3"/>
  <c r="G526" i="3"/>
  <c r="BQ540" i="3"/>
  <c r="BL540" i="3" s="1"/>
  <c r="BQ538" i="3"/>
  <c r="BQ536" i="3"/>
  <c r="BQ534" i="3"/>
  <c r="BL534" i="3"/>
  <c r="BQ532" i="3"/>
  <c r="BL532" i="3"/>
  <c r="BQ530" i="3"/>
  <c r="BQ528" i="3"/>
  <c r="BQ526" i="3"/>
  <c r="BL526" i="3"/>
  <c r="BQ524" i="3"/>
  <c r="BL524" i="3"/>
  <c r="BQ522" i="3"/>
  <c r="BQ520" i="3"/>
  <c r="BL520" i="3" s="1"/>
  <c r="BQ518" i="3"/>
  <c r="BQ516" i="3"/>
  <c r="BQ514" i="3"/>
  <c r="BQ512" i="3"/>
  <c r="BQ510" i="3"/>
  <c r="BQ508" i="3"/>
  <c r="BL508" i="3" s="1"/>
  <c r="AC506" i="3"/>
  <c r="G506" i="3" s="1"/>
  <c r="BQ506" i="3"/>
  <c r="G498" i="3"/>
  <c r="BQ504" i="3"/>
  <c r="BQ502" i="3"/>
  <c r="BL502" i="3" s="1"/>
  <c r="AZ502" i="3" s="1"/>
  <c r="BQ500" i="3"/>
  <c r="BQ498" i="3"/>
  <c r="BL498" i="3" s="1"/>
  <c r="AZ498" i="3" s="1"/>
  <c r="BQ496" i="3"/>
  <c r="AC494" i="3"/>
  <c r="G494" i="3" s="1"/>
  <c r="BQ494" i="3"/>
  <c r="BL493" i="3"/>
  <c r="G488" i="3"/>
  <c r="G20" i="3"/>
  <c r="BQ492" i="3"/>
  <c r="BL492" i="3"/>
  <c r="BQ490" i="3"/>
  <c r="BQ488" i="3"/>
  <c r="BL488" i="3" s="1"/>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F125" i="33"/>
  <c r="G125" i="33" s="1"/>
  <c r="H43" i="33"/>
  <c r="U43" i="33" s="1"/>
  <c r="H17" i="37"/>
  <c r="U17" i="37" s="1"/>
  <c r="F23" i="37"/>
  <c r="S23" i="37" s="1"/>
  <c r="F79" i="37"/>
  <c r="G79" i="37" s="1"/>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B43" i="33"/>
  <c r="AC12" i="35"/>
  <c r="AC8" i="37"/>
  <c r="AC36" i="34"/>
  <c r="AB8" i="34"/>
  <c r="AC37" i="33"/>
  <c r="AC45" i="33"/>
  <c r="F43" i="33"/>
  <c r="AA43" i="33" s="1"/>
  <c r="AA23" i="37"/>
  <c r="AB44" i="33"/>
  <c r="H19" i="34"/>
  <c r="AB19" i="34" s="1"/>
  <c r="J10" i="37"/>
  <c r="W10" i="37" s="1"/>
  <c r="H9" i="37"/>
  <c r="U9" i="37" s="1"/>
  <c r="F11" i="37"/>
  <c r="S11" i="37" s="1"/>
  <c r="J12" i="37"/>
  <c r="AC12" i="37" s="1"/>
  <c r="H12" i="37"/>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07" i="3"/>
  <c r="BA15" i="3"/>
  <c r="BL17" i="3"/>
  <c r="BL15" i="3"/>
  <c r="BA14" i="3"/>
  <c r="AZ14" i="3" s="1"/>
  <c r="BT5" i="3"/>
  <c r="J57" i="39"/>
  <c r="H13" i="40"/>
  <c r="U13" i="40" s="1"/>
  <c r="H12" i="48"/>
  <c r="I4" i="4"/>
  <c r="K143" i="21"/>
  <c r="I59" i="40"/>
  <c r="C59" i="40" s="1"/>
  <c r="I60" i="40"/>
  <c r="C60" i="40" s="1"/>
  <c r="W9" i="33"/>
  <c r="G297" i="3"/>
  <c r="BL298" i="3"/>
  <c r="G299" i="3"/>
  <c r="BL300" i="3"/>
  <c r="BA302" i="3"/>
  <c r="AZ302" i="3"/>
  <c r="BA303" i="3"/>
  <c r="BL303" i="3"/>
  <c r="AZ303" i="3" s="1"/>
  <c r="G304" i="3"/>
  <c r="BA305" i="3"/>
  <c r="AZ305" i="3" s="1"/>
  <c r="G321" i="3"/>
  <c r="BL322" i="3"/>
  <c r="G323" i="3"/>
  <c r="BL324" i="3"/>
  <c r="BA326" i="3"/>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BL115" i="3"/>
  <c r="AZ115" i="3"/>
  <c r="G116" i="3"/>
  <c r="BA118" i="3"/>
  <c r="AZ118" i="3" s="1"/>
  <c r="BL119" i="3"/>
  <c r="AZ119" i="3" s="1"/>
  <c r="G120" i="3"/>
  <c r="BA122" i="3"/>
  <c r="AZ122" i="3"/>
  <c r="BL123" i="3"/>
  <c r="AZ123" i="3"/>
  <c r="G124" i="3"/>
  <c r="BA126" i="3"/>
  <c r="AZ126" i="3" s="1"/>
  <c r="BL127" i="3"/>
  <c r="AZ127" i="3" s="1"/>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s="1"/>
  <c r="BA153" i="3"/>
  <c r="BL154" i="3"/>
  <c r="AZ154" i="3" s="1"/>
  <c r="G155" i="3"/>
  <c r="BA157" i="3"/>
  <c r="AZ157" i="3" s="1"/>
  <c r="BL158" i="3"/>
  <c r="AZ158" i="3" s="1"/>
  <c r="G159" i="3"/>
  <c r="BA161" i="3"/>
  <c r="BL162" i="3"/>
  <c r="G163" i="3"/>
  <c r="BA165" i="3"/>
  <c r="AZ165" i="3" s="1"/>
  <c r="BL166" i="3"/>
  <c r="AZ166" i="3" s="1"/>
  <c r="G167" i="3"/>
  <c r="BA169" i="3"/>
  <c r="AZ169" i="3" s="1"/>
  <c r="BL170" i="3"/>
  <c r="AZ170" i="3" s="1"/>
  <c r="G171" i="3"/>
  <c r="BA173" i="3"/>
  <c r="AZ173" i="3" s="1"/>
  <c r="BL174" i="3"/>
  <c r="G175" i="3"/>
  <c r="BA178" i="3"/>
  <c r="BL179" i="3"/>
  <c r="AZ179" i="3" s="1"/>
  <c r="G180" i="3"/>
  <c r="AZ27" i="3"/>
  <c r="AZ35" i="3"/>
  <c r="AZ43" i="3"/>
  <c r="AZ51" i="3"/>
  <c r="AZ59" i="3"/>
  <c r="G537" i="3"/>
  <c r="BL181" i="3"/>
  <c r="AZ181" i="3"/>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74" i="3"/>
  <c r="AZ82" i="3"/>
  <c r="AZ201" i="3"/>
  <c r="AZ84" i="3"/>
  <c r="AZ86" i="3"/>
  <c r="AZ94" i="3"/>
  <c r="AZ102" i="3"/>
  <c r="AZ110" i="3"/>
  <c r="BA298" i="3"/>
  <c r="AZ298" i="3" s="1"/>
  <c r="BA299" i="3"/>
  <c r="BL299" i="3"/>
  <c r="G300" i="3"/>
  <c r="G303" i="3"/>
  <c r="BL304" i="3"/>
  <c r="BA306" i="3"/>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BA347" i="3"/>
  <c r="BL347" i="3"/>
  <c r="AZ347" i="3" s="1"/>
  <c r="G348" i="3"/>
  <c r="G351" i="3"/>
  <c r="BL352" i="3"/>
  <c r="BA354" i="3"/>
  <c r="BA355" i="3"/>
  <c r="AZ355" i="3"/>
  <c r="BL355" i="3"/>
  <c r="G356" i="3"/>
  <c r="BA358" i="3"/>
  <c r="AZ358" i="3" s="1"/>
  <c r="BA359" i="3"/>
  <c r="BL359" i="3"/>
  <c r="AZ359" i="3" s="1"/>
  <c r="G360" i="3"/>
  <c r="G361" i="3"/>
  <c r="BL362" i="3"/>
  <c r="BA364" i="3"/>
  <c r="AZ364" i="3" s="1"/>
  <c r="BA365" i="3"/>
  <c r="BL365" i="3"/>
  <c r="G366" i="3"/>
  <c r="G369" i="3"/>
  <c r="BL370" i="3"/>
  <c r="BA372" i="3"/>
  <c r="AZ372" i="3"/>
  <c r="BA373" i="3"/>
  <c r="BL373" i="3"/>
  <c r="AZ373" i="3" s="1"/>
  <c r="G374" i="3"/>
  <c r="G377" i="3"/>
  <c r="BL378" i="3"/>
  <c r="BA380" i="3"/>
  <c r="AZ380" i="3" s="1"/>
  <c r="BA381" i="3"/>
  <c r="AZ381" i="3" s="1"/>
  <c r="BL381" i="3"/>
  <c r="G382" i="3"/>
  <c r="G385" i="3"/>
  <c r="AZ162" i="3"/>
  <c r="AZ183" i="3"/>
  <c r="AZ187" i="3"/>
  <c r="AZ191" i="3"/>
  <c r="AZ195" i="3"/>
  <c r="AZ199" i="3"/>
  <c r="AZ203" i="3"/>
  <c r="BL297" i="3"/>
  <c r="G298" i="3"/>
  <c r="BA300" i="3"/>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21" i="3"/>
  <c r="AZ225" i="3"/>
  <c r="AZ237" i="3"/>
  <c r="AZ241" i="3"/>
  <c r="AZ309" i="3"/>
  <c r="AZ317" i="3"/>
  <c r="AZ321" i="3"/>
  <c r="AZ325" i="3"/>
  <c r="AZ333" i="3"/>
  <c r="AZ337" i="3"/>
  <c r="AZ341" i="3"/>
  <c r="AZ349" i="3"/>
  <c r="AZ353" i="3"/>
  <c r="AZ357" i="3"/>
  <c r="AZ363" i="3"/>
  <c r="G368" i="3"/>
  <c r="BA370" i="3"/>
  <c r="AZ370" i="3" s="1"/>
  <c r="BL371" i="3"/>
  <c r="AZ371" i="3"/>
  <c r="G372" i="3"/>
  <c r="BA374" i="3"/>
  <c r="AZ374" i="3" s="1"/>
  <c r="BL375" i="3"/>
  <c r="G376" i="3"/>
  <c r="BA378" i="3"/>
  <c r="AZ378" i="3" s="1"/>
  <c r="BL379" i="3"/>
  <c r="G380" i="3"/>
  <c r="BA382" i="3"/>
  <c r="AZ382" i="3" s="1"/>
  <c r="BL383" i="3"/>
  <c r="G384" i="3"/>
  <c r="AZ257" i="3"/>
  <c r="AZ375" i="3"/>
  <c r="AZ270" i="3"/>
  <c r="AZ282" i="3"/>
  <c r="AZ286" i="3"/>
  <c r="AZ295" i="3"/>
  <c r="AZ311" i="3"/>
  <c r="AZ313" i="3"/>
  <c r="AZ331" i="3"/>
  <c r="AZ335" i="3"/>
  <c r="AZ339" i="3"/>
  <c r="AZ369" i="3"/>
  <c r="AZ385" i="3"/>
  <c r="AZ430" i="3"/>
  <c r="AZ446" i="3"/>
  <c r="AZ450" i="3"/>
  <c r="AZ455" i="3"/>
  <c r="AZ467" i="3"/>
  <c r="AZ471" i="3"/>
  <c r="H7" i="48"/>
  <c r="H113" i="46"/>
  <c r="H17" i="46"/>
  <c r="F33" i="46"/>
  <c r="F35" i="46"/>
  <c r="F37" i="46"/>
  <c r="H16" i="48"/>
  <c r="H9" i="48"/>
  <c r="H8" i="48"/>
  <c r="C12" i="46"/>
  <c r="AA13" i="40"/>
  <c r="BH5" i="3"/>
  <c r="R16" i="4"/>
  <c r="P16" i="4"/>
  <c r="D3" i="35"/>
  <c r="G4" i="4"/>
  <c r="S37" i="34"/>
  <c r="J16" i="35"/>
  <c r="W16" i="35" s="1"/>
  <c r="AC26" i="36"/>
  <c r="H11" i="37"/>
  <c r="AB11" i="37" s="1"/>
  <c r="AA30" i="33"/>
  <c r="S42" i="33"/>
  <c r="AB17" i="37"/>
  <c r="AZ524" i="3"/>
  <c r="AA45" i="33"/>
  <c r="AC10" i="36"/>
  <c r="AC14" i="37"/>
  <c r="AC30" i="33"/>
  <c r="W32" i="36"/>
  <c r="AB28" i="33"/>
  <c r="J33" i="34"/>
  <c r="AC33" i="34" s="1"/>
  <c r="AB36" i="34"/>
  <c r="J40" i="34"/>
  <c r="W40" i="34" s="1"/>
  <c r="F16" i="35"/>
  <c r="AA16" i="35" s="1"/>
  <c r="J35" i="34"/>
  <c r="W35"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AB28" i="35"/>
  <c r="U28" i="35"/>
  <c r="J13" i="33"/>
  <c r="W13" i="33" s="1"/>
  <c r="H29" i="33"/>
  <c r="AB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J43" i="39"/>
  <c r="AC43" i="39" s="1"/>
  <c r="AC40" i="37"/>
  <c r="W27" i="33"/>
  <c r="S14" i="21"/>
  <c r="AB29" i="35"/>
  <c r="U29" i="35"/>
  <c r="AC19" i="33"/>
  <c r="U43" i="34"/>
  <c r="AB43" i="34"/>
  <c r="AC34" i="37"/>
  <c r="AA35" i="37"/>
  <c r="AB34" i="21"/>
  <c r="BL571" i="3"/>
  <c r="AB40" i="33"/>
  <c r="U40" i="33"/>
  <c r="AA35" i="34"/>
  <c r="S35" i="34"/>
  <c r="E90" i="34"/>
  <c r="H27" i="34"/>
  <c r="AB27" i="34" s="1"/>
  <c r="AB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F78" i="36"/>
  <c r="G78" i="36" s="1"/>
  <c r="H78" i="36" s="1"/>
  <c r="I78" i="36" s="1"/>
  <c r="J78" i="36" s="1"/>
  <c r="K78" i="36" s="1"/>
  <c r="L78" i="36" s="1"/>
  <c r="M78" i="36" s="1"/>
  <c r="F26" i="36"/>
  <c r="S26" i="36" s="1"/>
  <c r="F33" i="36"/>
  <c r="AA33" i="36" s="1"/>
  <c r="H27" i="36"/>
  <c r="AB27" i="36" s="1"/>
  <c r="AA31" i="36"/>
  <c r="AC26" i="37"/>
  <c r="W26" i="37"/>
  <c r="AB29" i="37"/>
  <c r="AA30" i="37"/>
  <c r="S30" i="37"/>
  <c r="AC30" i="37"/>
  <c r="W31"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J34" i="39"/>
  <c r="AC34" i="39" s="1"/>
  <c r="H39" i="39"/>
  <c r="AB39" i="39" s="1"/>
  <c r="J29" i="35"/>
  <c r="AC29" i="35" s="1"/>
  <c r="F29" i="35"/>
  <c r="S29" i="35" s="1"/>
  <c r="W30" i="36"/>
  <c r="AC30" i="36"/>
  <c r="F37" i="39"/>
  <c r="S37" i="39" s="1"/>
  <c r="J37" i="39"/>
  <c r="W37" i="39" s="1"/>
  <c r="BA568" i="3"/>
  <c r="BA567" i="3"/>
  <c r="BL566" i="3"/>
  <c r="BL565" i="3"/>
  <c r="BA564" i="3"/>
  <c r="BA563" i="3"/>
  <c r="BL554" i="3"/>
  <c r="BA553" i="3"/>
  <c r="BA552" i="3"/>
  <c r="BL549" i="3"/>
  <c r="BL548" i="3"/>
  <c r="BL547" i="3"/>
  <c r="BL539" i="3"/>
  <c r="BA538" i="3"/>
  <c r="BA537" i="3"/>
  <c r="BA535" i="3"/>
  <c r="AZ535" i="3" s="1"/>
  <c r="BA533" i="3"/>
  <c r="AZ533" i="3" s="1"/>
  <c r="BL530" i="3"/>
  <c r="BL529" i="3"/>
  <c r="BL528" i="3"/>
  <c r="AZ528" i="3" s="1"/>
  <c r="BA526" i="3"/>
  <c r="AZ526" i="3" s="1"/>
  <c r="BL523" i="3"/>
  <c r="AZ523" i="3"/>
  <c r="BA522" i="3"/>
  <c r="AZ522" i="3" s="1"/>
  <c r="BA519" i="3"/>
  <c r="AZ519" i="3" s="1"/>
  <c r="BL518" i="3"/>
  <c r="BA518" i="3"/>
  <c r="AZ518" i="3" s="1"/>
  <c r="BL517" i="3"/>
  <c r="BA517" i="3"/>
  <c r="BL515" i="3"/>
  <c r="BA515" i="3"/>
  <c r="BA514" i="3"/>
  <c r="BL513" i="3"/>
  <c r="BA513" i="3"/>
  <c r="AZ513" i="3" s="1"/>
  <c r="BL512" i="3"/>
  <c r="BA511" i="3"/>
  <c r="AZ511" i="3" s="1"/>
  <c r="BA510" i="3"/>
  <c r="BL509" i="3"/>
  <c r="BL507" i="3"/>
  <c r="BA507" i="3"/>
  <c r="BL506" i="3"/>
  <c r="BA506" i="3"/>
  <c r="AZ506" i="3"/>
  <c r="BL505" i="3"/>
  <c r="AZ505" i="3"/>
  <c r="BL504" i="3"/>
  <c r="BA504" i="3"/>
  <c r="BA503" i="3"/>
  <c r="AZ503" i="3"/>
  <c r="BA500" i="3"/>
  <c r="BL499" i="3"/>
  <c r="BA499" i="3"/>
  <c r="AZ499" i="3" s="1"/>
  <c r="BL497" i="3"/>
  <c r="BA497" i="3"/>
  <c r="BL496" i="3"/>
  <c r="BA496" i="3"/>
  <c r="AZ496" i="3"/>
  <c r="BA495" i="3"/>
  <c r="AZ495" i="3"/>
  <c r="BL494" i="3"/>
  <c r="BA494" i="3"/>
  <c r="AZ494" i="3" s="1"/>
  <c r="BA491" i="3"/>
  <c r="AZ491" i="3" s="1"/>
  <c r="BL490" i="3"/>
  <c r="BA490" i="3"/>
  <c r="BL489" i="3"/>
  <c r="BA489" i="3"/>
  <c r="AZ489" i="3"/>
  <c r="BL487" i="3"/>
  <c r="AZ487" i="3"/>
  <c r="BL486" i="3"/>
  <c r="BA486" i="3"/>
  <c r="BA485" i="3"/>
  <c r="AZ485" i="3"/>
  <c r="BA483" i="3"/>
  <c r="AZ483" i="3"/>
  <c r="BA482" i="3"/>
  <c r="BL481" i="3"/>
  <c r="BJ5" i="3"/>
  <c r="BA481" i="3"/>
  <c r="AZ481"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W12" i="21"/>
  <c r="S34" i="21"/>
  <c r="AC36" i="21"/>
  <c r="AB8" i="33"/>
  <c r="U8" i="33"/>
  <c r="E106" i="33"/>
  <c r="H34" i="33"/>
  <c r="U34" i="33" s="1"/>
  <c r="F34" i="33"/>
  <c r="S34" i="33" s="1"/>
  <c r="F41" i="33"/>
  <c r="S41" i="33" s="1"/>
  <c r="AC34" i="34"/>
  <c r="W34" i="34"/>
  <c r="AA39" i="34"/>
  <c r="S39" i="34"/>
  <c r="S43" i="34"/>
  <c r="E78" i="34"/>
  <c r="F15" i="34"/>
  <c r="AC28" i="35"/>
  <c r="J20" i="35"/>
  <c r="AC20" i="35" s="1"/>
  <c r="E72" i="35"/>
  <c r="F72" i="35" s="1"/>
  <c r="G72" i="35" s="1"/>
  <c r="H22" i="35"/>
  <c r="AB22" i="35" s="1"/>
  <c r="F23" i="35"/>
  <c r="AA23" i="35" s="1"/>
  <c r="U31" i="36"/>
  <c r="S8" i="37"/>
  <c r="F14" i="39"/>
  <c r="AA14" i="39" s="1"/>
  <c r="J14" i="39"/>
  <c r="AC14" i="39" s="1"/>
  <c r="H16" i="39"/>
  <c r="U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F25" i="39"/>
  <c r="AA2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407" i="3"/>
  <c r="AZ431" i="3"/>
  <c r="AZ439" i="3"/>
  <c r="B41" i="1"/>
  <c r="F34" i="44" s="1"/>
  <c r="J42" i="40"/>
  <c r="AC42" i="40" s="1"/>
  <c r="J40" i="40"/>
  <c r="AC40" i="40" s="1"/>
  <c r="J34" i="40"/>
  <c r="AC34" i="40" s="1"/>
  <c r="H16" i="40"/>
  <c r="AB16" i="40" s="1"/>
  <c r="H14" i="40"/>
  <c r="U14" i="40" s="1"/>
  <c r="F32" i="40"/>
  <c r="AA32" i="40" s="1"/>
  <c r="AZ428" i="3"/>
  <c r="AZ433" i="3"/>
  <c r="AZ441" i="3"/>
  <c r="AZ444" i="3"/>
  <c r="M1" i="46"/>
  <c r="M6" i="46"/>
  <c r="M10" i="46"/>
  <c r="N2" i="46"/>
  <c r="N5" i="46"/>
  <c r="F58" i="46" s="1"/>
  <c r="F47" i="46"/>
  <c r="H49" i="46" s="1"/>
  <c r="N7" i="46"/>
  <c r="AZ466" i="3"/>
  <c r="AZ469" i="3"/>
  <c r="AZ212" i="3"/>
  <c r="AZ220" i="3"/>
  <c r="AZ223" i="3"/>
  <c r="AZ236" i="3"/>
  <c r="AZ239" i="3"/>
  <c r="AZ268" i="3"/>
  <c r="AZ273" i="3"/>
  <c r="AZ284" i="3"/>
  <c r="AZ289" i="3"/>
  <c r="AZ124" i="3"/>
  <c r="AZ140" i="3"/>
  <c r="M7" i="46"/>
  <c r="M11" i="46"/>
  <c r="N3" i="46"/>
  <c r="N6" i="46"/>
  <c r="N10" i="46"/>
  <c r="AZ164" i="3"/>
  <c r="AZ167" i="3"/>
  <c r="AZ180" i="3"/>
  <c r="AZ32" i="3"/>
  <c r="AZ48" i="3"/>
  <c r="AZ71" i="3"/>
  <c r="AZ91" i="3"/>
  <c r="AZ107" i="3"/>
  <c r="AZ112" i="3"/>
  <c r="H47" i="46"/>
  <c r="J13" i="40"/>
  <c r="W13" i="40" s="1"/>
  <c r="W40" i="40"/>
  <c r="AC14" i="40"/>
  <c r="S33" i="40"/>
  <c r="S47" i="39"/>
  <c r="AB37" i="34"/>
  <c r="W41" i="40"/>
  <c r="J23" i="40"/>
  <c r="AC23" i="40" s="1"/>
  <c r="F23" i="40"/>
  <c r="S23" i="40" s="1"/>
  <c r="AC15" i="40"/>
  <c r="AB16" i="39"/>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21" i="39"/>
  <c r="U21" i="39"/>
  <c r="AA14" i="35"/>
  <c r="G99" i="37"/>
  <c r="F33" i="37" s="1"/>
  <c r="AC30" i="34"/>
  <c r="W12" i="34"/>
  <c r="U29" i="33"/>
  <c r="AC13" i="33"/>
  <c r="AA11" i="34"/>
  <c r="W32" i="33"/>
  <c r="H15" i="33"/>
  <c r="U15" i="33" s="1"/>
  <c r="AA11" i="33"/>
  <c r="U16" i="40"/>
  <c r="W34" i="40"/>
  <c r="AB34" i="40"/>
  <c r="U42" i="40"/>
  <c r="W32" i="40"/>
  <c r="H25" i="40"/>
  <c r="AB25" i="40" s="1"/>
  <c r="F94" i="40"/>
  <c r="G94" i="40" s="1"/>
  <c r="U47" i="39"/>
  <c r="W15" i="39"/>
  <c r="J37" i="34"/>
  <c r="AC37" i="34" s="1"/>
  <c r="J36" i="33"/>
  <c r="W36" i="33" s="1"/>
  <c r="S41" i="40"/>
  <c r="AB23" i="40"/>
  <c r="H23" i="39"/>
  <c r="AB23" i="39" s="1"/>
  <c r="J23" i="39"/>
  <c r="AC23" i="39" s="1"/>
  <c r="F97" i="39"/>
  <c r="G97" i="39"/>
  <c r="S15" i="34"/>
  <c r="AA15" i="34"/>
  <c r="AA41" i="33"/>
  <c r="AA34" i="33"/>
  <c r="F106" i="33"/>
  <c r="G106" i="33" s="1"/>
  <c r="H106" i="33" s="1"/>
  <c r="I106" i="33" s="1"/>
  <c r="J106" i="33" s="1"/>
  <c r="K106" i="33" s="1"/>
  <c r="L106" i="33" s="1"/>
  <c r="M106" i="33" s="1"/>
  <c r="J34" i="33"/>
  <c r="AC34" i="33" s="1"/>
  <c r="U30" i="40"/>
  <c r="W29" i="35"/>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U20" i="35"/>
  <c r="AB20" i="35"/>
  <c r="AP11" i="1"/>
  <c r="B11" i="1"/>
  <c r="E11" i="1" s="1"/>
  <c r="K11" i="1"/>
  <c r="M11" i="1" s="1"/>
  <c r="B9" i="1"/>
  <c r="E9" i="1" s="1"/>
  <c r="K9" i="1"/>
  <c r="M9" i="1" s="1"/>
  <c r="B7" i="1"/>
  <c r="E7" i="1" s="1"/>
  <c r="C20" i="43"/>
  <c r="L47" i="68"/>
  <c r="E2" i="65"/>
  <c r="G103" i="39" l="1"/>
  <c r="F29" i="39"/>
  <c r="AA29" i="39" s="1"/>
  <c r="H29" i="39"/>
  <c r="U29" i="39" s="1"/>
  <c r="AZ300" i="3"/>
  <c r="AA10" i="35"/>
  <c r="S10" i="35"/>
  <c r="AZ542" i="3"/>
  <c r="AZ566" i="3"/>
  <c r="AZ565" i="3"/>
  <c r="AC35" i="35"/>
  <c r="W35" i="35"/>
  <c r="S13" i="33"/>
  <c r="AA13" i="33"/>
  <c r="U10" i="35"/>
  <c r="AB10" i="35"/>
  <c r="S43" i="21"/>
  <c r="AA43" i="21"/>
  <c r="W35" i="21"/>
  <c r="AC35" i="21"/>
  <c r="E115" i="21"/>
  <c r="F115" i="21" s="1"/>
  <c r="G115" i="21" s="1"/>
  <c r="H115" i="21" s="1"/>
  <c r="I115" i="21" s="1"/>
  <c r="J115" i="21" s="1"/>
  <c r="K115" i="21" s="1"/>
  <c r="L115" i="21" s="1"/>
  <c r="M115" i="21" s="1"/>
  <c r="H38" i="21"/>
  <c r="E125" i="21"/>
  <c r="F125" i="21" s="1"/>
  <c r="G125" i="21" s="1"/>
  <c r="J43" i="21"/>
  <c r="AC43" i="21" s="1"/>
  <c r="W8" i="33"/>
  <c r="AC8" i="33"/>
  <c r="AC33" i="33"/>
  <c r="W33" i="33"/>
  <c r="AC42" i="33"/>
  <c r="W42" i="33"/>
  <c r="J26" i="33"/>
  <c r="AC26" i="33" s="1"/>
  <c r="H26" i="33"/>
  <c r="U26" i="33" s="1"/>
  <c r="J9" i="34"/>
  <c r="H9" i="34"/>
  <c r="AA12" i="35"/>
  <c r="S12" i="35"/>
  <c r="H36" i="35"/>
  <c r="F36" i="35"/>
  <c r="U8" i="36"/>
  <c r="AB8" i="36"/>
  <c r="J9" i="37"/>
  <c r="W9" i="37" s="1"/>
  <c r="F9" i="37"/>
  <c r="S9" i="37" s="1"/>
  <c r="U27" i="37"/>
  <c r="AB27" i="37"/>
  <c r="F28" i="37"/>
  <c r="AA28" i="37" s="1"/>
  <c r="H28" i="37"/>
  <c r="U28" i="37" s="1"/>
  <c r="F16" i="39"/>
  <c r="J16" i="39"/>
  <c r="AC16" i="39" s="1"/>
  <c r="J17" i="40"/>
  <c r="F86" i="40"/>
  <c r="G86" i="40" s="1"/>
  <c r="BL564" i="3"/>
  <c r="AZ564" i="3" s="1"/>
  <c r="BL562" i="3"/>
  <c r="BA562" i="3"/>
  <c r="BL561" i="3"/>
  <c r="BA561" i="3"/>
  <c r="AZ561" i="3" s="1"/>
  <c r="BA558" i="3"/>
  <c r="BA557" i="3"/>
  <c r="AZ557" i="3" s="1"/>
  <c r="BL555" i="3"/>
  <c r="BA555" i="3"/>
  <c r="BA554" i="3"/>
  <c r="AZ554" i="3" s="1"/>
  <c r="BL553" i="3"/>
  <c r="AZ553" i="3" s="1"/>
  <c r="AZ539" i="3"/>
  <c r="BL536" i="3"/>
  <c r="AZ536" i="3" s="1"/>
  <c r="AZ534" i="3"/>
  <c r="AZ527" i="3"/>
  <c r="AZ525" i="3"/>
  <c r="BL514" i="3"/>
  <c r="AZ514" i="3" s="1"/>
  <c r="AZ512" i="3"/>
  <c r="AZ509" i="3"/>
  <c r="BL484" i="3"/>
  <c r="AZ484" i="3" s="1"/>
  <c r="BL482" i="3"/>
  <c r="AZ482" i="3" s="1"/>
  <c r="K141" i="21"/>
  <c r="K144" i="21"/>
  <c r="S17" i="34"/>
  <c r="W23" i="40"/>
  <c r="AC36" i="33"/>
  <c r="AA37" i="39"/>
  <c r="AC16" i="40"/>
  <c r="U17" i="34"/>
  <c r="AA14" i="34"/>
  <c r="U46" i="34"/>
  <c r="AA11" i="36"/>
  <c r="J29" i="39"/>
  <c r="AC29" i="39" s="1"/>
  <c r="U41" i="40"/>
  <c r="AC47" i="39"/>
  <c r="AZ354" i="3"/>
  <c r="AZ323" i="3"/>
  <c r="AZ532" i="3"/>
  <c r="AZ488" i="3"/>
  <c r="AZ508" i="3"/>
  <c r="AZ540" i="3"/>
  <c r="AZ550" i="3"/>
  <c r="AZ551" i="3"/>
  <c r="AA27" i="37"/>
  <c r="S27" i="37"/>
  <c r="AA25" i="35"/>
  <c r="S25" i="35"/>
  <c r="W29" i="37"/>
  <c r="AC29" i="37"/>
  <c r="U28" i="36"/>
  <c r="AB28" i="36"/>
  <c r="U31" i="33"/>
  <c r="AB31" i="33"/>
  <c r="AA45" i="21"/>
  <c r="S45" i="21"/>
  <c r="S44" i="34"/>
  <c r="AA44" i="34"/>
  <c r="S33" i="33"/>
  <c r="U9" i="33"/>
  <c r="AB8" i="21"/>
  <c r="U8" i="21"/>
  <c r="F38" i="21"/>
  <c r="S38" i="21" s="1"/>
  <c r="H43" i="21"/>
  <c r="AB43" i="21" s="1"/>
  <c r="BL572" i="3"/>
  <c r="BA572" i="3"/>
  <c r="AZ572" i="3" s="1"/>
  <c r="BA571" i="3"/>
  <c r="AZ571" i="3" s="1"/>
  <c r="BL570" i="3"/>
  <c r="BF5" i="3"/>
  <c r="AA8" i="21"/>
  <c r="S8" i="21"/>
  <c r="H13" i="21"/>
  <c r="U13" i="21" s="1"/>
  <c r="F13" i="21"/>
  <c r="AA13" i="21" s="1"/>
  <c r="J29" i="21"/>
  <c r="AC29" i="21" s="1"/>
  <c r="F29" i="21"/>
  <c r="S29" i="21" s="1"/>
  <c r="J45" i="21"/>
  <c r="H45" i="21"/>
  <c r="U45" i="21" s="1"/>
  <c r="J29" i="33"/>
  <c r="W29" i="33" s="1"/>
  <c r="F29" i="33"/>
  <c r="AA29" i="33" s="1"/>
  <c r="F46" i="33"/>
  <c r="H46" i="33"/>
  <c r="AB46" i="33" s="1"/>
  <c r="F29" i="34"/>
  <c r="S29" i="34" s="1"/>
  <c r="J29" i="34"/>
  <c r="AC29" i="34" s="1"/>
  <c r="J31" i="34"/>
  <c r="H31" i="34"/>
  <c r="J45" i="34"/>
  <c r="W45" i="34" s="1"/>
  <c r="F45" i="34"/>
  <c r="AA45" i="34" s="1"/>
  <c r="J13" i="35"/>
  <c r="AC13" i="35" s="1"/>
  <c r="F13" i="35"/>
  <c r="S13" i="35" s="1"/>
  <c r="J23" i="35"/>
  <c r="H23" i="35"/>
  <c r="J25" i="35"/>
  <c r="H25" i="35"/>
  <c r="J12" i="36"/>
  <c r="H12" i="36"/>
  <c r="U12" i="36" s="1"/>
  <c r="H23" i="36"/>
  <c r="AB23" i="36" s="1"/>
  <c r="J23" i="36"/>
  <c r="AC23" i="36" s="1"/>
  <c r="J25" i="36"/>
  <c r="W25" i="36" s="1"/>
  <c r="H25" i="36"/>
  <c r="AB25" i="36" s="1"/>
  <c r="H34" i="36"/>
  <c r="J34" i="36"/>
  <c r="W34" i="36" s="1"/>
  <c r="J33" i="36"/>
  <c r="H33" i="36"/>
  <c r="AA25" i="37"/>
  <c r="S25" i="37"/>
  <c r="E99" i="39"/>
  <c r="F99" i="39" s="1"/>
  <c r="G99" i="39" s="1"/>
  <c r="J25" i="39"/>
  <c r="AC25" i="39" s="1"/>
  <c r="E124" i="39"/>
  <c r="F124" i="39" s="1"/>
  <c r="G124" i="39" s="1"/>
  <c r="H124" i="39" s="1"/>
  <c r="I124" i="39" s="1"/>
  <c r="J124" i="39" s="1"/>
  <c r="K124" i="39" s="1"/>
  <c r="L124" i="39" s="1"/>
  <c r="M124" i="39" s="1"/>
  <c r="F42" i="39"/>
  <c r="AA42" i="39" s="1"/>
  <c r="J42" i="39"/>
  <c r="AC42" i="39" s="1"/>
  <c r="H42" i="39"/>
  <c r="AB42" i="39" s="1"/>
  <c r="H109" i="39"/>
  <c r="I109" i="39" s="1"/>
  <c r="J109" i="39" s="1"/>
  <c r="K109" i="39" s="1"/>
  <c r="L109" i="39" s="1"/>
  <c r="M109" i="39" s="1"/>
  <c r="H34" i="39"/>
  <c r="F39" i="39"/>
  <c r="J39" i="39"/>
  <c r="E126" i="39"/>
  <c r="F126" i="39" s="1"/>
  <c r="G126" i="39" s="1"/>
  <c r="H126" i="39" s="1"/>
  <c r="I126" i="39" s="1"/>
  <c r="J126" i="39" s="1"/>
  <c r="K126" i="39" s="1"/>
  <c r="L126" i="39" s="1"/>
  <c r="M126" i="39" s="1"/>
  <c r="H43" i="39"/>
  <c r="U43" i="39" s="1"/>
  <c r="U30" i="36"/>
  <c r="AB30" i="36"/>
  <c r="BA569" i="3"/>
  <c r="AZ569" i="3" s="1"/>
  <c r="BL568" i="3"/>
  <c r="AZ568" i="3" s="1"/>
  <c r="BL567" i="3"/>
  <c r="AZ567" i="3" s="1"/>
  <c r="G564" i="3"/>
  <c r="BL563" i="3"/>
  <c r="AZ563" i="3" s="1"/>
  <c r="BL546" i="3"/>
  <c r="AZ546" i="3" s="1"/>
  <c r="BL544" i="3"/>
  <c r="AZ543" i="3"/>
  <c r="AZ541" i="3"/>
  <c r="AZ521" i="3"/>
  <c r="BE5" i="3"/>
  <c r="AZ520" i="3"/>
  <c r="BL516" i="3"/>
  <c r="A14" i="55"/>
  <c r="B65" i="63" s="1"/>
  <c r="A2" i="55"/>
  <c r="B55" i="63" s="1"/>
  <c r="A11" i="55"/>
  <c r="K145" i="21"/>
  <c r="BB5" i="3"/>
  <c r="AZ490" i="3"/>
  <c r="AZ507" i="3"/>
  <c r="AZ517" i="3"/>
  <c r="AZ301" i="3"/>
  <c r="AZ338" i="3"/>
  <c r="AZ322" i="3"/>
  <c r="AZ299" i="3"/>
  <c r="AZ161" i="3"/>
  <c r="AZ377" i="3"/>
  <c r="BL500" i="3"/>
  <c r="AZ500" i="3" s="1"/>
  <c r="BL510" i="3"/>
  <c r="AZ510" i="3" s="1"/>
  <c r="BL538" i="3"/>
  <c r="AZ538" i="3" s="1"/>
  <c r="BL552" i="3"/>
  <c r="AZ552" i="3" s="1"/>
  <c r="BL558" i="3"/>
  <c r="G542" i="3"/>
  <c r="AC5" i="3"/>
  <c r="BA570" i="3"/>
  <c r="AZ570" i="3" s="1"/>
  <c r="BI5" i="3"/>
  <c r="BG5" i="3"/>
  <c r="G568" i="3"/>
  <c r="G553" i="3"/>
  <c r="G548" i="3"/>
  <c r="G541" i="3"/>
  <c r="G533" i="3"/>
  <c r="G527" i="3"/>
  <c r="G519" i="3"/>
  <c r="G509" i="3"/>
  <c r="G503" i="3"/>
  <c r="G495" i="3"/>
  <c r="G486" i="3"/>
  <c r="C92" i="9"/>
  <c r="B62" i="63"/>
  <c r="BA389" i="3"/>
  <c r="AZ389" i="3" s="1"/>
  <c r="BA390" i="3"/>
  <c r="AZ390" i="3" s="1"/>
  <c r="G393" i="3"/>
  <c r="G396" i="3"/>
  <c r="BL396" i="3"/>
  <c r="BA397" i="3"/>
  <c r="AZ397" i="3" s="1"/>
  <c r="BA398" i="3"/>
  <c r="AZ398" i="3" s="1"/>
  <c r="BA399" i="3"/>
  <c r="AZ399" i="3" s="1"/>
  <c r="BA400" i="3"/>
  <c r="AZ400" i="3" s="1"/>
  <c r="BA401" i="3"/>
  <c r="AZ401" i="3" s="1"/>
  <c r="BA402" i="3"/>
  <c r="AZ402" i="3" s="1"/>
  <c r="BA403" i="3"/>
  <c r="AZ403" i="3" s="1"/>
  <c r="BA404" i="3"/>
  <c r="AZ404" i="3" s="1"/>
  <c r="BA405" i="3"/>
  <c r="AZ405" i="3" s="1"/>
  <c r="BA406" i="3"/>
  <c r="BL406" i="3"/>
  <c r="G409" i="3"/>
  <c r="BL409" i="3"/>
  <c r="AZ409" i="3" s="1"/>
  <c r="G412" i="3"/>
  <c r="BL412" i="3"/>
  <c r="AZ412" i="3" s="1"/>
  <c r="BA413" i="3"/>
  <c r="AZ413" i="3" s="1"/>
  <c r="BA414" i="3"/>
  <c r="AZ414" i="3" s="1"/>
  <c r="BA415" i="3"/>
  <c r="AZ415" i="3" s="1"/>
  <c r="G417" i="3"/>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G444" i="3"/>
  <c r="G445" i="3"/>
  <c r="BL445" i="3"/>
  <c r="BA447" i="3"/>
  <c r="AZ447" i="3" s="1"/>
  <c r="BL449" i="3"/>
  <c r="AZ449"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BL306" i="3"/>
  <c r="AZ306" i="3" s="1"/>
  <c r="G311" i="3"/>
  <c r="BL312" i="3"/>
  <c r="AZ312" i="3" s="1"/>
  <c r="BA315" i="3"/>
  <c r="AZ315" i="3" s="1"/>
  <c r="BL319" i="3"/>
  <c r="AZ319" i="3" s="1"/>
  <c r="G325" i="3"/>
  <c r="BL326" i="3"/>
  <c r="AZ326" i="3" s="1"/>
  <c r="BL332" i="3"/>
  <c r="AZ332" i="3" s="1"/>
  <c r="BA334" i="3"/>
  <c r="AZ334" i="3" s="1"/>
  <c r="BL346" i="3"/>
  <c r="AZ346" i="3" s="1"/>
  <c r="BL351" i="3"/>
  <c r="AZ351" i="3" s="1"/>
  <c r="AZ394" i="3"/>
  <c r="AZ410" i="3"/>
  <c r="AZ418" i="3"/>
  <c r="AZ44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AZ251" i="3"/>
  <c r="BA252" i="3"/>
  <c r="AZ252" i="3" s="1"/>
  <c r="BA253" i="3"/>
  <c r="AZ253" i="3" s="1"/>
  <c r="BL255" i="3"/>
  <c r="AZ255" i="3" s="1"/>
  <c r="BA256" i="3"/>
  <c r="AZ256" i="3" s="1"/>
  <c r="G133" i="3"/>
  <c r="BL133" i="3"/>
  <c r="AZ160" i="3"/>
  <c r="BL161" i="3"/>
  <c r="AZ163" i="3"/>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7" i="3"/>
  <c r="G238" i="3"/>
  <c r="BL238" i="3"/>
  <c r="G241" i="3"/>
  <c r="G242" i="3"/>
  <c r="BL242" i="3"/>
  <c r="BA243" i="3"/>
  <c r="AZ243" i="3" s="1"/>
  <c r="BA244" i="3"/>
  <c r="AZ244" i="3" s="1"/>
  <c r="BA245" i="3"/>
  <c r="AZ245" i="3" s="1"/>
  <c r="BL247" i="3"/>
  <c r="AZ247" i="3" s="1"/>
  <c r="BA248" i="3"/>
  <c r="AZ248" i="3" s="1"/>
  <c r="BA249" i="3"/>
  <c r="AZ249" i="3" s="1"/>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BL285" i="3"/>
  <c r="BL288" i="3"/>
  <c r="BL290" i="3"/>
  <c r="AZ290" i="3" s="1"/>
  <c r="BA291" i="3"/>
  <c r="AZ291" i="3" s="1"/>
  <c r="BA292" i="3"/>
  <c r="AZ292" i="3" s="1"/>
  <c r="G295" i="3"/>
  <c r="G296" i="3"/>
  <c r="BL296" i="3"/>
  <c r="BA113" i="3"/>
  <c r="AZ113" i="3" s="1"/>
  <c r="BL114" i="3"/>
  <c r="AZ114" i="3" s="1"/>
  <c r="BA116" i="3"/>
  <c r="AZ116" i="3" s="1"/>
  <c r="G119" i="3"/>
  <c r="BL121" i="3"/>
  <c r="AZ121" i="3" s="1"/>
  <c r="G125" i="3"/>
  <c r="BL125" i="3"/>
  <c r="BL128" i="3"/>
  <c r="BA129" i="3"/>
  <c r="AZ129" i="3" s="1"/>
  <c r="BL130" i="3"/>
  <c r="AZ130" i="3" s="1"/>
  <c r="AZ133" i="3"/>
  <c r="BL137" i="3"/>
  <c r="AZ137" i="3" s="1"/>
  <c r="BA139" i="3"/>
  <c r="AZ139" i="3" s="1"/>
  <c r="G141" i="3"/>
  <c r="BL141" i="3"/>
  <c r="BA143" i="3"/>
  <c r="AZ143" i="3" s="1"/>
  <c r="BL144" i="3"/>
  <c r="BA145" i="3"/>
  <c r="BL145" i="3"/>
  <c r="BA147" i="3"/>
  <c r="AZ147" i="3" s="1"/>
  <c r="BL148" i="3"/>
  <c r="BA149" i="3"/>
  <c r="AZ149" i="3" s="1"/>
  <c r="BL150" i="3"/>
  <c r="AZ150" i="3" s="1"/>
  <c r="BA152" i="3"/>
  <c r="AZ152" i="3" s="1"/>
  <c r="BL153" i="3"/>
  <c r="AZ153" i="3" s="1"/>
  <c r="BA155" i="3"/>
  <c r="AZ155" i="3" s="1"/>
  <c r="G15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AZ172" i="3"/>
  <c r="AZ175" i="3"/>
  <c r="AZ202" i="3"/>
  <c r="AZ28" i="3"/>
  <c r="AZ34" i="3"/>
  <c r="AZ37" i="3"/>
  <c r="AZ44" i="3"/>
  <c r="AZ50" i="3"/>
  <c r="AZ53" i="3"/>
  <c r="AZ73" i="3"/>
  <c r="AZ83" i="3"/>
  <c r="BA56" i="3"/>
  <c r="AZ56" i="3" s="1"/>
  <c r="G59" i="3"/>
  <c r="G60" i="3"/>
  <c r="BL60" i="3"/>
  <c r="AZ60" i="3" s="1"/>
  <c r="BA61" i="3"/>
  <c r="AZ61" i="3" s="1"/>
  <c r="BL63" i="3"/>
  <c r="AZ63" i="3" s="1"/>
  <c r="BA64" i="3"/>
  <c r="AZ64" i="3" s="1"/>
  <c r="BL66" i="3"/>
  <c r="AZ66" i="3" s="1"/>
  <c r="BA67" i="3"/>
  <c r="AZ67" i="3" s="1"/>
  <c r="BL70" i="3"/>
  <c r="AZ70" i="3" s="1"/>
  <c r="G73" i="3"/>
  <c r="BL73" i="3"/>
  <c r="G76" i="3"/>
  <c r="BL76" i="3"/>
  <c r="AZ76" i="3" s="1"/>
  <c r="BA77" i="3"/>
  <c r="AZ77" i="3" s="1"/>
  <c r="BA78" i="3"/>
  <c r="AZ78" i="3" s="1"/>
  <c r="BA79" i="3"/>
  <c r="AZ79" i="3" s="1"/>
  <c r="G82" i="3"/>
  <c r="G83" i="3"/>
  <c r="BL83" i="3"/>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2" i="1"/>
  <c r="M12" i="1" s="1"/>
  <c r="E26" i="57"/>
  <c r="I10" i="57"/>
  <c r="H11" i="21"/>
  <c r="U11" i="21" s="1"/>
  <c r="F11" i="21"/>
  <c r="S11" i="21" s="1"/>
  <c r="G123" i="21"/>
  <c r="H123" i="21" s="1"/>
  <c r="I123" i="21" s="1"/>
  <c r="J123" i="21" s="1"/>
  <c r="K123" i="21" s="1"/>
  <c r="L123" i="21" s="1"/>
  <c r="M123" i="21" s="1"/>
  <c r="H42" i="21"/>
  <c r="AB42" i="21" s="1"/>
  <c r="J42" i="21"/>
  <c r="AC42" i="21" s="1"/>
  <c r="F42" i="21"/>
  <c r="AA42" i="21" s="1"/>
  <c r="U17" i="21"/>
  <c r="H113" i="21"/>
  <c r="F37" i="21"/>
  <c r="S37" i="21" s="1"/>
  <c r="H37" i="21"/>
  <c r="U37" i="21" s="1"/>
  <c r="J37" i="21"/>
  <c r="W37" i="21" s="1"/>
  <c r="AB41" i="21"/>
  <c r="U43" i="21"/>
  <c r="AA40" i="21"/>
  <c r="AC40" i="21"/>
  <c r="F35" i="21"/>
  <c r="AA35" i="21" s="1"/>
  <c r="S32" i="21"/>
  <c r="U42" i="21"/>
  <c r="W42" i="21"/>
  <c r="U40" i="21"/>
  <c r="U39" i="21"/>
  <c r="AA38" i="21"/>
  <c r="AB36" i="21"/>
  <c r="AA9" i="21"/>
  <c r="H9" i="21"/>
  <c r="J9" i="21"/>
  <c r="W33" i="39"/>
  <c r="S33" i="39"/>
  <c r="AB25" i="39"/>
  <c r="S23" i="39"/>
  <c r="S42" i="39"/>
  <c r="AA43" i="39"/>
  <c r="AB44" i="39"/>
  <c r="J41" i="39"/>
  <c r="AC41" i="39" s="1"/>
  <c r="F41" i="39"/>
  <c r="AA41" i="39" s="1"/>
  <c r="W43" i="39"/>
  <c r="W14" i="39"/>
  <c r="F71" i="9"/>
  <c r="F27" i="43"/>
  <c r="C27" i="43" s="1"/>
  <c r="AB17" i="39"/>
  <c r="K7" i="1"/>
  <c r="M7" i="1" s="1"/>
  <c r="O7" i="1" s="1"/>
  <c r="P7" i="1" s="1"/>
  <c r="D9" i="12"/>
  <c r="E32" i="6"/>
  <c r="C9" i="12"/>
  <c r="D3" i="21"/>
  <c r="J51" i="15"/>
  <c r="AB10" i="21"/>
  <c r="S10" i="21"/>
  <c r="U27" i="39"/>
  <c r="W27" i="39"/>
  <c r="AB29" i="39"/>
  <c r="U19" i="39"/>
  <c r="AA19" i="39"/>
  <c r="S17" i="39"/>
  <c r="U40" i="39"/>
  <c r="W8" i="21"/>
  <c r="F36" i="44"/>
  <c r="F72" i="9"/>
  <c r="F66" i="9"/>
  <c r="P72" i="9" s="1"/>
  <c r="BL13" i="3"/>
  <c r="G12" i="1"/>
  <c r="L59" i="68"/>
  <c r="N59" i="68"/>
  <c r="M59" i="68"/>
  <c r="AB12" i="37"/>
  <c r="U12" i="37"/>
  <c r="AZ544" i="3"/>
  <c r="AZ558" i="3"/>
  <c r="AZ562" i="3"/>
  <c r="AC14" i="21"/>
  <c r="W14" i="21"/>
  <c r="S28" i="21"/>
  <c r="AA28" i="21"/>
  <c r="U30" i="21"/>
  <c r="AB30" i="21"/>
  <c r="AB46" i="21"/>
  <c r="U46" i="21"/>
  <c r="AC9" i="34"/>
  <c r="W9" i="34"/>
  <c r="AA31" i="33"/>
  <c r="S31" i="33"/>
  <c r="AA46" i="33"/>
  <c r="S46" i="33"/>
  <c r="AC31" i="34"/>
  <c r="W31" i="34"/>
  <c r="AZ424" i="3"/>
  <c r="AB32" i="40"/>
  <c r="W35" i="40"/>
  <c r="AB14" i="40"/>
  <c r="AB15" i="37"/>
  <c r="AZ365" i="3"/>
  <c r="AZ379" i="3"/>
  <c r="S39" i="33"/>
  <c r="W23" i="37"/>
  <c r="AC23" i="37"/>
  <c r="S36" i="37"/>
  <c r="AA36" i="37"/>
  <c r="W41" i="34"/>
  <c r="AC41" i="34"/>
  <c r="AA12" i="21"/>
  <c r="AZ492" i="3"/>
  <c r="AZ516" i="3"/>
  <c r="AZ493" i="3"/>
  <c r="AB44" i="21"/>
  <c r="AC24" i="35"/>
  <c r="W24" i="35"/>
  <c r="W24" i="36"/>
  <c r="AC24" i="36"/>
  <c r="U14" i="37"/>
  <c r="AB14" i="37"/>
  <c r="AC39" i="37"/>
  <c r="W39" i="37"/>
  <c r="AZ396" i="3"/>
  <c r="AZ420" i="3"/>
  <c r="AZ432" i="3"/>
  <c r="C18" i="9"/>
  <c r="M43" i="9" s="1"/>
  <c r="AZ448" i="3"/>
  <c r="S28" i="33"/>
  <c r="S45" i="34"/>
  <c r="AC27" i="37"/>
  <c r="S24" i="36"/>
  <c r="W44" i="33"/>
  <c r="AB35" i="35"/>
  <c r="AB45" i="34"/>
  <c r="AC11" i="36"/>
  <c r="AC29" i="33"/>
  <c r="U32" i="33"/>
  <c r="W37" i="37"/>
  <c r="AB16" i="35"/>
  <c r="AA36" i="21"/>
  <c r="U19" i="21"/>
  <c r="AC28" i="34"/>
  <c r="U28" i="21"/>
  <c r="AA27" i="33"/>
  <c r="AB45" i="33"/>
  <c r="AB13" i="21"/>
  <c r="U30" i="33"/>
  <c r="AB13" i="35"/>
  <c r="AA38" i="37"/>
  <c r="J47" i="34"/>
  <c r="AC47" i="34" s="1"/>
  <c r="F31" i="34"/>
  <c r="S31" i="34" s="1"/>
  <c r="F13" i="34"/>
  <c r="AA13" i="34" s="1"/>
  <c r="J14" i="33"/>
  <c r="AC14" i="33" s="1"/>
  <c r="J31" i="33"/>
  <c r="AC31" i="33" s="1"/>
  <c r="J28" i="33"/>
  <c r="F46" i="21"/>
  <c r="J30" i="21"/>
  <c r="H14" i="21"/>
  <c r="AC34" i="36"/>
  <c r="W40" i="33"/>
  <c r="S38" i="33"/>
  <c r="W8" i="34"/>
  <c r="AA28" i="34"/>
  <c r="F34" i="36"/>
  <c r="S34" i="36" s="1"/>
  <c r="F12" i="36"/>
  <c r="S12" i="36" s="1"/>
  <c r="U29" i="36"/>
  <c r="AA12" i="33"/>
  <c r="H39" i="37"/>
  <c r="U33" i="33"/>
  <c r="F26" i="33"/>
  <c r="AA26" i="33" s="1"/>
  <c r="W39" i="34"/>
  <c r="U34" i="35"/>
  <c r="W36" i="35"/>
  <c r="U31" i="35"/>
  <c r="U26" i="36"/>
  <c r="W23" i="36"/>
  <c r="U30" i="37"/>
  <c r="W41" i="21"/>
  <c r="H12" i="21"/>
  <c r="H5" i="3"/>
  <c r="F9" i="34"/>
  <c r="AA9" i="34" s="1"/>
  <c r="J9" i="35"/>
  <c r="W9" i="35" s="1"/>
  <c r="F34" i="35"/>
  <c r="H24" i="36"/>
  <c r="J25" i="37"/>
  <c r="A30" i="64"/>
  <c r="A30" i="51"/>
  <c r="AZ468" i="3"/>
  <c r="AZ472" i="3"/>
  <c r="AZ206" i="3"/>
  <c r="AZ210" i="3"/>
  <c r="AZ222" i="3"/>
  <c r="AZ226" i="3"/>
  <c r="AZ238" i="3"/>
  <c r="AZ242" i="3"/>
  <c r="AZ254" i="3"/>
  <c r="AZ258" i="3"/>
  <c r="AZ269" i="3"/>
  <c r="AZ272" i="3"/>
  <c r="AZ285" i="3"/>
  <c r="AZ288" i="3"/>
  <c r="AZ296" i="3"/>
  <c r="AZ125" i="3"/>
  <c r="AZ128" i="3"/>
  <c r="AZ141" i="3"/>
  <c r="AZ144" i="3"/>
  <c r="AZ148" i="3"/>
  <c r="AZ25" i="3"/>
  <c r="AZ30" i="3"/>
  <c r="AZ41" i="3"/>
  <c r="AZ46" i="3"/>
  <c r="AZ57" i="3"/>
  <c r="AZ62" i="3"/>
  <c r="AZ65" i="3"/>
  <c r="AZ68" i="3"/>
  <c r="BA21" i="3"/>
  <c r="AZ21" i="3" s="1"/>
  <c r="AZ69" i="3"/>
  <c r="AZ80" i="3"/>
  <c r="AZ89" i="3"/>
  <c r="AZ100" i="3"/>
  <c r="AZ105" i="3"/>
  <c r="I21" i="57"/>
  <c r="D1" i="57" s="1"/>
  <c r="E10" i="57" s="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44"/>
  <c r="M30" i="44"/>
  <c r="M29" i="68"/>
  <c r="F38" i="44"/>
  <c r="M26" i="44"/>
  <c r="F7" i="68"/>
  <c r="M8" i="44"/>
  <c r="F18" i="44"/>
  <c r="M31" i="44"/>
  <c r="F15" i="44"/>
  <c r="L48" i="44"/>
  <c r="F11" i="44"/>
  <c r="F40" i="44"/>
  <c r="F8" i="44"/>
  <c r="F31" i="68"/>
  <c r="F28" i="44"/>
  <c r="M8" i="15"/>
  <c r="F10" i="44"/>
  <c r="M29" i="15"/>
  <c r="L48" i="68"/>
  <c r="F6" i="15"/>
  <c r="M24" i="15"/>
  <c r="M10" i="44"/>
  <c r="F43" i="15"/>
  <c r="M9" i="15"/>
  <c r="M11" i="44"/>
  <c r="M28" i="44"/>
  <c r="M24" i="44"/>
  <c r="L49" i="44"/>
  <c r="F43" i="44"/>
  <c r="M25" i="44"/>
  <c r="M6" i="15"/>
  <c r="F7" i="15"/>
  <c r="F45" i="44"/>
  <c r="F40" i="15"/>
  <c r="J17" i="44"/>
  <c r="F9" i="15"/>
  <c r="F42" i="15"/>
  <c r="L48" i="15"/>
  <c r="F39" i="44"/>
  <c r="F43" i="68"/>
  <c r="F16" i="15"/>
  <c r="AZ145" i="3" l="1"/>
  <c r="AZ406" i="3"/>
  <c r="AC39" i="39"/>
  <c r="W39" i="39"/>
  <c r="AB34" i="39"/>
  <c r="U34" i="39"/>
  <c r="U33" i="36"/>
  <c r="AB33" i="36"/>
  <c r="AB25" i="35"/>
  <c r="U25" i="35"/>
  <c r="U23" i="35"/>
  <c r="AB23" i="35"/>
  <c r="AB31" i="34"/>
  <c r="U31" i="34"/>
  <c r="AZ555" i="3"/>
  <c r="S36" i="35"/>
  <c r="AA36" i="35"/>
  <c r="AB9" i="34"/>
  <c r="U9" i="34"/>
  <c r="AB38" i="21"/>
  <c r="U38" i="21"/>
  <c r="B73" i="39"/>
  <c r="AA39" i="39"/>
  <c r="S39" i="39"/>
  <c r="W33" i="36"/>
  <c r="AC33" i="36"/>
  <c r="AB34" i="36"/>
  <c r="U34" i="36"/>
  <c r="W12" i="36"/>
  <c r="AC12" i="36"/>
  <c r="AC25" i="35"/>
  <c r="W25" i="35"/>
  <c r="AC23" i="35"/>
  <c r="W23" i="35"/>
  <c r="W45" i="21"/>
  <c r="AC45" i="21"/>
  <c r="AA16" i="39"/>
  <c r="S16" i="39"/>
  <c r="AB36" i="35"/>
  <c r="U36" i="35"/>
  <c r="E413" i="3"/>
  <c r="C33" i="21"/>
  <c r="AA11" i="21"/>
  <c r="AB11" i="21"/>
  <c r="S35" i="21"/>
  <c r="AB9" i="21"/>
  <c r="U9" i="21"/>
  <c r="AC9" i="21"/>
  <c r="W9" i="21"/>
  <c r="S41" i="39"/>
  <c r="AA15" i="21"/>
  <c r="AC23" i="21"/>
  <c r="AB11" i="46"/>
  <c r="AB13" i="46" s="1"/>
  <c r="L56" i="68"/>
  <c r="I54" i="68"/>
  <c r="J57" i="68"/>
  <c r="J55" i="68" s="1"/>
  <c r="J58" i="68" s="1"/>
  <c r="Q50" i="68" s="1"/>
  <c r="L58" i="68"/>
  <c r="F71" i="68"/>
  <c r="F50" i="68"/>
  <c r="M7" i="68"/>
  <c r="C6" i="68"/>
  <c r="C5" i="68" s="1"/>
  <c r="C16" i="46"/>
  <c r="C5" i="46" s="1"/>
  <c r="AP6" i="1"/>
  <c r="AB24" i="36"/>
  <c r="U24" i="36"/>
  <c r="AB39" i="37"/>
  <c r="U39" i="37"/>
  <c r="U14" i="21"/>
  <c r="AB14" i="21"/>
  <c r="AA46" i="21"/>
  <c r="S46" i="21"/>
  <c r="M6" i="1"/>
  <c r="C15" i="43" s="1"/>
  <c r="W25" i="37"/>
  <c r="AC25" i="37"/>
  <c r="AA34" i="35"/>
  <c r="S34" i="35"/>
  <c r="U12" i="21"/>
  <c r="AB12" i="21"/>
  <c r="W30" i="21"/>
  <c r="AC30" i="21"/>
  <c r="W28" i="33"/>
  <c r="AC28" i="33"/>
  <c r="Q74" i="68"/>
  <c r="Q61" i="68"/>
  <c r="G6" i="1"/>
  <c r="J53" i="15"/>
  <c r="F1" i="15" s="1"/>
  <c r="I54" i="15"/>
  <c r="I55" i="44"/>
  <c r="J54" i="44"/>
  <c r="L60" i="44"/>
  <c r="Q63" i="44" s="1"/>
  <c r="L59" i="44"/>
  <c r="Q75" i="44" s="1"/>
  <c r="J60" i="44"/>
  <c r="J58" i="44"/>
  <c r="J56" i="44" s="1"/>
  <c r="J59" i="44" s="1"/>
  <c r="Q52" i="44" s="1"/>
  <c r="L57" i="44"/>
  <c r="J61" i="44"/>
  <c r="Q50" i="44" s="1"/>
  <c r="E86" i="3"/>
  <c r="AE11" i="46"/>
  <c r="AE13" i="46" s="1"/>
  <c r="F29" i="6"/>
  <c r="F30" i="6" s="1"/>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AP16" i="1"/>
  <c r="F22" i="11" s="1"/>
  <c r="E4" i="4"/>
  <c r="C4" i="4"/>
  <c r="F67" i="15"/>
  <c r="M7" i="15"/>
  <c r="F49" i="15"/>
  <c r="F70" i="15"/>
  <c r="L56" i="15"/>
  <c r="J57" i="15"/>
  <c r="J55" i="15" s="1"/>
  <c r="J58" i="15" s="1"/>
  <c r="Q51" i="15" s="1"/>
  <c r="G66" i="36"/>
  <c r="J18" i="36"/>
  <c r="AE8" i="1"/>
  <c r="AE6" i="1"/>
  <c r="M17" i="15"/>
  <c r="F31" i="15"/>
  <c r="F33" i="44"/>
  <c r="F58" i="15"/>
  <c r="M19" i="44"/>
  <c r="M22" i="15"/>
  <c r="M28" i="15"/>
  <c r="F38" i="15"/>
  <c r="J15" i="15"/>
  <c r="F13" i="15"/>
  <c r="J36" i="15"/>
  <c r="C18" i="44"/>
  <c r="F41" i="15"/>
  <c r="F41" i="68"/>
  <c r="C16" i="15"/>
  <c r="C16" i="68"/>
  <c r="M17" i="68"/>
  <c r="AE7" i="1"/>
  <c r="F59" i="68"/>
  <c r="F46" i="44"/>
  <c r="M23" i="15"/>
  <c r="F26" i="15"/>
  <c r="M26" i="15"/>
  <c r="F8" i="15"/>
  <c r="F36" i="15"/>
  <c r="F37" i="15"/>
  <c r="L47" i="15"/>
  <c r="L58" i="15" l="1"/>
  <c r="Q74" i="15" s="1"/>
  <c r="L59" i="15"/>
  <c r="Q75" i="15" s="1"/>
  <c r="F64" i="15"/>
  <c r="F63" i="15"/>
  <c r="F50" i="15"/>
  <c r="C6" i="15"/>
  <c r="C5" i="15" s="1"/>
  <c r="C10" i="15"/>
  <c r="C27" i="15"/>
  <c r="Q72" i="15"/>
  <c r="F65" i="15"/>
  <c r="H33" i="21"/>
  <c r="J33" i="21"/>
  <c r="F33" i="21"/>
  <c r="O6" i="1"/>
  <c r="P6" i="1" s="1"/>
  <c r="C15" i="12" s="1"/>
  <c r="J6" i="68"/>
  <c r="J5" i="68"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B29" i="1" s="1"/>
  <c r="C11" i="11" s="1"/>
  <c r="C10" i="11" s="1"/>
  <c r="C17" i="11"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AC12" i="40"/>
  <c r="W12" i="40"/>
  <c r="E46" i="37"/>
  <c r="F46" i="37" s="1"/>
  <c r="C48" i="33"/>
  <c r="C49" i="33"/>
  <c r="B3" i="33" s="1"/>
  <c r="B2" i="33" s="1"/>
  <c r="L52" i="44"/>
  <c r="M27" i="15"/>
  <c r="M27" i="68"/>
  <c r="F7" i="67"/>
  <c r="M29" i="44"/>
  <c r="W33" i="21" l="1"/>
  <c r="AC33" i="21"/>
  <c r="AA33" i="21"/>
  <c r="S33" i="21"/>
  <c r="U33" i="21"/>
  <c r="AB33" i="21"/>
  <c r="C18" i="11"/>
  <c r="C19" i="11" s="1"/>
  <c r="C20" i="11" s="1"/>
  <c r="C21" i="11" s="1"/>
  <c r="C22" i="11" s="1"/>
  <c r="C23" i="11" s="1"/>
  <c r="B2" i="11" s="1"/>
  <c r="S5" i="46"/>
  <c r="T5" i="46" s="1"/>
  <c r="V5" i="46" s="1"/>
  <c r="S2" i="46"/>
  <c r="T2" i="46" s="1"/>
  <c r="V2" i="46" s="1"/>
  <c r="S3" i="46"/>
  <c r="T3" i="46" s="1"/>
  <c r="V3" i="46" s="1"/>
  <c r="S6" i="46"/>
  <c r="T6" i="46" s="1"/>
  <c r="V6" i="46" s="1"/>
  <c r="S7" i="46"/>
  <c r="T7" i="46" s="1"/>
  <c r="V7" i="46" s="1"/>
  <c r="S4" i="46"/>
  <c r="T4" i="46" s="1"/>
  <c r="V4" i="46" s="1"/>
  <c r="S7" i="37"/>
  <c r="G41" i="36"/>
  <c r="H41" i="36" s="1"/>
  <c r="C60" i="68"/>
  <c r="C66" i="68"/>
  <c r="AB12" i="39"/>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4" i="68"/>
  <c r="C19" i="44"/>
  <c r="E7" i="67"/>
  <c r="C17" i="68"/>
  <c r="B3" i="11" l="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B2" i="21" l="1"/>
  <c r="C10" i="12" s="1"/>
  <c r="C8" i="12"/>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M21" i="15"/>
  <c r="F35" i="68"/>
  <c r="F35" i="15"/>
  <c r="F37" i="44"/>
  <c r="M23" i="44"/>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C13" i="39" s="1"/>
  <c r="R27" i="6"/>
  <c r="C18" i="43"/>
  <c r="K70" i="39"/>
  <c r="J72" i="39"/>
  <c r="K65" i="40"/>
  <c r="J67" i="40"/>
  <c r="C65" i="15"/>
  <c r="C59" i="15"/>
  <c r="J13" i="39" l="1"/>
  <c r="H13" i="39"/>
  <c r="F13" i="39"/>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S13" i="39" l="1"/>
  <c r="AA13" i="39"/>
  <c r="AC13" i="39"/>
  <c r="W13" i="39"/>
  <c r="AB13" i="39"/>
  <c r="U13" i="39"/>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Q67" i="68" l="1"/>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L49" i="15" s="1"/>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0" i="9"/>
  <c r="D21" i="9"/>
  <c r="C36" i="12" l="1"/>
  <c r="B2" i="12" s="1"/>
  <c r="B4" i="12" s="1"/>
  <c r="C45" i="9"/>
  <c r="H14" i="66" s="1"/>
  <c r="B7" i="66" s="1"/>
  <c r="C19" i="9"/>
  <c r="C21" i="9"/>
  <c r="B3" i="12" l="1"/>
  <c r="B5" i="12"/>
  <c r="G19" i="9"/>
  <c r="D27" i="9" s="1"/>
  <c r="L43" i="9"/>
  <c r="D22" i="9"/>
  <c r="G21" i="9"/>
  <c r="N43" i="9"/>
  <c r="D7" i="66"/>
  <c r="C7" i="66"/>
  <c r="C20" i="9"/>
  <c r="G20" i="9" l="1"/>
  <c r="C32" i="9"/>
  <c r="G22" i="9"/>
  <c r="D45" i="9"/>
  <c r="E45" i="9"/>
  <c r="O40" i="9"/>
  <c r="F45" i="9"/>
  <c r="C42" i="9" l="1"/>
  <c r="C34" i="9"/>
  <c r="O43" i="9"/>
  <c r="O38" i="9"/>
  <c r="C33" i="9"/>
  <c r="C35" i="9"/>
  <c r="F42" i="9" s="1"/>
  <c r="K31" i="9"/>
  <c r="K32" i="9" s="1"/>
  <c r="R7" i="54"/>
  <c r="B52" i="63" s="1"/>
  <c r="K25" i="9" l="1"/>
  <c r="K26" i="9"/>
  <c r="E42" i="9"/>
  <c r="P5" i="54" s="1"/>
  <c r="B46" i="63" s="1"/>
  <c r="M38" i="9"/>
  <c r="K27" i="9" s="1"/>
  <c r="D42" i="9"/>
  <c r="Q5" i="54" s="1"/>
  <c r="B47" i="63" s="1"/>
  <c r="N38" i="9"/>
  <c r="K28" i="9" s="1"/>
  <c r="C44" i="9"/>
  <c r="R5" i="54"/>
  <c r="B48" i="63" s="1"/>
  <c r="D63" i="9"/>
  <c r="D73" i="9" s="1"/>
  <c r="N73" i="9" s="1"/>
  <c r="D14" i="66"/>
  <c r="N68" i="9"/>
  <c r="F14" i="66" l="1"/>
  <c r="E14" i="66"/>
  <c r="B5"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C99" i="9" l="1"/>
  <c r="K29" i="9"/>
  <c r="K30" i="9" s="1"/>
  <c r="R6" i="54"/>
  <c r="B50" i="63" s="1"/>
  <c r="D6" i="66"/>
  <c r="C6" i="66"/>
  <c r="C115" i="9"/>
  <c r="D76" i="9" s="1"/>
  <c r="D74" i="9" s="1"/>
  <c r="N74" i="9" s="1"/>
  <c r="M86" i="9"/>
  <c r="N86" i="9" s="1"/>
  <c r="M88" i="9"/>
  <c r="N88" i="9" s="1"/>
  <c r="M85" i="9"/>
  <c r="N85" i="9" s="1"/>
  <c r="M84" i="9"/>
  <c r="N84" i="9" s="1"/>
  <c r="M87" i="9"/>
  <c r="N87" i="9" s="1"/>
  <c r="M83" i="9"/>
  <c r="N83" i="9" s="1"/>
  <c r="C5" i="66"/>
  <c r="D5" i="66"/>
  <c r="N76" i="9"/>
  <c r="O77" i="9" l="1"/>
  <c r="O78" i="9" s="1"/>
  <c r="N89" i="9"/>
  <c r="O89" i="9" s="1"/>
  <c r="Q77" i="9" l="1"/>
  <c r="O79" i="9"/>
  <c r="C46" i="9" s="1"/>
  <c r="K33" i="9" s="1"/>
  <c r="K34" i="9" s="1"/>
  <c r="E46" i="9" l="1"/>
  <c r="O41" i="9"/>
  <c r="R8" i="54" s="1"/>
  <c r="B54" i="63" s="1"/>
  <c r="D46" i="9"/>
  <c r="I14" i="66"/>
  <c r="B8" i="66" s="1"/>
  <c r="F46" i="9"/>
  <c r="O81" i="9"/>
  <c r="O80" i="9"/>
  <c r="C8" i="66" l="1"/>
  <c r="D8" i="66"/>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<sst xmlns="http://schemas.openxmlformats.org/spreadsheetml/2006/main" count="9167" uniqueCount="3588">
  <si>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</si>
  <si>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</si>
  <si>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</si>
  <si>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</si>
  <si>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</si>
  <si>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</si>
  <si>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</si>
  <si>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</si>
  <si>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</si>
  <si>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</si>
  <si>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</si>
  <si>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</si>
  <si>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</si>
  <si>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</si>
  <si>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</si>
  <si>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</si>
  <si>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</si>
  <si>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</si>
  <si>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</si>
  <si>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</si>
  <si>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</si>
  <si>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</si>
  <si>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</si>
  <si>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</si>
  <si>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</si>
  <si>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</si>
  <si>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</si>
  <si>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</si>
  <si>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</si>
  <si>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</si>
  <si>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</si>
  <si>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</si>
  <si>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</si>
  <si>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</si>
  <si>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</si>
  <si>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</si>
  <si>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</si>
  <si>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</si>
  <si>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</si>
  <si>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</si>
  <si>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</si>
  <si>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</si>
  <si>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</si>
  <si>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</si>
  <si>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</si>
  <si>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</si>
  <si>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</si>
  <si>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</si>
  <si>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</si>
  <si>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</si>
  <si>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</si>
  <si>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</si>
  <si>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</si>
  <si>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</si>
  <si>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</si>
  <si>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</si>
  <si>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</si>
  <si>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</si>
  <si>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</si>
  <si>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</si>
  <si>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</si>
  <si>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</si>
  <si>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</si>
  <si>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</si>
  <si>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</si>
  <si>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</si>
  <si>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</si>
  <si>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</si>
  <si>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</si>
  <si>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</si>
  <si>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</si>
  <si>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</si>
  <si>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</si>
  <si>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</si>
  <si>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</si>
  <si>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</si>
  <si>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</si>
  <si>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</si>
  <si>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</si>
  <si>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</si>
  <si>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</si>
  <si>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</si>
  <si>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</si>
  <si>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</si>
  <si>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</si>
  <si>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</si>
  <si>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</si>
  <si>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</si>
  <si>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</si>
  <si>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</si>
  <si>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</si>
  <si>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</si>
  <si>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</si>
  <si>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</si>
  <si>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</si>
  <si>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</si>
  <si>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</si>
  <si>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</si>
  <si>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</si>
  <si>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</si>
  <si>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</si>
  <si>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</si>
  <si>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</si>
  <si>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</si>
  <si>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</si>
  <si>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</si>
  <si>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</si>
  <si>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</si>
  <si>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</si>
  <si>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</si>
  <si>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</si>
  <si>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</si>
  <si>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</si>
  <si>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</si>
  <si>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</si>
  <si>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</si>
  <si>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</si>
  <si>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</si>
  <si>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</si>
  <si>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</si>
  <si>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</si>
  <si>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</si>
  <si>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</si>
  <si>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</si>
  <si>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</si>
  <si>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</si>
  <si>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</si>
  <si>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</si>
  <si>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</si>
  <si>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</si>
  <si>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</si>
  <si>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</si>
  <si>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</si>
  <si>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</si>
  <si>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</si>
  <si>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</si>
  <si>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</si>
  <si>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</si>
  <si>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</si>
  <si>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</si>
  <si>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</si>
  <si>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</si>
  <si>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</si>
  <si>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</si>
  <si>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</si>
  <si>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</si>
  <si>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</si>
  <si>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</si>
  <si>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</si>
  <si>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</si>
  <si>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</si>
  <si>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</si>
  <si>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</si>
  <si>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</si>
  <si>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</si>
  <si>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</si>
  <si>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</si>
  <si>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</si>
  <si>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</si>
  <si>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</si>
  <si>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</si>
  <si>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</si>
  <si>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</si>
  <si>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</si>
  <si>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</si>
  <si>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</si>
  <si>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</si>
  <si>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</si>
  <si>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</si>
  <si>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</si>
  <si>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</si>
  <si>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</si>
  <si>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</si>
  <si>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</si>
  <si>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</si>
  <si>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</si>
  <si>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</si>
  <si>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</si>
  <si>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</si>
  <si>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</si>
  <si>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</si>
  <si>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</si>
  <si>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</si>
  <si>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</si>
  <si>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</si>
  <si>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</si>
  <si>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</si>
  <si>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</si>
  <si>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</si>
  <si>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</si>
  <si>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</si>
  <si>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</si>
  <si>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</si>
  <si>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</si>
  <si>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</si>
  <si>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</si>
  <si>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</si>
  <si>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</si>
  <si>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</si>
  <si>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</si>
  <si>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</si>
  <si>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</si>
  <si>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</si>
  <si>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</si>
  <si>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</si>
  <si>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</si>
  <si>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</si>
  <si>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</si>
  <si>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</si>
  <si>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</si>
  <si>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</si>
  <si>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</si>
  <si>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</si>
  <si>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</si>
  <si>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</si>
  <si>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</si>
  <si>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</si>
  <si>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</si>
  <si>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</si>
  <si>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</si>
  <si>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</si>
  <si>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</si>
  <si>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</si>
  <si>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</si>
  <si>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</si>
  <si>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</si>
  <si>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</si>
  <si>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</si>
  <si>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</si>
  <si>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</si>
  <si>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</si>
  <si>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</si>
  <si>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</si>
  <si>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</si>
  <si>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</si>
  <si>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</si>
  <si>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</si>
  <si>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</si>
  <si>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</si>
  <si>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</si>
  <si>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</si>
  <si>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</si>
  <si>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</si>
  <si>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</si>
  <si>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</si>
  <si>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</si>
  <si>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</si>
  <si>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</si>
  <si>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</si>
  <si>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</si>
  <si>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</si>
  <si>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</si>
  <si>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</si>
  <si>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</si>
  <si>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</si>
  <si>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</si>
  <si>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</si>
  <si>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</si>
  <si>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</si>
  <si>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</si>
  <si>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</si>
  <si>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</si>
  <si>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</si>
  <si>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</si>
  <si>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</si>
  <si>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</si>
  <si>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</si>
  <si>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</si>
  <si>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</si>
  <si>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</si>
  <si>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</si>
  <si>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</si>
  <si>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</si>
  <si>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</si>
  <si>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</si>
  <si>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</si>
  <si>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</si>
  <si>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</si>
  <si>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</si>
  <si>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</si>
  <si>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</si>
  <si>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</si>
  <si>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</si>
  <si>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</si>
  <si>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</si>
  <si>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</si>
  <si>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</si>
  <si>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</si>
  <si>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</si>
  <si>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</si>
  <si>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</si>
  <si>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</si>
  <si>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</si>
  <si>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</si>
  <si>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</si>
  <si>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</si>
  <si>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</si>
  <si>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</si>
  <si>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</si>
  <si>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</si>
  <si>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</si>
  <si>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</si>
  <si>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</si>
  <si>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</si>
  <si>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</si>
  <si>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</si>
  <si>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</si>
  <si>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</si>
  <si>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</si>
  <si>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</si>
  <si>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</si>
  <si>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</si>
  <si>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</si>
  <si>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</si>
  <si>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</si>
  <si>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</si>
  <si>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</si>
  <si>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</si>
  <si>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</si>
  <si>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</si>
  <si>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</si>
  <si>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</si>
  <si>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</si>
  <si>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</si>
  <si>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</si>
  <si>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</si>
  <si>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</si>
  <si>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</si>
  <si>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</si>
  <si>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</si>
  <si>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</si>
  <si>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</si>
  <si>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</si>
  <si>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</si>
  <si>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</si>
  <si>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</si>
  <si>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</si>
  <si>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</si>
  <si>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</si>
  <si>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</si>
  <si>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</si>
  <si>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</si>
  <si>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</si>
  <si>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</si>
  <si>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</si>
  <si>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</si>
  <si>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</si>
  <si>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</si>
  <si>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</si>
  <si>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</si>
  <si>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</si>
  <si>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</si>
  <si>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</si>
  <si>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</si>
  <si>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</si>
  <si>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</si>
  <si>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</si>
  <si>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</si>
  <si>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</si>
  <si>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</si>
  <si>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</si>
  <si>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</si>
  <si>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</si>
  <si>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</si>
  <si>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</si>
  <si>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</si>
  <si>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</si>
  <si>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</si>
  <si>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</si>
  <si>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</si>
  <si>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</si>
  <si>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</si>
  <si>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</si>
  <si>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</si>
  <si>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</si>
  <si>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</si>
  <si>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</si>
  <si>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</si>
  <si>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</si>
  <si>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</si>
  <si>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</si>
  <si>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</si>
  <si>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</si>
  <si>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</si>
  <si>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</si>
  <si>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</si>
  <si>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</si>
  <si>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</si>
  <si>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</si>
  <si>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</si>
  <si>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</si>
  <si>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</si>
  <si>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</si>
  <si>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</si>
  <si>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</si>
  <si>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</si>
  <si>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</si>
  <si>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</si>
  <si>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</si>
  <si>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</si>
  <si>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</si>
  <si>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</si>
  <si>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</si>
  <si>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</si>
  <si>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</si>
  <si>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</si>
  <si>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</si>
  <si>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</si>
  <si>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</si>
  <si>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</si>
  <si>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</si>
  <si>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</si>
  <si>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</si>
  <si>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</si>
  <si>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</si>
  <si>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</si>
  <si>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</si>
  <si>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</si>
  <si>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</si>
  <si>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</si>
  <si>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</si>
  <si>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</si>
  <si>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</si>
  <si>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</si>
  <si>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</si>
  <si>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</si>
  <si>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</si>
  <si>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</si>
  <si>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</si>
  <si>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</si>
  <si>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</si>
  <si>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</si>
  <si>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</si>
  <si>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</si>
  <si>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</si>
  <si>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</si>
  <si>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</si>
  <si>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</si>
  <si>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</si>
  <si>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</si>
  <si>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</si>
  <si>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</si>
  <si>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</si>
  <si>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</si>
  <si>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</si>
  <si>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</si>
  <si>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</si>
  <si>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</si>
  <si>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</si>
  <si>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</si>
  <si>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</si>
  <si>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</si>
  <si>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</si>
  <si>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</si>
  <si>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</si>
  <si>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</si>
  <si>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</si>
  <si>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</si>
  <si>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</si>
  <si>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</si>
  <si>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</si>
  <si>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</si>
  <si>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</si>
  <si>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</si>
  <si>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</si>
  <si>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</si>
  <si>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</si>
  <si>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</si>
  <si>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</si>
  <si>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</si>
  <si>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</si>
  <si>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</si>
  <si>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</si>
  <si>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</si>
  <si>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</si>
  <si>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</si>
  <si>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</si>
  <si>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</si>
  <si>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</si>
  <si>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</si>
  <si>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</si>
  <si>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</si>
  <si>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</si>
  <si>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</si>
  <si>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</si>
  <si>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</si>
  <si>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</si>
  <si>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</si>
  <si>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</si>
  <si>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</si>
  <si>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</si>
  <si>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</si>
  <si>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</si>
  <si>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</si>
  <si>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</si>
  <si>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</si>
  <si>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</si>
  <si>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</si>
  <si>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</si>
  <si>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</si>
  <si>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</si>
  <si>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</si>
  <si>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</si>
  <si>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</si>
  <si>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</si>
  <si>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</si>
  <si>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</si>
  <si>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</si>
  <si>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</si>
  <si>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</si>
  <si>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</si>
  <si>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</si>
  <si>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</si>
  <si>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</si>
  <si>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</si>
  <si>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</si>
  <si>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</si>
  <si>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</si>
  <si>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</si>
  <si>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</si>
  <si>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</si>
  <si>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</si>
  <si>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</si>
  <si>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</si>
  <si>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</si>
  <si>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</si>
  <si>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</si>
  <si>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</si>
  <si>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</si>
  <si>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</si>
  <si>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</si>
  <si>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</si>
  <si>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</si>
  <si>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</si>
  <si>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</si>
  <si>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</si>
  <si>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</si>
  <si>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</si>
  <si>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</si>
  <si>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</si>
  <si>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</si>
  <si>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</si>
  <si>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</si>
  <si>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</si>
  <si>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</si>
  <si>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</si>
  <si>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</si>
  <si>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</si>
  <si>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</si>
  <si>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</si>
  <si>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</si>
  <si>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</si>
  <si>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</si>
  <si>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</si>
  <si>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</si>
  <si>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</si>
  <si>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</si>
  <si>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</si>
  <si>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</si>
  <si>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</si>
  <si>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</si>
  <si>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</si>
  <si>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</si>
  <si>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</si>
  <si>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</si>
  <si>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</si>
  <si>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</si>
  <si>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</si>
  <si>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</si>
  <si>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</si>
  <si>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</si>
  <si>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</si>
  <si>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</si>
  <si>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</si>
  <si>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</si>
  <si>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</si>
  <si>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</si>
  <si>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</si>
  <si>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</si>
  <si>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</si>
  <si>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</si>
  <si>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</si>
  <si>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</si>
  <si>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</si>
  <si>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</si>
  <si>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</si>
  <si>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</si>
  <si>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</si>
  <si>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</si>
  <si>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</si>
  <si>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</si>
  <si>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</si>
  <si>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</si>
  <si>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</si>
  <si>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</si>
  <si>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</si>
  <si>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</si>
  <si>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</si>
  <si>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</si>
  <si>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</si>
  <si>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</si>
  <si>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</si>
  <si>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</si>
  <si>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</si>
  <si>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</si>
  <si>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</si>
  <si>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</si>
  <si>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</si>
  <si>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</si>
  <si>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</si>
  <si>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</si>
  <si>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</si>
  <si>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</si>
  <si>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</si>
  <si>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</si>
  <si>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</si>
  <si>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</si>
  <si>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</si>
  <si>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</si>
  <si>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</si>
  <si>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</si>
  <si>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</si>
  <si>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</si>
  <si>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</si>
  <si>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</si>
  <si>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</si>
  <si>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</si>
  <si>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</si>
  <si>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</si>
  <si>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</si>
  <si>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</si>
  <si>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</si>
  <si>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</si>
  <si>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</si>
  <si>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</si>
  <si>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</si>
  <si>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</si>
  <si>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</si>
  <si>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</si>
  <si>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</si>
  <si>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</si>
  <si>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</si>
  <si>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</si>
  <si>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</si>
  <si>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</si>
  <si>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</si>
  <si>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</si>
  <si>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</si>
  <si>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</si>
  <si>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</si>
  <si>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</si>
  <si>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</si>
  <si>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</si>
  <si>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</si>
  <si>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</si>
  <si>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</si>
  <si>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</si>
  <si>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</si>
  <si>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</si>
  <si>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</si>
  <si>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</si>
  <si>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</si>
  <si>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</si>
  <si>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</si>
  <si>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</si>
  <si>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</si>
  <si>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</si>
  <si>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</si>
  <si>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</si>
  <si>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</si>
  <si>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</si>
  <si>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</si>
  <si>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</si>
  <si>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</si>
  <si>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</si>
  <si>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</si>
  <si>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</si>
  <si>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</si>
  <si>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</si>
  <si>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</si>
  <si>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</si>
  <si>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</si>
  <si>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</si>
  <si>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</si>
  <si>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</si>
  <si>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</si>
  <si>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</si>
  <si>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</si>
  <si>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</si>
  <si>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</si>
  <si>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</si>
  <si>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</si>
  <si>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</si>
  <si>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</si>
  <si>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</si>
  <si>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</si>
  <si>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</si>
  <si>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</si>
  <si>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</si>
  <si>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</si>
  <si>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</si>
  <si>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</si>
  <si>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</si>
  <si>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</si>
  <si>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</si>
  <si>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</si>
  <si>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</si>
  <si>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</si>
  <si>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</si>
  <si>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</si>
  <si>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</si>
  <si>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</si>
  <si>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</si>
  <si>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</si>
  <si>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</si>
  <si>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</si>
  <si>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</si>
  <si>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</si>
  <si>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</si>
  <si>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</si>
  <si>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</si>
  <si>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</si>
  <si>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</si>
  <si>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</si>
  <si>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</si>
  <si>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</si>
  <si>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</si>
  <si>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</si>
  <si>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</si>
  <si>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</si>
  <si>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</si>
  <si>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</si>
  <si>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</si>
  <si>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</si>
  <si>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</si>
  <si>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</si>
  <si>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</si>
  <si>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</si>
  <si>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</si>
  <si>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</si>
  <si>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</si>
  <si>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</si>
  <si>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</si>
  <si>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</si>
  <si>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</si>
  <si>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</si>
  <si>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</si>
  <si>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</si>
  <si>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</si>
  <si>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</si>
  <si>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</si>
  <si>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</si>
  <si>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</si>
  <si>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</si>
  <si>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</si>
  <si>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</si>
  <si>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</si>
  <si>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</si>
  <si>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</si>
  <si>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</si>
  <si>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</si>
  <si>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</si>
  <si>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</si>
  <si>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</si>
  <si>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</si>
  <si>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</si>
  <si>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</si>
  <si>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</si>
  <si>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</si>
  <si>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</si>
  <si>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</si>
  <si>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</si>
  <si>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</si>
  <si>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</si>
  <si>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</si>
  <si>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</si>
  <si>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</si>
  <si>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</si>
  <si>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</si>
  <si>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</si>
  <si>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</si>
  <si>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</si>
  <si>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</si>
  <si>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</si>
  <si>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</si>
  <si>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</si>
  <si>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</si>
  <si>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</si>
  <si>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</si>
  <si>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</si>
  <si>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</si>
  <si>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</si>
  <si>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</si>
  <si>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</si>
  <si>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</si>
  <si>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</si>
  <si>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</si>
  <si>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</si>
  <si>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</si>
  <si>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</si>
  <si>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</si>
  <si>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</si>
  <si>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</si>
  <si>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</si>
  <si>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</si>
  <si>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</si>
  <si>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</si>
  <si>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</si>
  <si>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</si>
  <si>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</si>
  <si>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</si>
  <si>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</si>
  <si>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</si>
  <si>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</si>
  <si>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</si>
  <si>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</si>
  <si>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</si>
  <si>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</si>
  <si>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</si>
  <si>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</si>
  <si>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</si>
  <si>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</si>
  <si>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</si>
  <si>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</si>
  <si>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</si>
  <si>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</si>
  <si>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</si>
  <si>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</si>
  <si>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</si>
  <si>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</si>
  <si>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</si>
  <si>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</si>
  <si>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</si>
  <si>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</si>
  <si>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</si>
  <si>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</si>
  <si>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</si>
  <si>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</si>
  <si>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</si>
  <si>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</si>
  <si>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</si>
  <si>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</si>
  <si>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</si>
  <si>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</si>
  <si>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</si>
  <si>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</si>
  <si>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</si>
  <si>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</si>
  <si>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</si>
  <si>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</si>
  <si>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</si>
  <si>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</si>
  <si>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</si>
  <si>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</si>
  <si>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</si>
  <si>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</si>
  <si>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</si>
  <si>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</si>
  <si>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</si>
  <si>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</si>
  <si>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</si>
  <si>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</si>
  <si>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</si>
  <si>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</si>
  <si>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</si>
  <si>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</si>
  <si>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</si>
  <si>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</si>
  <si>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</si>
  <si>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</si>
  <si>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</si>
  <si>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</si>
  <si>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</si>
  <si>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</si>
  <si>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</si>
  <si>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</si>
  <si>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</si>
  <si>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</si>
  <si>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</si>
  <si>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</si>
  <si>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</si>
  <si>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</si>
  <si>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</si>
  <si>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</si>
  <si>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</si>
  <si>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</si>
  <si>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</si>
  <si>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</si>
  <si>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</si>
  <si>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</si>
  <si>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</si>
  <si>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</si>
  <si>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</si>
  <si>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</si>
  <si>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</si>
  <si>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</si>
  <si>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</si>
  <si>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</si>
  <si>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</si>
  <si>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</si>
  <si>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</si>
  <si>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</si>
  <si>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</si>
  <si>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</si>
  <si>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</si>
  <si>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</si>
  <si>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</si>
  <si>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</si>
  <si>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</si>
  <si>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</si>
  <si>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</si>
  <si>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</si>
  <si>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</si>
  <si>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</si>
  <si>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</si>
  <si>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</si>
  <si>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</si>
  <si>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</si>
  <si>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</si>
  <si>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</si>
  <si>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</si>
  <si>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</si>
  <si>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</si>
  <si>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</si>
  <si>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</si>
  <si>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</si>
  <si>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</si>
  <si>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</si>
  <si>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</si>
  <si>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</si>
  <si>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</si>
  <si>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</si>
  <si>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</si>
  <si>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</si>
  <si>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</si>
  <si>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</si>
  <si>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</si>
  <si>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</si>
  <si>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</si>
  <si>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</si>
  <si>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</si>
  <si>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</si>
  <si>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</si>
  <si>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</si>
  <si>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</si>
  <si>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</si>
  <si>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</si>
  <si>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</si>
  <si>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</si>
  <si>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</si>
  <si>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</si>
  <si>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</si>
  <si>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</si>
  <si>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</si>
  <si>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</si>
  <si>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</si>
  <si>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</si>
  <si>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</si>
  <si>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</si>
  <si>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</si>
  <si>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</si>
  <si>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</si>
  <si>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</si>
  <si>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</si>
  <si>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</si>
  <si>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</si>
  <si>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</si>
  <si>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</si>
  <si>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</si>
  <si>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</si>
  <si>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</si>
  <si>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</si>
  <si>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</si>
  <si>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</si>
  <si>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</si>
  <si>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</si>
  <si>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</si>
  <si>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</si>
  <si>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</si>
  <si>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</si>
  <si>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</si>
  <si>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</si>
  <si>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</si>
  <si>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</si>
  <si>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</si>
  <si>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</si>
  <si>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</si>
  <si>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</si>
  <si>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</si>
  <si>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</si>
  <si>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</si>
  <si>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</si>
  <si>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</si>
  <si>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</si>
  <si>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</si>
  <si>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</si>
  <si>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</si>
  <si>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</si>
  <si>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</si>
  <si>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</si>
  <si>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</si>
  <si>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</si>
  <si>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</si>
  <si>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</si>
  <si>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</si>
  <si>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</si>
  <si>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</si>
  <si>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</si>
  <si>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</si>
  <si>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</si>
  <si>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</si>
  <si>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</si>
  <si>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</si>
  <si>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</si>
  <si>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</si>
  <si>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</si>
  <si>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</si>
  <si>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</si>
  <si>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</si>
  <si>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</si>
  <si>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</si>
  <si>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</si>
  <si>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</si>
  <si>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</si>
  <si>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</si>
  <si>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</si>
  <si>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</si>
  <si>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</si>
  <si>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</si>
  <si>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</si>
  <si>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</si>
  <si>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</si>
  <si>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</si>
  <si>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</si>
  <si>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</si>
  <si>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</si>
  <si>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</si>
  <si>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</si>
  <si>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</si>
  <si>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</si>
  <si>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</si>
  <si>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</si>
  <si>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</si>
  <si>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</si>
  <si>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</si>
  <si>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</si>
  <si>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</si>
  <si>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</si>
  <si>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</si>
  <si>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</si>
  <si>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</si>
  <si>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</si>
  <si>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</si>
  <si>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</si>
  <si>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</si>
  <si>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</si>
  <si>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</si>
  <si>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</si>
  <si>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</si>
  <si>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</si>
  <si>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</si>
  <si>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</si>
  <si>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</si>
  <si>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</si>
  <si>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</si>
  <si>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</si>
  <si>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</si>
  <si>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</si>
  <si>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</si>
  <si>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</si>
  <si>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</si>
  <si>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</si>
  <si>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</si>
  <si>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</si>
  <si>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</si>
  <si>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</si>
  <si>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</si>
  <si>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</si>
  <si>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</si>
  <si>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</si>
  <si>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</si>
  <si>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</si>
  <si>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</si>
  <si>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</si>
  <si>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</si>
  <si>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</si>
  <si>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</si>
  <si>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</si>
  <si>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</si>
  <si>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</si>
  <si>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</si>
  <si>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</si>
  <si>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</si>
  <si>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</si>
  <si>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</si>
  <si>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</si>
  <si>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</si>
  <si>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</si>
  <si>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</si>
  <si>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</si>
  <si>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</si>
  <si>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</si>
  <si>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</si>
  <si>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</si>
  <si>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</si>
  <si>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</si>
  <si>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</si>
  <si>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</si>
  <si>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</si>
  <si>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</si>
  <si>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</si>
  <si>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</si>
  <si>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</si>
  <si>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</si>
  <si>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</si>
  <si>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</si>
  <si>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</si>
  <si>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</si>
  <si>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</si>
  <si>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</si>
  <si>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</si>
  <si>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</si>
  <si>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</si>
  <si>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</si>
  <si>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</si>
  <si>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</si>
  <si>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</si>
  <si>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</si>
  <si>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</si>
  <si>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</si>
  <si>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</si>
  <si>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</si>
  <si>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</si>
  <si>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</si>
  <si>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</si>
  <si>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</si>
  <si>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</si>
  <si>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</si>
  <si>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</si>
  <si>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</si>
  <si>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</si>
  <si>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</si>
  <si>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</si>
  <si>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</si>
  <si>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</si>
  <si>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</si>
  <si>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</si>
  <si>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</si>
  <si>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</si>
  <si>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</si>
  <si>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</si>
  <si>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</si>
  <si>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</si>
  <si>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</si>
  <si>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</si>
  <si>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</si>
  <si>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</si>
  <si>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</si>
  <si>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</si>
  <si>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</si>
  <si>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</si>
  <si>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</si>
  <si>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</si>
  <si>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</si>
  <si>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</si>
  <si>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</si>
  <si>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</si>
  <si>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</si>
  <si>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</si>
  <si>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</si>
  <si>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</si>
  <si>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</si>
  <si>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</si>
  <si>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</si>
  <si>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</si>
  <si>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</si>
  <si>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</si>
  <si>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</si>
  <si>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</si>
  <si>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</si>
  <si>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</si>
  <si>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</si>
  <si>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</si>
  <si>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</si>
  <si>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</si>
  <si>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</si>
  <si>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</si>
  <si>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</si>
  <si>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</si>
  <si>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</si>
  <si>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</si>
  <si>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</si>
  <si>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</si>
  <si>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</si>
  <si>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</si>
  <si>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</si>
  <si>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</si>
  <si>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</si>
  <si>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</si>
  <si>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</si>
  <si>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</si>
  <si>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</si>
  <si>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</si>
  <si>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</si>
  <si>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</si>
  <si>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</si>
  <si>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</si>
  <si>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</si>
  <si>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</si>
  <si>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</si>
  <si>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</si>
  <si>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</si>
  <si>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</si>
  <si>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</si>
  <si>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</si>
  <si>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</si>
  <si>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</si>
  <si>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</si>
  <si>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</si>
  <si>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</si>
  <si>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</si>
  <si>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</si>
  <si>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</si>
  <si>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</si>
  <si>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</si>
  <si>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</si>
  <si>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</si>
  <si>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</si>
  <si>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</si>
  <si>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</si>
  <si>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</si>
  <si>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</si>
  <si>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</si>
  <si>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</si>
  <si>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</si>
  <si>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</si>
  <si>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</si>
  <si>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</si>
  <si>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</si>
  <si>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</si>
  <si>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</si>
  <si>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</si>
  <si>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</si>
  <si>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</si>
  <si>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</si>
  <si>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</si>
  <si>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</si>
  <si>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</si>
  <si>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</si>
  <si>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</si>
  <si>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</si>
  <si>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</si>
  <si>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</si>
  <si>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</si>
  <si>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</si>
  <si>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</si>
  <si>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</si>
  <si>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</si>
  <si>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</si>
  <si>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</si>
  <si>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</si>
  <si>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</si>
  <si>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</si>
  <si>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</si>
  <si>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</si>
  <si>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</si>
  <si>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</si>
  <si>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</si>
  <si>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</si>
  <si>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</si>
  <si>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</si>
  <si>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</si>
  <si>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</si>
  <si>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</si>
  <si>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</si>
  <si>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</si>
  <si>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</si>
  <si>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</si>
  <si>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</si>
  <si>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</si>
  <si>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</si>
  <si>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</si>
  <si>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</si>
  <si>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</si>
  <si>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</si>
  <si>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</si>
  <si>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</si>
  <si>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</si>
  <si>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</si>
  <si>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</si>
  <si>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</si>
  <si>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</si>
  <si>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</si>
  <si>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</si>
  <si>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</si>
  <si>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</si>
  <si>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</si>
  <si>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</si>
  <si>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</si>
  <si>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</si>
  <si>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</si>
  <si>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</si>
  <si>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</si>
  <si>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</si>
  <si>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</si>
  <si>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</si>
  <si>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</si>
  <si>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</si>
  <si>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</si>
  <si>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</si>
  <si>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</si>
  <si>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</si>
  <si>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</si>
  <si>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</si>
  <si>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</si>
  <si>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</si>
  <si>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</si>
  <si>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</si>
  <si>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</si>
  <si>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</si>
  <si>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</si>
  <si>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</si>
  <si>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</si>
  <si>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</si>
  <si>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</si>
  <si>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</si>
  <si>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</si>
  <si>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</si>
  <si>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</si>
  <si>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</si>
  <si>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</si>
  <si>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</si>
  <si>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</si>
  <si>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</si>
  <si>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</si>
  <si>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</si>
  <si>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</si>
  <si>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</si>
  <si>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</si>
  <si>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</si>
  <si>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</si>
  <si>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</si>
  <si>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</si>
  <si>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</si>
  <si>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</si>
  <si>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</si>
  <si>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</si>
  <si>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</si>
  <si>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</si>
  <si>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</si>
  <si>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</si>
  <si>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</si>
  <si>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</si>
  <si>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</si>
  <si>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</si>
  <si>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</si>
  <si>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</si>
  <si>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</si>
  <si>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</si>
  <si>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</si>
  <si>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</si>
  <si>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</si>
  <si>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</si>
  <si>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</si>
  <si>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</si>
  <si>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</si>
  <si>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</si>
  <si>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</si>
  <si>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</si>
  <si>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</si>
  <si>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</si>
  <si>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</si>
  <si>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</si>
  <si>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</si>
  <si>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</si>
  <si>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</si>
  <si>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</si>
  <si>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</si>
  <si>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</si>
  <si>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</si>
  <si>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</si>
  <si>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</si>
  <si>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</si>
  <si>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</si>
  <si>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</si>
  <si>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</si>
  <si>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</si>
  <si>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</si>
  <si>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</si>
  <si>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</si>
  <si>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</si>
  <si>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</si>
  <si>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</si>
  <si>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</si>
  <si>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</si>
  <si>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</si>
  <si>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</si>
  <si>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</si>
  <si>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</si>
  <si>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</si>
  <si>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</si>
  <si>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</si>
  <si>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</si>
  <si>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</si>
  <si>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</si>
  <si>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</si>
  <si>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</si>
  <si>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</si>
  <si>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</si>
  <si>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</si>
  <si>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</si>
  <si>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</si>
  <si>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</si>
  <si>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</si>
  <si>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</si>
  <si>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</si>
  <si>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</si>
  <si>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</si>
  <si>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</si>
  <si>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</si>
  <si>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</si>
  <si>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</si>
  <si>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</si>
  <si>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</si>
  <si>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</si>
  <si>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</si>
  <si>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</si>
  <si>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</si>
  <si>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</si>
  <si>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</si>
  <si>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</si>
  <si>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</si>
  <si>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</si>
  <si>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</si>
  <si>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</si>
  <si>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</si>
  <si>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</si>
  <si>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</si>
  <si>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</si>
  <si>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</si>
  <si>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</si>
  <si>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</si>
  <si>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</si>
  <si>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</si>
  <si>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</si>
  <si>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</si>
  <si>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</si>
  <si>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</si>
  <si>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</si>
  <si>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</si>
  <si>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</si>
  <si>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</si>
  <si>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</si>
  <si>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</si>
  <si>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</si>
  <si>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</si>
  <si>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</si>
  <si>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</si>
  <si>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</si>
  <si>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</si>
  <si>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</si>
  <si>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</si>
  <si>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</si>
  <si>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</si>
  <si>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</si>
  <si>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</si>
  <si>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</si>
  <si>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</si>
  <si>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</si>
  <si>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</si>
  <si>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</si>
  <si>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</si>
  <si>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</si>
  <si>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</si>
  <si>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</si>
  <si>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</si>
  <si>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</si>
  <si>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</si>
  <si>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</si>
  <si>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</si>
  <si>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</si>
  <si>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</si>
  <si>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</si>
  <si>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</si>
  <si>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</si>
  <si>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</si>
  <si>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</si>
  <si>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</si>
  <si>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</si>
  <si>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</si>
  <si>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</si>
  <si>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</si>
  <si>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</si>
  <si>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</si>
  <si>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</si>
  <si>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</si>
  <si>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</si>
  <si>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</si>
  <si>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</si>
  <si>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</si>
  <si>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</si>
  <si>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</si>
  <si>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</si>
  <si>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</si>
  <si>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</si>
  <si>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</si>
  <si>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</si>
  <si>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</si>
  <si>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</si>
  <si>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</si>
  <si>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</si>
  <si>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</si>
  <si>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</si>
  <si>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</si>
  <si>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</si>
  <si>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</si>
  <si>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</si>
  <si>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</si>
  <si>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</si>
  <si>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</si>
  <si>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</si>
  <si>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</si>
  <si>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</si>
  <si>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</si>
  <si>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</si>
  <si>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</si>
  <si>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</si>
  <si>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</si>
  <si>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</si>
  <si>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</si>
  <si>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</si>
  <si>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</si>
  <si>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</si>
  <si>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</si>
  <si>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</si>
  <si>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</si>
  <si>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</si>
  <si>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</si>
  <si>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</si>
  <si>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</si>
  <si>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</si>
  <si>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</si>
  <si>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</si>
  <si>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</si>
  <si>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</si>
  <si>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</si>
  <si>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</si>
  <si>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</si>
  <si>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</si>
  <si>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</si>
  <si>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</si>
  <si>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</si>
  <si>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</si>
  <si>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</si>
  <si>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</si>
  <si>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</si>
  <si>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</si>
  <si>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</si>
  <si>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</si>
  <si>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</si>
  <si>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</si>
  <si>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</si>
  <si>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</si>
  <si>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</si>
  <si>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</si>
  <si>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</si>
  <si>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</si>
  <si>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</si>
  <si>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</si>
  <si>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</si>
  <si>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</si>
  <si>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</si>
  <si>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</si>
  <si>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</si>
  <si>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</si>
  <si>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</si>
  <si>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</si>
  <si>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</si>
  <si>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</si>
  <si>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</si>
  <si>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</si>
  <si>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</si>
  <si>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</si>
  <si>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</si>
  <si>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</si>
  <si>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</si>
  <si>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</si>
  <si>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</si>
  <si>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</si>
  <si>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</si>
  <si>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</si>
  <si>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</si>
  <si>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</si>
  <si>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</si>
  <si>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</si>
  <si>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</si>
  <si>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</si>
  <si>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</si>
  <si>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</si>
  <si>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</si>
  <si>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</si>
  <si>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</si>
  <si>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</si>
  <si>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</si>
  <si>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</si>
  <si>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</si>
  <si>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</si>
  <si>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</si>
  <si>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</si>
  <si>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</si>
  <si>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</si>
  <si>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</si>
  <si>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</si>
  <si>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</si>
  <si>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</si>
  <si>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</si>
  <si>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</si>
  <si>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</si>
  <si>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</si>
  <si>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</si>
  <si>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</si>
  <si>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</si>
  <si>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</si>
  <si>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</si>
  <si>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</si>
  <si>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</si>
  <si>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</si>
  <si>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</si>
  <si>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</si>
  <si>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</si>
  <si>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</si>
  <si>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</si>
  <si>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</si>
  <si>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</si>
  <si>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</si>
  <si>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</si>
  <si>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</si>
  <si>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</si>
  <si>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</si>
  <si>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</si>
  <si>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</si>
  <si>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</si>
  <si>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</si>
  <si>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</si>
  <si>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</si>
  <si>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</si>
  <si>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</si>
  <si>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</si>
  <si>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</si>
  <si>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</si>
  <si>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</si>
  <si>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</si>
  <si>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</si>
  <si>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</si>
  <si>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</si>
  <si>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</si>
  <si>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</si>
  <si>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</si>
  <si>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</si>
  <si>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</si>
  <si>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</si>
  <si>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</si>
  <si>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</si>
  <si>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</si>
  <si>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</si>
  <si>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</si>
  <si>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</si>
  <si>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</si>
  <si>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</si>
  <si>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</si>
  <si>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</si>
  <si>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</si>
  <si>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</si>
  <si>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</si>
  <si>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</si>
  <si>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</si>
  <si>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</si>
  <si>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</si>
  <si>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</si>
  <si>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</si>
  <si>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</si>
  <si>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</si>
  <si>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</si>
  <si>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</si>
  <si>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</si>
  <si>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</si>
  <si>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</si>
  <si>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</si>
  <si>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</si>
  <si>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</si>
  <si>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</si>
  <si>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</si>
  <si>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</si>
  <si>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</si>
  <si>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</si>
  <si>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</si>
  <si>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</si>
  <si>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</si>
  <si>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</si>
  <si>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</si>
  <si>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</si>
  <si>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</si>
  <si>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</si>
  <si>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</si>
  <si>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</si>
  <si>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</si>
  <si>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</si>
  <si>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</si>
  <si>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</si>
  <si>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</si>
  <si>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</si>
  <si>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</si>
  <si>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</si>
  <si>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</si>
  <si>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</si>
  <si>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</si>
  <si>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</si>
  <si>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</si>
  <si>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</si>
  <si>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</si>
  <si>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</si>
  <si>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</si>
  <si>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</si>
  <si>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</si>
  <si>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</si>
  <si>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</si>
  <si>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</si>
  <si>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</si>
  <si>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</si>
  <si>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</si>
  <si>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</si>
  <si>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</si>
  <si>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</si>
  <si>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</si>
  <si>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</si>
  <si>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</si>
  <si>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</si>
  <si>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</si>
  <si>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</si>
  <si>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</si>
  <si>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</si>
  <si>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</si>
  <si>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</si>
  <si>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</si>
  <si>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</si>
  <si>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</si>
  <si>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</si>
  <si>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</si>
  <si>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</si>
  <si>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</si>
  <si>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</si>
  <si>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</si>
  <si>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</si>
  <si>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</si>
  <si>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</si>
  <si>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</si>
  <si>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</si>
  <si>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</si>
  <si>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</si>
  <si>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</si>
  <si>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</si>
  <si>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</si>
  <si>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</si>
  <si>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</si>
  <si>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</si>
  <si>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</si>
  <si>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</si>
  <si>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</si>
  <si>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</si>
  <si>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</si>
  <si>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</si>
  <si>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</si>
  <si>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</si>
  <si>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</si>
  <si>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</si>
  <si>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</si>
  <si>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</si>
  <si>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</si>
  <si>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</si>
  <si>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</si>
  <si>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</si>
  <si>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</si>
  <si>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</si>
  <si>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</si>
  <si>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</si>
  <si>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</si>
  <si>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</si>
  <si>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</si>
  <si>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</si>
  <si>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</si>
  <si>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</si>
  <si>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</si>
  <si>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</si>
  <si>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</si>
  <si>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</si>
  <si>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</si>
  <si>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</si>
  <si>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</si>
  <si>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</si>
  <si>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</si>
  <si>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</si>
  <si>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</si>
  <si>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</si>
  <si>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</si>
  <si>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</si>
  <si>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</si>
  <si>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</si>
  <si>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</si>
  <si>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</si>
  <si>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</si>
  <si>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</si>
  <si>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</si>
  <si>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</si>
  <si>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</si>
  <si>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</si>
  <si>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</si>
  <si>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</si>
  <si>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</si>
  <si>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</si>
  <si>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</si>
  <si>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</si>
  <si>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</si>
  <si>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</si>
  <si>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</si>
  <si>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</si>
  <si>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</si>
  <si>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</si>
  <si>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</si>
  <si>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</si>
  <si>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</si>
  <si>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</si>
  <si>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</si>
  <si>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</si>
  <si>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</si>
  <si>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</si>
  <si>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</si>
  <si>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</si>
  <si>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</si>
  <si>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</si>
  <si>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</si>
  <si>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</si>
  <si>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</si>
  <si>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</si>
  <si>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</si>
  <si>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</si>
  <si>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</si>
  <si>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</si>
  <si>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</si>
  <si>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</si>
  <si>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</si>
  <si>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</si>
  <si>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</si>
  <si>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</si>
  <si>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</si>
  <si>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</si>
  <si>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</si>
  <si>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</si>
  <si>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</si>
  <si>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</si>
  <si>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</si>
  <si>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</si>
  <si>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</si>
  <si>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</si>
  <si>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</si>
  <si>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</si>
  <si>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</si>
  <si>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</si>
  <si>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</si>
  <si>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</si>
  <si>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</si>
  <si>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</si>
  <si>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</si>
  <si>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</si>
  <si>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</si>
  <si>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</si>
  <si>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</si>
  <si>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</si>
  <si>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</si>
  <si>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</si>
  <si>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</si>
  <si>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</si>
  <si>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</si>
  <si>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</si>
  <si>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</si>
  <si>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</si>
  <si>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</si>
  <si>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</si>
  <si>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</si>
  <si>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</si>
  <si>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</si>
  <si>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</si>
  <si>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</si>
  <si>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</si>
  <si>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</si>
  <si>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</si>
  <si>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</si>
  <si>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</si>
  <si>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</si>
  <si>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</si>
  <si>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</si>
  <si>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</si>
  <si>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</si>
  <si>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</si>
  <si>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</si>
  <si>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</si>
  <si>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</si>
  <si>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</si>
  <si>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</si>
  <si>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</si>
  <si>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</si>
  <si>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</si>
  <si>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</si>
  <si>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</si>
  <si>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</si>
  <si>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</si>
  <si>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</si>
  <si>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</si>
  <si>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</si>
  <si>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</si>
  <si>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</si>
  <si>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</si>
  <si>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</si>
  <si>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</si>
  <si>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</si>
  <si>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</si>
  <si>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</si>
  <si>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</si>
  <si>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</si>
  <si>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</si>
  <si>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</si>
  <si>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</si>
  <si>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</si>
  <si>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</si>
  <si>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</si>
  <si>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</si>
  <si>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</si>
  <si>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</si>
  <si>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</si>
  <si>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</si>
  <si>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</si>
  <si>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</si>
  <si>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</si>
  <si>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</si>
  <si>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</si>
  <si>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</si>
  <si>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</si>
  <si>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</si>
  <si>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</si>
  <si>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</si>
  <si>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</si>
  <si>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</si>
  <si>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</si>
  <si>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</si>
  <si>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</si>
  <si>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</si>
  <si>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</si>
  <si>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</si>
  <si>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</si>
  <si>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</si>
  <si>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</si>
  <si>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</si>
  <si>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</si>
  <si>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</si>
  <si>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</si>
  <si>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</si>
  <si>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</si>
  <si>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</si>
  <si>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</si>
  <si>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</si>
  <si>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</si>
  <si>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</si>
  <si>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</si>
  <si>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</si>
  <si>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</si>
  <si>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</si>
  <si>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</si>
  <si>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</si>
  <si>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</si>
  <si>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</si>
  <si>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</si>
  <si>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</si>
  <si>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</si>
  <si>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</si>
  <si>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</si>
  <si>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</si>
  <si>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</si>
  <si>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</si>
  <si>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</si>
  <si>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</si>
  <si>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</si>
  <si>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</si>
  <si>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</si>
  <si>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</si>
  <si>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</si>
  <si>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</si>
  <si>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</si>
  <si>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</si>
  <si>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</si>
  <si>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</si>
  <si>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</si>
  <si>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</si>
  <si>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</si>
  <si>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</si>
  <si>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</si>
  <si>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</si>
  <si>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</si>
  <si>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</si>
  <si>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</si>
  <si>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</si>
  <si>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</si>
  <si>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</si>
  <si>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</si>
  <si>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</si>
  <si>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</si>
  <si>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</si>
  <si>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</si>
  <si>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</si>
  <si>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</si>
  <si>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</si>
  <si>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</si>
  <si>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</si>
  <si>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</si>
  <si>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</si>
  <si>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</si>
  <si>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</si>
  <si>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</si>
  <si>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</si>
  <si>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</si>
  <si>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</si>
  <si>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</si>
  <si>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</si>
  <si>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</si>
  <si>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</si>
  <si>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</si>
  <si>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</si>
  <si>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</si>
  <si>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</si>
  <si>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</si>
  <si>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</si>
  <si>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</si>
  <si>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</si>
  <si>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</si>
  <si>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</si>
  <si>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</si>
  <si>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</si>
  <si>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</si>
  <si>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</si>
  <si>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</si>
  <si>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</si>
  <si>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</si>
  <si>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</si>
  <si>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</si>
  <si>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</si>
  <si>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</si>
  <si>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</si>
  <si>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</si>
  <si>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</si>
  <si>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</si>
  <si>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</si>
  <si>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</si>
  <si>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</si>
  <si>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</si>
  <si>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</si>
  <si>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</si>
  <si>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</si>
  <si>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</si>
  <si>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</si>
  <si>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</si>
  <si>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</si>
  <si>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</si>
  <si>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</si>
  <si>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</si>
  <si>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</si>
  <si>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</si>
  <si>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</si>
  <si>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</si>
  <si>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</si>
  <si>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</si>
  <si>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</si>
  <si>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</si>
  <si>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</si>
  <si>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</si>
  <si>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</si>
  <si>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</si>
  <si>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</si>
  <si>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</si>
  <si>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</si>
  <si>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</si>
  <si>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</si>
  <si>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</si>
  <si>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</si>
  <si>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</si>
  <si>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</si>
  <si>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</si>
  <si>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</si>
  <si>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</si>
  <si>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</si>
  <si>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</si>
  <si>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</si>
  <si>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</si>
  <si>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</si>
  <si>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</si>
  <si>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</si>
  <si>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</si>
  <si>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</si>
  <si>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</si>
  <si>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</si>
  <si>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</si>
  <si>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</si>
  <si>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</si>
  <si>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</si>
  <si>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</si>
  <si>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</si>
  <si>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</si>
  <si>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</si>
  <si>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</si>
  <si>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</si>
  <si>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</si>
  <si>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</si>
  <si>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</si>
  <si>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</si>
  <si>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</si>
  <si>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</si>
  <si>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</si>
  <si>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</si>
  <si>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</si>
  <si>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</si>
  <si>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</si>
  <si>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</si>
  <si>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</si>
  <si>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</si>
  <si>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</si>
  <si>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</si>
  <si>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</si>
  <si>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</si>
  <si>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</si>
  <si>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</si>
  <si>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</si>
  <si>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</si>
  <si>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</si>
  <si>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</si>
  <si>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</si>
  <si>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</si>
  <si>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</si>
  <si>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</si>
  <si>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</si>
  <si>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</si>
  <si>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</si>
  <si>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</si>
  <si>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</si>
  <si>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</si>
  <si>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</si>
  <si>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</si>
  <si>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</si>
  <si>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</si>
  <si>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</si>
  <si>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</si>
  <si>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</si>
  <si>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</si>
  <si>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</si>
  <si>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</si>
  <si>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</si>
  <si>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</si>
  <si>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</si>
  <si>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</si>
  <si>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</si>
  <si>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</si>
  <si>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</si>
  <si>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</si>
  <si>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</si>
  <si>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</si>
  <si>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</si>
  <si>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</si>
  <si>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</si>
  <si>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</si>
  <si>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</si>
  <si>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</si>
  <si>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</si>
  <si>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</si>
  <si>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</si>
  <si>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</si>
  <si>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</si>
  <si>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</si>
  <si>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</si>
  <si>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</si>
  <si>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</si>
  <si>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</si>
  <si>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</si>
  <si>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</si>
  <si>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</si>
  <si>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</si>
  <si>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</si>
  <si>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</si>
  <si>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</si>
  <si>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</si>
  <si>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</si>
  <si>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</si>
  <si>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</si>
  <si>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</si>
  <si>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</si>
  <si>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</si>
  <si>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</si>
  <si>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</si>
  <si>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</si>
  <si>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</si>
  <si>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</si>
  <si>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</si>
  <si>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</si>
  <si>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</si>
  <si>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</si>
  <si>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</si>
  <si>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</si>
  <si>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</si>
  <si>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</si>
  <si>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</si>
  <si>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</si>
  <si>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</si>
  <si>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</si>
  <si>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</si>
  <si>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</si>
  <si>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</si>
  <si>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</si>
  <si>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</si>
  <si>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</si>
  <si>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</si>
  <si>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</si>
  <si>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</si>
  <si>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</si>
  <si>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</si>
  <si>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</si>
  <si>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</si>
  <si>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</si>
  <si>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</si>
  <si>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</si>
  <si>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</si>
  <si>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</si>
  <si>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</si>
  <si>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</si>
  <si>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</si>
  <si>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</si>
  <si>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</si>
  <si>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</si>
  <si>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</si>
  <si>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</si>
  <si>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</si>
  <si>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</si>
  <si>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</si>
  <si>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</si>
  <si>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</si>
  <si>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</si>
  <si>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</si>
  <si>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</si>
  <si>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</si>
  <si>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</si>
  <si>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</si>
  <si>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</si>
  <si>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</si>
  <si>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</si>
  <si>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</si>
  <si>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</si>
  <si>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</si>
  <si>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</si>
  <si>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</si>
  <si>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</si>
  <si>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</si>
  <si>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</si>
  <si>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</si>
  <si>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</si>
  <si>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</si>
  <si>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</si>
  <si>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</si>
  <si>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</si>
  <si>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</si>
  <si>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</si>
  <si>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</si>
  <si>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</si>
  <si>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</si>
  <si>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</si>
  <si>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</si>
  <si>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</si>
  <si>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</si>
  <si>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</si>
  <si>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</si>
  <si>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</si>
  <si>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</si>
  <si>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</si>
  <si>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</si>
  <si>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</si>
  <si>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</si>
  <si>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</si>
  <si>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</si>
  <si>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</si>
  <si>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</si>
  <si>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</si>
  <si>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</si>
  <si>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</si>
  <si>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</si>
  <si>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</si>
  <si>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</si>
  <si>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</si>
  <si>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</si>
  <si>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</si>
  <si>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</si>
  <si>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</si>
  <si>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</si>
  <si>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</si>
  <si>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</si>
  <si>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</si>
  <si>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</si>
  <si>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</si>
  <si>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</si>
  <si>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</si>
  <si>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</si>
  <si>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</si>
  <si>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</si>
  <si>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</si>
  <si>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</si>
  <si>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</si>
  <si>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</si>
  <si>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</si>
  <si>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</si>
  <si>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</si>
  <si>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</si>
  <si>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</si>
  <si>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</si>
  <si>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</si>
  <si>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</si>
  <si>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</si>
  <si>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</si>
  <si>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</si>
  <si>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</si>
  <si>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</si>
  <si>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</si>
  <si>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</si>
  <si>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</si>
  <si>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</si>
  <si>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</si>
  <si>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</si>
  <si>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</si>
  <si>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</si>
  <si>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</si>
  <si>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</si>
  <si>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</si>
  <si>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</si>
  <si>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</si>
  <si>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</si>
  <si>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</si>
  <si>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</si>
  <si>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</si>
  <si>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</si>
  <si>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</si>
  <si>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</si>
  <si>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</si>
  <si>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</si>
  <si>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</si>
  <si>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</si>
  <si>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</si>
  <si>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</si>
  <si>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</si>
  <si>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</si>
  <si>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</si>
  <si>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</si>
  <si>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</si>
  <si>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</si>
  <si>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</si>
  <si>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</si>
  <si>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</si>
  <si>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</si>
  <si>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</si>
  <si>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</si>
  <si>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</si>
  <si>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</si>
  <si>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</si>
  <si>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</si>
  <si>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</si>
  <si>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</si>
  <si>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</si>
  <si>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</si>
  <si>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</si>
  <si>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</si>
  <si>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</si>
  <si>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</si>
  <si>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</si>
  <si>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</si>
  <si>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</si>
  <si>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</si>
  <si>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</si>
  <si>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</si>
  <si>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</si>
  <si>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</si>
  <si>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</si>
  <si>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</si>
  <si>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</si>
  <si>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</si>
  <si>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</si>
  <si>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</si>
  <si>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</si>
  <si>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</si>
  <si>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</si>
  <si>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</si>
  <si>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</si>
  <si>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</si>
  <si>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</si>
  <si>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</si>
  <si>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</si>
  <si>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</si>
  <si>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</si>
  <si>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</si>
  <si>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</si>
  <si>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</si>
  <si>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</si>
  <si>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</si>
  <si>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</si>
  <si>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</si>
  <si>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</si>
  <si>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</si>
  <si>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</si>
  <si>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</si>
  <si>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</si>
  <si>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</si>
  <si>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</si>
  <si>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</si>
  <si>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</si>
  <si>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</si>
  <si>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</si>
  <si>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</si>
  <si>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</si>
  <si>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</si>
  <si>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</si>
  <si>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</si>
  <si>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</si>
  <si>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</si>
  <si>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</si>
  <si>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</si>
  <si>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</si>
  <si>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</si>
  <si>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</si>
  <si>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</si>
  <si>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</si>
  <si>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</si>
  <si>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</si>
  <si>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</si>
  <si>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</si>
  <si>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</si>
  <si>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</si>
  <si>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</si>
  <si>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</si>
  <si>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</si>
  <si>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</si>
  <si>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</si>
  <si>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</si>
  <si>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</si>
  <si>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</si>
  <si>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</si>
  <si>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</si>
  <si>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</si>
  <si>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</si>
  <si>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</si>
  <si>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</si>
  <si>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</si>
  <si>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</si>
  <si>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</si>
  <si>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</si>
  <si>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</si>
  <si>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</si>
  <si>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</si>
  <si>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</si>
  <si>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</si>
  <si>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</si>
  <si>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</si>
  <si>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</si>
  <si>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</si>
  <si>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</si>
  <si>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</si>
  <si>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</si>
  <si>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</si>
  <si>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</si>
  <si>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</si>
  <si>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</si>
  <si>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</si>
  <si>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</si>
  <si>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</si>
  <si>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</si>
  <si>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</si>
  <si>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</si>
  <si>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</si>
  <si>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</si>
  <si>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</si>
  <si>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</si>
  <si>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</si>
  <si>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</si>
  <si>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</si>
  <si>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</si>
  <si>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</si>
  <si>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</si>
  <si>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</si>
  <si>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</si>
  <si>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</si>
  <si>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</si>
  <si>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</si>
  <si>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</si>
  <si>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</si>
  <si>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</si>
  <si>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</si>
  <si>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</si>
  <si>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</si>
  <si>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</si>
  <si>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</si>
  <si>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</si>
  <si>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</si>
  <si>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</si>
  <si>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</si>
  <si>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</si>
  <si>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</si>
  <si>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</si>
  <si>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</si>
  <si>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</si>
  <si>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</si>
  <si>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</si>
  <si>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</si>
  <si>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</si>
  <si>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</si>
  <si>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</si>
  <si>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</si>
  <si>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</si>
  <si>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</si>
  <si>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</si>
  <si>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</si>
  <si>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</si>
  <si>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</si>
  <si>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</si>
  <si>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</si>
  <si>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</si>
  <si>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</si>
  <si>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</si>
  <si>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</si>
  <si>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</si>
  <si>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</si>
  <si>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</si>
  <si>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</si>
  <si>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</si>
  <si>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</si>
  <si>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</si>
  <si>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</si>
  <si>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</si>
  <si>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</si>
  <si>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</si>
  <si>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</si>
  <si>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</si>
  <si>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</si>
  <si>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</si>
  <si>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</si>
  <si>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</si>
  <si>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</si>
  <si>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</si>
  <si>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</si>
  <si>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</si>
  <si>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</si>
  <si>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</si>
  <si>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</si>
  <si>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</si>
  <si>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</si>
  <si>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</si>
  <si>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</si>
  <si>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</si>
  <si>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</si>
  <si>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</si>
  <si>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</si>
  <si>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</si>
  <si>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</si>
  <si>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</si>
  <si>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</si>
  <si>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</si>
  <si>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</si>
  <si>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</si>
  <si>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</si>
  <si>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</si>
  <si>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</si>
  <si>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</si>
  <si>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</si>
  <si>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</si>
  <si>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</si>
  <si>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</si>
  <si>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</si>
  <si>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</si>
  <si>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</si>
  <si>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</si>
  <si>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</si>
  <si>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</si>
  <si>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</si>
  <si>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</si>
  <si>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</si>
  <si>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</si>
  <si>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</si>
  <si>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</si>
  <si>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</si>
  <si>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</si>
  <si>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</si>
  <si>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</si>
  <si>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</si>
  <si>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</si>
  <si>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</si>
  <si>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</si>
  <si>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</si>
  <si>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</si>
  <si>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</si>
  <si>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</si>
  <si>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</si>
  <si>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</si>
  <si>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</si>
  <si>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</si>
  <si>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</si>
  <si>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</si>
  <si>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</si>
  <si>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</si>
  <si>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</si>
  <si>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</si>
  <si>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</si>
  <si>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</si>
  <si>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</si>
  <si>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</si>
  <si>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</si>
  <si>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</si>
  <si>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</si>
  <si>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</si>
  <si>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</si>
  <si>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</si>
  <si>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</si>
  <si>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</si>
  <si>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</si>
  <si>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</si>
  <si>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</si>
  <si>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</si>
  <si>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</si>
  <si>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</si>
  <si>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</si>
  <si>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</si>
  <si>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</si>
  <si>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</si>
  <si>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</si>
  <si>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</si>
  <si>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</si>
  <si>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</si>
  <si>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</si>
  <si>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</si>
  <si>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</si>
  <si>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</si>
  <si>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</si>
  <si>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</si>
  <si>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</si>
  <si>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</si>
  <si>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</si>
  <si>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</si>
  <si>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</si>
  <si>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</si>
  <si>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</si>
  <si>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</si>
  <si>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</si>
  <si>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</si>
  <si>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</si>
  <si>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</si>
  <si>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</si>
  <si>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</si>
  <si>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</si>
  <si>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</si>
  <si>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</si>
  <si>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</si>
  <si>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</si>
  <si>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</si>
  <si>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</si>
  <si>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</si>
  <si>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</si>
  <si>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</si>
  <si>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</si>
  <si>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</si>
  <si>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</si>
  <si>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</si>
  <si>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</si>
  <si>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</si>
  <si>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</si>
  <si>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</si>
  <si>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</si>
  <si>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</si>
  <si>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</si>
  <si>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</si>
  <si>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</si>
  <si>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</si>
  <si>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</si>
  <si>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</si>
  <si>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</si>
  <si>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</si>
  <si>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</si>
  <si>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</si>
  <si>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</si>
  <si>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</si>
  <si>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</si>
  <si>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</si>
  <si>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</si>
  <si>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</si>
  <si>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</si>
  <si>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</si>
  <si>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</si>
  <si>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</si>
  <si>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</si>
  <si>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</si>
  <si>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</si>
  <si>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</si>
  <si>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</si>
  <si>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</si>
  <si>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</si>
  <si>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</si>
  <si>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</si>
  <si>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</si>
  <si>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</si>
  <si>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</si>
  <si>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</si>
  <si>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</si>
  <si>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</si>
  <si>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</si>
  <si>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</si>
  <si>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</si>
  <si>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</si>
  <si>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</si>
  <si>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</si>
  <si>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</si>
  <si>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</si>
  <si>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</si>
  <si>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</si>
  <si>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</si>
  <si>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</si>
  <si>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</si>
  <si>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</si>
  <si>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</si>
  <si>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</si>
  <si>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</si>
  <si>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</si>
  <si>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</si>
  <si>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</si>
  <si>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</si>
  <si>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</si>
  <si>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</si>
  <si>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</si>
  <si>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</si>
  <si>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</si>
  <si>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</si>
  <si>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</si>
  <si>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</si>
  <si>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</si>
  <si>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</si>
  <si>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</si>
  <si>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</si>
  <si>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</si>
  <si>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</si>
  <si>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</si>
  <si>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</si>
  <si>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</si>
  <si>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</si>
  <si>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</si>
  <si>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</si>
  <si>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</si>
  <si>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</si>
  <si>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</si>
  <si>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</si>
  <si>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</si>
  <si>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</si>
  <si>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</si>
  <si>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</si>
  <si>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</si>
  <si>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</si>
  <si>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</si>
  <si>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</si>
  <si>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</si>
  <si>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</si>
  <si>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</si>
  <si>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</si>
  <si>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</si>
  <si>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</si>
  <si>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</si>
  <si>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</si>
  <si>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</si>
  <si>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</si>
  <si>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</si>
  <si>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</si>
  <si>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</si>
  <si>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</si>
  <si>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</si>
  <si>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</si>
  <si>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</si>
  <si>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</si>
  <si>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</si>
  <si>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</si>
  <si>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</si>
  <si>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</si>
  <si>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</si>
  <si>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</si>
  <si>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</si>
  <si>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</si>
  <si>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</si>
  <si>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</si>
  <si>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</si>
  <si>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</si>
  <si>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</si>
  <si>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</si>
  <si>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</si>
  <si>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</si>
  <si>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</si>
  <si>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</si>
  <si>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</si>
  <si>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</si>
  <si>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</si>
  <si>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</si>
  <si>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</si>
  <si>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</si>
  <si>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</si>
  <si>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</si>
  <si>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</si>
  <si>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</si>
  <si>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</si>
  <si>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</si>
  <si>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</si>
  <si>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</si>
  <si>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</si>
  <si>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</si>
  <si>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</si>
  <si>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</si>
  <si>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</si>
  <si>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</si>
  <si>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</si>
  <si>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</si>
  <si>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</si>
  <si>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</si>
  <si>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</si>
  <si>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</si>
  <si>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</si>
  <si>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</si>
  <si>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</si>
  <si>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</si>
  <si>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</si>
  <si>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</si>
  <si>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</si>
  <si>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</si>
  <si>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</si>
  <si>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</si>
  <si>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</si>
  <si>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</si>
  <si>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</si>
  <si>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</si>
  <si>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</si>
  <si>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</si>
  <si>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</si>
  <si>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</si>
  <si>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</si>
  <si>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</si>
  <si>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</si>
  <si>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</si>
  <si>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</si>
  <si>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</si>
  <si>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</si>
  <si>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</si>
  <si>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</si>
  <si>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</si>
  <si>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</si>
  <si>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</si>
  <si>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</si>
  <si>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</si>
  <si>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</si>
  <si>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</si>
  <si>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</si>
  <si>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</si>
  <si>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</si>
  <si>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</si>
  <si>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</si>
  <si>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</si>
  <si>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</si>
  <si>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</si>
  <si>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</si>
  <si>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</si>
  <si>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</si>
  <si>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</si>
  <si>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</si>
  <si>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</si>
  <si>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</si>
  <si>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</si>
  <si>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</si>
  <si>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</si>
  <si>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</si>
  <si>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</si>
  <si>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</si>
  <si>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</si>
  <si>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</si>
  <si>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</si>
  <si>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</si>
  <si>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</si>
  <si>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</si>
  <si>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</si>
  <si>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</si>
  <si>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</si>
  <si>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</si>
  <si>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</si>
  <si>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</si>
  <si>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</si>
  <si>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</si>
  <si>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</si>
  <si>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</si>
  <si>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</si>
  <si>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</si>
  <si>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</si>
  <si>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</si>
  <si>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</si>
  <si>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</si>
  <si>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</si>
  <si>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</si>
  <si>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</si>
  <si>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</si>
  <si>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</si>
  <si>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</si>
  <si>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</si>
  <si>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</si>
  <si>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</si>
  <si>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</si>
  <si>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</si>
  <si>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</si>
  <si>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</si>
  <si>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</si>
  <si>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</si>
  <si>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</si>
  <si>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</si>
  <si>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</si>
  <si>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</si>
  <si>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</si>
  <si>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</si>
  <si>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</si>
  <si>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</si>
  <si>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</si>
  <si>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</si>
  <si>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</si>
  <si>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</si>
  <si>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</si>
  <si>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</si>
  <si>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</si>
  <si>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</si>
  <si>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</si>
  <si>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</si>
  <si>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</si>
  <si>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</si>
  <si>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</si>
  <si>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</si>
  <si>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</si>
  <si>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</si>
  <si>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</si>
  <si>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</si>
  <si>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</si>
  <si>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</si>
  <si>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</si>
  <si>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</si>
  <si>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</si>
  <si>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</si>
  <si>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</si>
  <si>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</si>
  <si>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</si>
  <si>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</si>
  <si>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</si>
  <si>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</si>
  <si>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</si>
  <si>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</si>
  <si>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</si>
  <si>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</si>
  <si>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</si>
  <si>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</si>
  <si>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</si>
  <si>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</si>
  <si>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</si>
  <si>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</si>
  <si>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</si>
  <si>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</si>
  <si>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</si>
  <si>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</si>
  <si>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</si>
  <si>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</si>
  <si>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</si>
  <si>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</si>
  <si>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</si>
  <si>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</si>
  <si>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</si>
  <si>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</si>
  <si>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</si>
  <si>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</si>
  <si>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</si>
  <si>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</si>
  <si>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</si>
  <si>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</si>
  <si>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</si>
  <si>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</si>
  <si>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</si>
  <si>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</si>
  <si>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</si>
  <si>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</si>
  <si>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</si>
  <si>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</si>
  <si>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</si>
  <si>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</si>
  <si>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</si>
  <si>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</si>
  <si>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</si>
  <si>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</si>
  <si>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</si>
  <si>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</si>
  <si>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</si>
  <si>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</si>
  <si>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</si>
  <si>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</si>
  <si>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</si>
  <si>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</si>
  <si>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</si>
  <si>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</si>
  <si>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</si>
  <si>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</si>
  <si>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</si>
  <si>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</si>
  <si>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</si>
  <si>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</si>
  <si>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</si>
  <si>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</si>
  <si>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</si>
  <si>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</si>
  <si>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</si>
  <si>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</si>
  <si>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</si>
  <si>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</si>
  <si>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</si>
  <si>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</si>
  <si>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</si>
  <si>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</si>
  <si>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</si>
  <si>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</si>
  <si>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</si>
  <si>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</si>
  <si>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</si>
  <si>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</si>
  <si>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</si>
  <si>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</si>
  <si>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</si>
  <si>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</si>
  <si>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</si>
  <si>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</si>
  <si>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</si>
  <si>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</si>
  <si>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</si>
  <si>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</si>
  <si>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</si>
  <si>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</si>
  <si>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</si>
  <si>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</si>
  <si>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</si>
  <si>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</si>
  <si>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</si>
  <si>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</si>
  <si>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</si>
  <si>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</si>
  <si>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</si>
  <si>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</si>
  <si>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</si>
  <si>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</si>
  <si>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</si>
  <si>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</si>
  <si>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</si>
  <si>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</si>
  <si>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</si>
  <si>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</si>
  <si>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</si>
  <si>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</si>
  <si>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</si>
  <si>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</si>
  <si>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</si>
  <si>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</si>
  <si>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</si>
  <si>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</si>
  <si>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</si>
  <si>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</si>
  <si>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</si>
  <si>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</si>
  <si>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</si>
  <si>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</si>
  <si>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</si>
  <si>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</si>
  <si>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</si>
  <si>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</si>
  <si>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</si>
  <si>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</si>
  <si>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</si>
  <si>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</si>
  <si>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</si>
  <si>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</si>
  <si>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</si>
  <si>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</si>
  <si>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</si>
  <si>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</si>
  <si>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</si>
  <si>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</si>
  <si>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</si>
  <si>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</si>
  <si>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</si>
  <si>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</si>
  <si>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</si>
  <si>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</si>
  <si>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</si>
  <si>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</si>
  <si>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</si>
  <si>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</si>
  <si>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</si>
  <si>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</si>
  <si>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</si>
  <si>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</si>
  <si>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</si>
  <si>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</si>
  <si>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</si>
  <si>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</si>
  <si>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</si>
  <si>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</si>
  <si>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</si>
  <si>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</si>
  <si>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</si>
  <si>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</si>
  <si>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</si>
  <si>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</si>
  <si>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</si>
  <si>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</si>
  <si>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</si>
  <si>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</si>
  <si>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</si>
  <si>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</si>
  <si>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</si>
  <si>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</si>
  <si>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</si>
  <si>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</si>
  <si>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</si>
  <si>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</si>
  <si>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</si>
  <si>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</si>
  <si>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</si>
  <si>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</si>
  <si>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</si>
  <si>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</si>
  <si>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</si>
  <si>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</si>
  <si>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</si>
  <si>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</si>
  <si>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</si>
  <si>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</si>
  <si>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</si>
  <si>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</si>
  <si>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</si>
  <si>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</si>
  <si>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</si>
  <si>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</si>
  <si>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</si>
  <si>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</si>
  <si>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</si>
  <si>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</si>
  <si>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</si>
  <si>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</si>
  <si>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</si>
  <si>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</si>
  <si>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</si>
  <si>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</si>
  <si>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</si>
  <si>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</si>
  <si>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</si>
  <si>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</si>
  <si>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</si>
  <si>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</si>
  <si>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</si>
  <si>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</si>
  <si>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</si>
  <si>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</si>
  <si>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</si>
  <si>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</si>
  <si>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</si>
  <si>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</si>
  <si>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</si>
  <si>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</si>
  <si>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</si>
  <si>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</si>
  <si>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</si>
  <si>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</si>
  <si>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</si>
  <si>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</si>
  <si>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</si>
  <si>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</si>
  <si>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</si>
  <si>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</si>
  <si>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</si>
  <si>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</si>
  <si>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</si>
  <si>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</si>
  <si>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</si>
  <si>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</si>
  <si>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</si>
  <si>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</si>
  <si>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</si>
  <si>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其他：</t>
  </si>
  <si>
    <t>企业</t>
  </si>
  <si>
    <t>商业</t>
  </si>
  <si>
    <t>通路</t>
  </si>
  <si>
    <t>通电</t>
  </si>
  <si>
    <t>通讯</t>
  </si>
  <si>
    <t>通上水</t>
  </si>
  <si>
    <t>通下水</t>
  </si>
  <si>
    <t>燃气</t>
  </si>
  <si>
    <t>地上</t>
  </si>
  <si>
    <t>普通住宅</t>
  </si>
  <si>
    <t>住宅</t>
    <phoneticPr fontId="7" type="noConversion"/>
  </si>
  <si>
    <t>售价</t>
  </si>
  <si>
    <t>土地（套用方法）</t>
  </si>
  <si>
    <t>押一</t>
  </si>
  <si>
    <t>钢混</t>
  </si>
  <si>
    <t>出让</t>
  </si>
  <si>
    <t>不动产收益法</t>
  </si>
  <si>
    <t>项目全部</t>
  </si>
  <si>
    <t>土地</t>
  </si>
  <si>
    <t>剩余法-待开发</t>
  </si>
  <si>
    <t>比较法-住宅、综合</t>
  </si>
  <si>
    <t>楼面地价</t>
  </si>
  <si>
    <t>一般</t>
  </si>
  <si>
    <t>较好</t>
  </si>
  <si>
    <t>60-70（含）</t>
  </si>
  <si>
    <t>河北省廊坊市</t>
    <phoneticPr fontId="6" type="noConversion"/>
  </si>
  <si>
    <t>固安县</t>
  </si>
  <si>
    <t>平层住宅</t>
  </si>
  <si>
    <t>回购住宅</t>
  </si>
  <si>
    <t>回购住宅</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</si>
  <si>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</si>
  <si>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</si>
  <si>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</si>
  <si>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</si>
  <si>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</si>
  <si>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</si>
  <si>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</si>
  <si>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</si>
  <si>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</si>
  <si>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</si>
  <si>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</si>
  <si>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</si>
  <si>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</si>
  <si>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</si>
  <si>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</si>
  <si>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</si>
  <si>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</si>
  <si>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</si>
  <si>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</si>
  <si>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</si>
  <si>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</si>
  <si>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</si>
  <si>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</si>
  <si>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</si>
  <si>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</si>
  <si>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</si>
  <si>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</si>
  <si>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</si>
  <si>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</si>
  <si>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</si>
  <si>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</si>
  <si>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</si>
  <si>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</si>
  <si>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</si>
  <si>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</si>
  <si>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</si>
  <si>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</si>
  <si>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</si>
  <si>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</si>
  <si>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</si>
  <si>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</si>
  <si>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</si>
  <si>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</si>
  <si>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迎宾街北侧、永盛路东侧</t>
  </si>
  <si>
    <t>廊坊市</t>
  </si>
  <si>
    <t>综合用地(含住宅)</t>
  </si>
  <si>
    <t>招标</t>
  </si>
  <si>
    <t>2017CG-23</t>
  </si>
  <si>
    <t>住宅、商业</t>
  </si>
  <si>
    <t>≥1.3且≤3.02</t>
  </si>
  <si>
    <t/>
  </si>
  <si>
    <t>未开工</t>
  </si>
  <si>
    <t>2018-01-03</t>
  </si>
  <si>
    <t>2018-01-22</t>
  </si>
  <si>
    <t>固国土告字[2018]1号-1</t>
  </si>
  <si>
    <t>已成交</t>
  </si>
  <si>
    <t>固安县天和房地产开发有限公司</t>
  </si>
  <si>
    <t>住宅70年、商业40年</t>
  </si>
  <si>
    <t>牛驼镇京开路东侧、幸福街北侧</t>
  </si>
  <si>
    <t>住宅用地</t>
  </si>
  <si>
    <t>2017CL-25</t>
  </si>
  <si>
    <t>中低价位、中小套型普通商品住房用地</t>
  </si>
  <si>
    <t>≥1.3且≤1.8</t>
  </si>
  <si>
    <t>固国土告字[2018]1号-2</t>
  </si>
  <si>
    <t>廊坊天壤房地产开发有限公司</t>
  </si>
  <si>
    <t>70年</t>
  </si>
  <si>
    <t>永定路东侧、迎宾街北侧</t>
  </si>
  <si>
    <t>2017CG-21</t>
  </si>
  <si>
    <t>≥1.3且≤2.68</t>
  </si>
  <si>
    <t>≤80米</t>
  </si>
  <si>
    <t>2017-10-23</t>
  </si>
  <si>
    <t>2017-11-13</t>
  </si>
  <si>
    <t>固国土告字[2017]23号-3</t>
  </si>
  <si>
    <t>廊坊泽苑房地产开发有限公司</t>
  </si>
  <si>
    <t>兴旺街南侧、家和路东侧</t>
  </si>
  <si>
    <t>2017XZ-18</t>
  </si>
  <si>
    <t>其他普通商品住房用地</t>
  </si>
  <si>
    <t>≥1.3且≤2</t>
  </si>
  <si>
    <t>固国土告字[2017]23号-6</t>
  </si>
  <si>
    <t>固安孔雀轩房地产开发有限公司</t>
  </si>
  <si>
    <t>永定路东侧</t>
  </si>
  <si>
    <t>2017CG-19</t>
  </si>
  <si>
    <t>固国土告字[2017]23号-1</t>
  </si>
  <si>
    <t>孔雀大道南侧、育才北路东侧</t>
  </si>
  <si>
    <t>2017CL-2</t>
  </si>
  <si>
    <t>2017-10-20</t>
  </si>
  <si>
    <t>2017-11-09</t>
  </si>
  <si>
    <t>固国土告字[2017]22号-2</t>
  </si>
  <si>
    <t>廊坊京御房地产开发有限公司</t>
  </si>
  <si>
    <t>2017CL-1</t>
  </si>
  <si>
    <t>固国土告字[2017]22号-1</t>
  </si>
  <si>
    <t>迎宾街南侧</t>
  </si>
  <si>
    <t>2017XZ-29</t>
  </si>
  <si>
    <t>≥1.3且≤2.93</t>
  </si>
  <si>
    <t>≤85米</t>
  </si>
  <si>
    <t>2017-10-13</t>
  </si>
  <si>
    <t>2017-11-02</t>
  </si>
  <si>
    <t>固国土告字[2017]21号-3</t>
  </si>
  <si>
    <t>廊坊金远房地产开发有限公司</t>
  </si>
  <si>
    <t>规划路南侧、玉泉路西侧</t>
  </si>
  <si>
    <t>2017CG-16</t>
  </si>
  <si>
    <t>≥1.3且≤2.61</t>
  </si>
  <si>
    <t>固国土告字[2017]21号-1</t>
  </si>
  <si>
    <t>固安县中鼎房地产开发有限公司</t>
  </si>
  <si>
    <t>2017XZ-16</t>
  </si>
  <si>
    <t>2017-09-01</t>
  </si>
  <si>
    <t>2017-09-20</t>
  </si>
  <si>
    <t>固国土告字[2017]20号-4</t>
  </si>
  <si>
    <t>孔雀大道南侧、家和路西侧</t>
  </si>
  <si>
    <t>2017CL-20</t>
  </si>
  <si>
    <t>固国土告字[2017]20号-1</t>
  </si>
  <si>
    <t>孔雀环路内测</t>
  </si>
  <si>
    <t>2017XZ-27</t>
  </si>
  <si>
    <t>≤100米</t>
  </si>
  <si>
    <t>2017-08-31</t>
  </si>
  <si>
    <t>固国土告字[2017]19号-3</t>
  </si>
  <si>
    <t>知高线东侧、东北纬五路北侧</t>
  </si>
  <si>
    <t>2017XZ-28</t>
  </si>
  <si>
    <t>≥1且≤1.5</t>
  </si>
  <si>
    <t>固国土告字[2017]19号-4</t>
  </si>
  <si>
    <t>固安孔雀亭房地产开发有限公司</t>
  </si>
  <si>
    <t>东方街北、家和路东</t>
  </si>
  <si>
    <t>2017CL-21</t>
  </si>
  <si>
    <t>固国土告字[2017]20号-2</t>
  </si>
  <si>
    <t>孔雀环路内侧</t>
  </si>
  <si>
    <t>拍卖</t>
  </si>
  <si>
    <t>2017XZ-25</t>
  </si>
  <si>
    <t>≥1.3,≤2</t>
  </si>
  <si>
    <t>2017-08-29</t>
  </si>
  <si>
    <t>2017-09-19</t>
  </si>
  <si>
    <t>固国土告字[2017]18号-5</t>
  </si>
  <si>
    <t>固安县秀伟商贸有限公司</t>
  </si>
  <si>
    <t>2017CL-18</t>
  </si>
  <si>
    <t>固国土告字[2017]18号-3</t>
  </si>
  <si>
    <t>2017CL-17</t>
  </si>
  <si>
    <t>固国土告字[2017]18号-2</t>
  </si>
  <si>
    <t>2017CL-16</t>
  </si>
  <si>
    <t>固国土告字[2017]18号-1</t>
  </si>
  <si>
    <t>2017CL-19</t>
  </si>
  <si>
    <t>固国土告字[2017]18号-4</t>
  </si>
  <si>
    <t>永盛路东侧、新源东街北侧</t>
  </si>
  <si>
    <t>挂牌</t>
  </si>
  <si>
    <t>2017XZ-2</t>
  </si>
  <si>
    <t>住宅、商办</t>
  </si>
  <si>
    <t>≥1.3,≤2.76</t>
  </si>
  <si>
    <t>开工中</t>
  </si>
  <si>
    <t>2017-07-06</t>
  </si>
  <si>
    <t>2017-07-28</t>
  </si>
  <si>
    <t>2017-08-08</t>
  </si>
  <si>
    <t>固国土告字[2017]16号-5</t>
  </si>
  <si>
    <t>廊坊市华明房地产开发有限公司</t>
  </si>
  <si>
    <t>住宅70年、商办40年</t>
  </si>
  <si>
    <t>工兴路南侧、永康路西侧</t>
  </si>
  <si>
    <t>2016CL-5</t>
  </si>
  <si>
    <t>经济适用住房用地</t>
  </si>
  <si>
    <t>固国土告字[2017]16号-1</t>
  </si>
  <si>
    <t>固安县泰然房地产开发有限公司</t>
  </si>
  <si>
    <t>农兴路北侧、育才南路西侧</t>
  </si>
  <si>
    <t>2017CG-10</t>
  </si>
  <si>
    <t>商业、住宅</t>
  </si>
  <si>
    <t>≥1.3,≤2.5</t>
  </si>
  <si>
    <t>2017-05-19</t>
  </si>
  <si>
    <t>2017-05-16</t>
  </si>
  <si>
    <t>2017-06-08</t>
  </si>
  <si>
    <t>固国土告字[2017]14号-1</t>
  </si>
  <si>
    <t>商业40年、住宅70年</t>
  </si>
  <si>
    <t>永康路东侧、迎宾街南侧</t>
  </si>
  <si>
    <t>2017CG-11</t>
  </si>
  <si>
    <t>≥1.3,≤2.93</t>
  </si>
  <si>
    <t>固国土告字[2017]14号-2</t>
  </si>
  <si>
    <t>永康路东侧、新源街南侧</t>
  </si>
  <si>
    <t>2017CG-14</t>
  </si>
  <si>
    <t>≥1.3,≤3.34</t>
  </si>
  <si>
    <t>2017-05-12</t>
  </si>
  <si>
    <t>2017-06-01</t>
  </si>
  <si>
    <t>固国土告字[2017]13号-4</t>
  </si>
  <si>
    <t>固安县成达房地产开发有限公司</t>
  </si>
  <si>
    <t>永康路西侧</t>
  </si>
  <si>
    <t>2017CG-15</t>
  </si>
  <si>
    <t>≥1.3,≤3.05</t>
  </si>
  <si>
    <t>2017-05-11</t>
  </si>
  <si>
    <t>固国土告字[2017]13号-5</t>
  </si>
  <si>
    <t>固安县通宇房地产开发有限公司</t>
  </si>
  <si>
    <t>温泉大道南侧</t>
  </si>
  <si>
    <t>2017CL-6</t>
  </si>
  <si>
    <t>≥1,≤1.2</t>
  </si>
  <si>
    <t>固国土告字[2017]12号-3</t>
  </si>
  <si>
    <t>固安健康郡房地产开发有限公司</t>
  </si>
  <si>
    <t>2017CG-1</t>
  </si>
  <si>
    <t>固国土告字[2017]13号-1</t>
  </si>
  <si>
    <t>农兴路南侧、玉井南路西侧</t>
  </si>
  <si>
    <t>2017CG-8</t>
  </si>
  <si>
    <t>≥1.3,≤2.94</t>
  </si>
  <si>
    <t>固国土告字[2017]12号-2</t>
  </si>
  <si>
    <t>固安县中盛联创房地产开发有限公司</t>
  </si>
  <si>
    <t>2017CG-12</t>
  </si>
  <si>
    <t>≥1.3,≤2.68</t>
  </si>
  <si>
    <t>固国土告字[2017]13号-2</t>
  </si>
  <si>
    <t>永定路东侧、迎宾街南侧</t>
  </si>
  <si>
    <t>2017CG-13</t>
  </si>
  <si>
    <t>固国土告字[2017]13号-3</t>
  </si>
  <si>
    <t>2017CL-7</t>
  </si>
  <si>
    <t>2017-05-05</t>
  </si>
  <si>
    <t>2017-05-24</t>
  </si>
  <si>
    <t>固国土告字[2017]11号-2</t>
  </si>
  <si>
    <t>2017CL-5</t>
  </si>
  <si>
    <t>固国土告字[2017]11号-1</t>
  </si>
  <si>
    <t>烟草局北侧</t>
  </si>
  <si>
    <t>2017CG-4</t>
  </si>
  <si>
    <t>≥1.3,≤3.32</t>
  </si>
  <si>
    <t>2017-03-10</t>
  </si>
  <si>
    <t>2017-03-30</t>
  </si>
  <si>
    <t>2017-04-11</t>
  </si>
  <si>
    <t>固国土告字[2017]09号-2</t>
  </si>
  <si>
    <t>廊坊市锦厦房地产开发集团有限公司</t>
  </si>
  <si>
    <t>2017CG-3</t>
  </si>
  <si>
    <t>固国土告字[2017]09号-1</t>
  </si>
  <si>
    <t>规划路北侧、玉泉北路西侧</t>
  </si>
  <si>
    <t>2017CG-2</t>
  </si>
  <si>
    <t>≥1.3,≤2.61</t>
  </si>
  <si>
    <t>2017-03-09</t>
  </si>
  <si>
    <t>2017-03-29</t>
  </si>
  <si>
    <t>固国土告字[2017]8号-3</t>
  </si>
  <si>
    <t>硅谷道南侧、国泰路西侧、凯旋路东侧</t>
  </si>
  <si>
    <t>2017XZ-4</t>
  </si>
  <si>
    <t>2017-03-03</t>
  </si>
  <si>
    <t>2017-03-22</t>
  </si>
  <si>
    <t>固国土告字[2017]6号-4</t>
  </si>
  <si>
    <t>硅谷道南侧、凯旋路西侧</t>
  </si>
  <si>
    <t>2017CG-6</t>
  </si>
  <si>
    <t>固国土告字[2017]6号-1</t>
  </si>
  <si>
    <t>安康西街北侧、凯旋路西侧</t>
  </si>
  <si>
    <t>2017XZ-3</t>
  </si>
  <si>
    <t>固国土告字[2017]6号-3</t>
  </si>
  <si>
    <t>硅谷道南侧、凯旋路东侧</t>
  </si>
  <si>
    <t>2017CG-7</t>
  </si>
  <si>
    <t>固国土告字[2017]6号-2</t>
  </si>
  <si>
    <t>永康东路西侧、工兴南路北侧</t>
  </si>
  <si>
    <t>2016CG-14</t>
  </si>
  <si>
    <t>≤60米</t>
  </si>
  <si>
    <t>2017-02-23</t>
  </si>
  <si>
    <t>2017-03-14</t>
  </si>
  <si>
    <t>固国土资告字[2017]5号-3</t>
  </si>
  <si>
    <t>固安县金海房地产开发有限公司</t>
  </si>
  <si>
    <t>兴旺街北侧、永康东路西侧、工兴南路南侧</t>
  </si>
  <si>
    <t>2016CG-16</t>
  </si>
  <si>
    <t>固国土资告字[2017]5号-5</t>
  </si>
  <si>
    <t>朝阳南路南侧</t>
  </si>
  <si>
    <t>2016CG-13</t>
  </si>
  <si>
    <t>≥1.3,≤3.33</t>
  </si>
  <si>
    <t>固国土资告字[2017]5号-2</t>
  </si>
  <si>
    <t>河北乾涞房地产开发有限公司</t>
  </si>
  <si>
    <t>新昌东街北侧</t>
  </si>
  <si>
    <t>2016CG-12</t>
  </si>
  <si>
    <t>固国土资告字[2017]5号-1</t>
  </si>
  <si>
    <t>育才南路西侧、大龙堂村东侧</t>
  </si>
  <si>
    <t>2016XZ-84</t>
  </si>
  <si>
    <t>≥1.3且＜2.5</t>
  </si>
  <si>
    <t>2017-01-13</t>
  </si>
  <si>
    <t>2017-02-10</t>
  </si>
  <si>
    <t>2017-02-21</t>
  </si>
  <si>
    <t>固国土告字[2017]2号-5</t>
  </si>
  <si>
    <t>工兴南路南侧、永康路东侧</t>
  </si>
  <si>
    <t>2016CL-7</t>
  </si>
  <si>
    <t>≤100</t>
  </si>
  <si>
    <t>固国土告字[2017]2号-2</t>
  </si>
  <si>
    <t>兴旺街北侧、永康路东侧</t>
  </si>
  <si>
    <t>2016XZ-46</t>
  </si>
  <si>
    <t>固国土告字[2017]2号-3</t>
  </si>
  <si>
    <t>工兴南路北侧、永康路东侧</t>
  </si>
  <si>
    <t>2016CL-6</t>
  </si>
  <si>
    <t>≤60</t>
  </si>
  <si>
    <t>固国土告字[2017]2号-1</t>
  </si>
  <si>
    <t>永和路东侧</t>
  </si>
  <si>
    <t>2016XZ-81</t>
  </si>
  <si>
    <t>≥1.3且≤2.73</t>
  </si>
  <si>
    <t>2017-01-18</t>
  </si>
  <si>
    <t>2017-02-16</t>
  </si>
  <si>
    <t>固国土告字[2017]4号-5</t>
  </si>
  <si>
    <t>廊坊炽盛房地产开发有限公司</t>
  </si>
  <si>
    <t>锦绣大道南侧</t>
  </si>
  <si>
    <t>2016CL-24</t>
  </si>
  <si>
    <t>≤80</t>
  </si>
  <si>
    <t>固国土告字[2017]4号-1</t>
  </si>
  <si>
    <t>固安京御幸福房地产开发有限公司</t>
  </si>
  <si>
    <t>2016XZ-79</t>
  </si>
  <si>
    <t>固国土告字[2017]4号-3</t>
  </si>
  <si>
    <t>商业用地出让年限40年、住宅用地出让年限70年</t>
  </si>
  <si>
    <t>已全部缴纳</t>
  </si>
  <si>
    <t>正常</t>
  </si>
  <si>
    <t>2018-1-0348-P01DYGJ1</t>
    <phoneticPr fontId="6" type="noConversion"/>
  </si>
  <si>
    <t>欧红伟</t>
  </si>
  <si>
    <t>崔锴</t>
  </si>
  <si>
    <t>中诚信托</t>
    <phoneticPr fontId="6" type="noConversion"/>
  </si>
  <si>
    <t>廊坊京御房地产开发有限公司</t>
    <phoneticPr fontId="6" type="noConversion"/>
  </si>
  <si>
    <t>固安县工业园区五号路北、六号路西</t>
    <phoneticPr fontId="6" type="noConversion"/>
  </si>
  <si>
    <t>城镇住宅用地</t>
    <phoneticPr fontId="6" type="noConversion"/>
  </si>
  <si>
    <t>一致</t>
  </si>
  <si>
    <t>固安工业园区</t>
    <phoneticPr fontId="3" type="noConversion"/>
  </si>
  <si>
    <t>廊坊市固安县</t>
    <phoneticPr fontId="3" type="noConversion"/>
  </si>
  <si>
    <t>廉租房</t>
    <phoneticPr fontId="26" type="noConversion"/>
  </si>
  <si>
    <t>无</t>
    <phoneticPr fontId="26" type="noConversion"/>
  </si>
  <si>
    <t>住宅</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</si>
  <si>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</si>
  <si>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</si>
  <si>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</si>
  <si>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</si>
  <si>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</si>
  <si>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</si>
  <si>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</si>
  <si>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</si>
  <si>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</si>
  <si>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</si>
  <si>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</si>
  <si>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</si>
  <si>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</si>
  <si>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</si>
  <si>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</si>
  <si>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</si>
  <si>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</si>
  <si>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</si>
  <si>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</si>
  <si>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</si>
  <si>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</si>
  <si>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</si>
  <si>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</si>
  <si>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</si>
  <si>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t>70</t>
    </r>
    <r>
      <rPr>
        <sz val="11"/>
        <color indexed="8"/>
        <rFont val="宋体"/>
        <family val="3"/>
        <charset val="134"/>
      </rPr>
      <t>年</t>
    </r>
    <phoneticPr fontId="26" type="noConversion"/>
  </si>
  <si>
    <r>
      <t>61.55</t>
    </r>
    <r>
      <rPr>
        <sz val="11"/>
        <color indexed="8"/>
        <rFont val="宋体"/>
        <family val="3"/>
        <charset val="134"/>
      </rPr>
      <t>年</t>
    </r>
    <phoneticPr fontId="26" type="noConversion"/>
  </si>
  <si>
    <t>六通</t>
  </si>
  <si>
    <t>临街宽度及深度比例较适宜，对土地利用无不利影响</t>
  </si>
  <si>
    <t>七通</t>
  </si>
  <si>
    <t>较差</t>
  </si>
  <si>
    <t>双面临街</t>
  </si>
  <si>
    <t>支路</t>
  </si>
  <si>
    <t>住宅</t>
    <phoneticPr fontId="21" type="noConversion"/>
  </si>
  <si>
    <t>孔雀城英国宫</t>
    <phoneticPr fontId="3" type="noConversion"/>
  </si>
  <si>
    <t>高层</t>
  </si>
  <si>
    <t>高层</t>
    <phoneticPr fontId="21" type="noConversion"/>
  </si>
  <si>
    <t>钢混</t>
    <phoneticPr fontId="21" type="noConversion"/>
  </si>
  <si>
    <t>好</t>
    <phoneticPr fontId="21" type="noConversion"/>
  </si>
  <si>
    <t>较好</t>
    <phoneticPr fontId="21" type="noConversion"/>
  </si>
  <si>
    <t>精装修</t>
  </si>
  <si>
    <t>精装修</t>
    <phoneticPr fontId="21" type="noConversion"/>
  </si>
  <si>
    <t>普通装修</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</si>
  <si>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</si>
  <si>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</si>
  <si>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</si>
  <si>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</si>
  <si>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</si>
  <si>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</si>
  <si>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</si>
  <si>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简单装修</t>
    <phoneticPr fontId="21" type="noConversion"/>
  </si>
  <si>
    <t>毛坯</t>
  </si>
  <si>
    <t>毛坯</t>
    <phoneticPr fontId="21" type="noConversion"/>
  </si>
  <si>
    <t>恒基现代城</t>
    <phoneticPr fontId="3" type="noConversion"/>
  </si>
  <si>
    <t>凡尔赛公馆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</si>
</sst>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64" fillId="0" borderId="0" xfId="0" applyFont="1" applyAlignment="1"/>
    <xf numFmtId="0" fontId="170" fillId="0" borderId="0" xfId="0" applyFont="1" applyAlignment="1"/>
    <xf numFmtId="0" fontId="285" fillId="0" borderId="0" xfId="0" applyFont="1" applyFill="1" applyAlignment="1"/>
    <xf numFmtId="0" fontId="28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7" borderId="12" xfId="0"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15</xdr:col>
      <xdr:colOff>84301</xdr:colOff>
      <xdr:row>95</xdr:row>
      <xdr:rowOff>94317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43850"/>
          <a:ext cx="11390476" cy="7466667"/>
        </a:xfrm>
        <a:prstGeom prst="rect">
          <a:avLst/>
        </a:prstGeom>
      </xdr:spPr>
    </xdr:pic>
    <xdr:clientData/>
  </xdr:twoCellAnchor>
  <xdr:twoCellAnchor editAs="oneCell">
    <xdr:from>
      <xdr:col>14</xdr:col>
      <xdr:colOff>0</xdr:colOff>
      <xdr:row>52</xdr:row>
      <xdr:rowOff>0</xdr:rowOff>
    </xdr:from>
    <xdr:to>
      <xdr:col>20</xdr:col>
      <xdr:colOff>447105</xdr:colOff>
      <xdr:row>89</xdr:row>
      <xdr:rowOff>27779</xdr:rowOff>
    </xdr:to>
    <xdr:pic>
      <xdr:nvPicPr>
        <xdr:cNvPr id="3" name="图片 2"/>
        <xdr:cNvPicPr>
          <a:picLocks noChangeAspect="1"/>
        </xdr:cNvPicPr>
      </xdr:nvPicPr>
      <xdr:blipFill>
        <a:blip xmlns:r="http://schemas.openxmlformats.org/officeDocument/2006/relationships" r:embed="rId2"/>
        <a:stretch>
          <a:fillRect/>
        </a:stretch>
      </xdr:blipFill>
      <xdr:spPr>
        <a:xfrm>
          <a:off x="11696700" y="7943850"/>
          <a:ext cx="4561905" cy="6371429"/>
        </a:xfrm>
        <a:prstGeom prst="rect">
          <a:avLst/>
        </a:prstGeom>
      </xdr:spPr>
    </xdr:pic>
    <xdr:clientData/>
  </xdr:twoCellAnchor>
  <xdr:twoCellAnchor editAs="oneCell">
    <xdr:from>
      <xdr:col>21</xdr:col>
      <xdr:colOff>0</xdr:colOff>
      <xdr:row>52</xdr:row>
      <xdr:rowOff>0</xdr:rowOff>
    </xdr:from>
    <xdr:to>
      <xdr:col>29</xdr:col>
      <xdr:colOff>123124</xdr:colOff>
      <xdr:row>83</xdr:row>
      <xdr:rowOff>161240</xdr:rowOff>
    </xdr:to>
    <xdr:pic>
      <xdr:nvPicPr>
        <xdr:cNvPr id="4" name="图片 3"/>
        <xdr:cNvPicPr>
          <a:picLocks noChangeAspect="1"/>
        </xdr:cNvPicPr>
      </xdr:nvPicPr>
      <xdr:blipFill>
        <a:blip xmlns:r="http://schemas.openxmlformats.org/officeDocument/2006/relationships" r:embed="rId3"/>
        <a:stretch>
          <a:fillRect/>
        </a:stretch>
      </xdr:blipFill>
      <xdr:spPr>
        <a:xfrm>
          <a:off x="16497300" y="7943850"/>
          <a:ext cx="5609524" cy="5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9579;&#26342;&#28145;&#22323;&#40857;&#23703;&#22303;&#22320;/&#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1" customWidth="1"/>
    <col min="2" max="2" width="20.625" style="3476" customWidth="1"/>
    <col min="3" max="3" width="11.875" style="3476" customWidth="1"/>
    <col min="4" max="4" width="40.5" style="3201" customWidth="1"/>
    <col min="5" max="5" width="15.75" style="3201" customWidth="1"/>
    <col min="6" max="6" width="10.625" style="3201" customWidth="1"/>
    <col min="7" max="7" width="4.875" style="3201" customWidth="1"/>
    <col min="8" max="8" width="8.5" style="3201" customWidth="1"/>
    <col min="9" max="9" width="21.25" style="3201" customWidth="1"/>
    <col min="10" max="10" width="12.25" style="3201" customWidth="1"/>
    <col min="11" max="11" width="40.125" style="3463" customWidth="1"/>
    <col min="12" max="12" width="16.375" style="3201" customWidth="1"/>
    <col min="13" max="13" width="13" style="3201" customWidth="1"/>
    <col min="14" max="14" width="13.75" style="3200" customWidth="1"/>
    <col min="15" max="15" width="5.125" style="3200" customWidth="1"/>
    <col min="16" max="16" width="25.75" style="3200" customWidth="1"/>
    <col min="17" max="17" width="13.75" style="3200" customWidth="1"/>
    <col min="18" max="18" width="20.5" style="3200" customWidth="1"/>
    <col min="19" max="19" width="13.25" style="3200" customWidth="1"/>
    <col min="20" max="37" width="9" style="3200"/>
    <col min="38" max="16384" width="9" style="3201"/>
  </cols>
  <sheetData>
    <row r="1" spans="1:37" s="3190" customFormat="1" ht="21">
      <c r="A1" s="3179" t="s">
        <v>2982</v>
      </c>
      <c r="B1" s="3180"/>
      <c r="C1" s="3181"/>
      <c r="D1" s="3182"/>
      <c r="E1" s="3183" t="s">
        <v>2983</v>
      </c>
      <c r="F1" s="3184" t="b">
        <f>J53</f>
        <v>0</v>
      </c>
      <c r="G1" s="3185">
        <f>MATCH(C1,'[1]数据-取费表'!A6:A16,0)+5</f>
        <v>6</v>
      </c>
      <c r="H1" s="3186"/>
      <c r="I1" s="3187"/>
      <c r="J1" s="3187"/>
      <c r="K1" s="3188"/>
      <c r="L1" s="3187"/>
      <c r="M1" s="3187"/>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row>
    <row r="2" spans="1:37" ht="18" customHeight="1">
      <c r="A2" s="3191" t="s">
        <v>2984</v>
      </c>
      <c r="B2" s="3192" t="e">
        <f ca="1">ROUND(D2/10000,0)</f>
        <v>#DIV/0!</v>
      </c>
      <c r="C2" s="3193" t="s">
        <v>2985</v>
      </c>
      <c r="D2" s="3194" t="e">
        <f ca="1">C40+J29+L46</f>
        <v>#DIV/0!</v>
      </c>
      <c r="E2" s="3195" t="s">
        <v>2986</v>
      </c>
      <c r="F2" s="3196"/>
      <c r="G2" s="3197"/>
      <c r="H2" s="3198"/>
      <c r="I2" s="3198"/>
      <c r="J2" s="3198"/>
      <c r="K2" s="3199"/>
      <c r="L2" s="3198"/>
      <c r="M2" s="3198"/>
    </row>
    <row r="3" spans="1:37" ht="18" customHeight="1" thickBot="1">
      <c r="A3" s="3202" t="s">
        <v>2987</v>
      </c>
      <c r="B3" s="3203">
        <f ca="1">IF(ISERROR(D2/F43),0,ROUND(D2/F43,0))</f>
        <v>0</v>
      </c>
      <c r="C3" s="3193" t="s">
        <v>2988</v>
      </c>
      <c r="D3" s="3193"/>
      <c r="E3" s="3195"/>
      <c r="F3" s="3196"/>
      <c r="G3" s="3197"/>
      <c r="H3" s="3204" t="s">
        <v>2989</v>
      </c>
      <c r="I3" s="3198"/>
      <c r="J3" s="3198"/>
      <c r="K3" s="3199"/>
      <c r="L3" s="3198"/>
      <c r="M3" s="3198"/>
    </row>
    <row r="4" spans="1:37" ht="18" customHeight="1">
      <c r="A4" s="3205" t="s">
        <v>2990</v>
      </c>
      <c r="B4" s="3206" t="s">
        <v>2991</v>
      </c>
      <c r="C4" s="3206" t="s">
        <v>2992</v>
      </c>
      <c r="D4" s="3206" t="s">
        <v>2993</v>
      </c>
      <c r="E4" s="3207" t="s">
        <v>2994</v>
      </c>
      <c r="F4" s="3208"/>
      <c r="G4" s="3209"/>
      <c r="H4" s="3205" t="s">
        <v>2995</v>
      </c>
      <c r="I4" s="3206" t="s">
        <v>2996</v>
      </c>
      <c r="J4" s="3206" t="s">
        <v>2997</v>
      </c>
      <c r="K4" s="3206" t="s">
        <v>2998</v>
      </c>
      <c r="L4" s="3207" t="s">
        <v>2994</v>
      </c>
      <c r="M4" s="3208"/>
    </row>
    <row r="5" spans="1:37" ht="18" customHeight="1">
      <c r="A5" s="3210">
        <v>1</v>
      </c>
      <c r="B5" s="3211" t="s">
        <v>2999</v>
      </c>
      <c r="C5" s="3212">
        <f ca="1">C6+C10+C12</f>
        <v>0</v>
      </c>
      <c r="D5" s="3213" t="s">
        <v>3000</v>
      </c>
      <c r="E5" s="3214"/>
      <c r="F5" s="3215"/>
      <c r="G5" s="3209"/>
      <c r="H5" s="3210">
        <v>1</v>
      </c>
      <c r="I5" s="3211" t="s">
        <v>2999</v>
      </c>
      <c r="J5" s="3212">
        <f ca="1">J6+J10+J12</f>
        <v>0</v>
      </c>
      <c r="K5" s="3213" t="s">
        <v>3000</v>
      </c>
      <c r="L5" s="3214"/>
      <c r="M5" s="3215"/>
    </row>
    <row r="6" spans="1:37" ht="18" customHeight="1">
      <c r="A6" s="3216" t="s">
        <v>3001</v>
      </c>
      <c r="B6" s="3488" t="s">
        <v>3002</v>
      </c>
      <c r="C6" s="3217">
        <f ca="1">ROUND(F6*F8*F7*(1-F9),0)</f>
        <v>0</v>
      </c>
      <c r="D6" s="3218" t="s">
        <v>3003</v>
      </c>
      <c r="E6" s="3219" t="s">
        <v>3004</v>
      </c>
      <c r="F6" s="3220">
        <f ca="1">INDIRECT("'数据-取费表'!u"&amp;$G$1)</f>
        <v>0</v>
      </c>
      <c r="G6" s="3209"/>
      <c r="H6" s="3216" t="s">
        <v>3001</v>
      </c>
      <c r="I6" s="3488" t="s">
        <v>3002</v>
      </c>
      <c r="J6" s="3221">
        <f ca="1">ROUND(M6*M8*M7*(1-M9),0)</f>
        <v>0</v>
      </c>
      <c r="K6" s="3222" t="s">
        <v>3005</v>
      </c>
      <c r="L6" s="3219" t="s">
        <v>3004</v>
      </c>
      <c r="M6" s="3220">
        <f ca="1">INDIRECT("'数据-取费表'!z"&amp;$G$1)</f>
        <v>0</v>
      </c>
    </row>
    <row r="7" spans="1:37" ht="18" customHeight="1">
      <c r="A7" s="3223"/>
      <c r="B7" s="3489"/>
      <c r="C7" s="3224"/>
      <c r="D7" s="3225"/>
      <c r="E7" s="3226" t="s">
        <v>3006</v>
      </c>
      <c r="F7" s="3220">
        <f ca="1">IF(INDIRECT("'数据-取费表'!ah"&amp;$G$1)="",INDIRECT("'数据-取费表'!k"&amp;$G$1),INDIRECT("'数据-取费表'!ah"&amp;$G$1))</f>
        <v>244635.43</v>
      </c>
      <c r="G7" s="3209"/>
      <c r="H7" s="3227"/>
      <c r="I7" s="3489"/>
      <c r="J7" s="3228"/>
      <c r="K7" s="3225"/>
      <c r="L7" s="3219" t="s">
        <v>3006</v>
      </c>
      <c r="M7" s="3220">
        <f ca="1">F7</f>
        <v>244635.43</v>
      </c>
    </row>
    <row r="8" spans="1:37" ht="18" customHeight="1">
      <c r="A8" s="3227"/>
      <c r="B8" s="3489"/>
      <c r="C8" s="3228"/>
      <c r="D8" s="3225"/>
      <c r="E8" s="3219" t="s">
        <v>3007</v>
      </c>
      <c r="F8" s="3220">
        <f ca="1">INDIRECT("'数据-取费表'!ai"&amp;$G$1)</f>
        <v>0</v>
      </c>
      <c r="G8" s="3209"/>
      <c r="H8" s="3227"/>
      <c r="I8" s="3489"/>
      <c r="J8" s="3228"/>
      <c r="K8" s="3225"/>
      <c r="L8" s="3219" t="s">
        <v>3007</v>
      </c>
      <c r="M8" s="3220">
        <f ca="1">INDIRECT("'数据-取费表'!ai"&amp;$G$1)</f>
        <v>0</v>
      </c>
    </row>
    <row r="9" spans="1:37" ht="18" customHeight="1">
      <c r="A9" s="3227"/>
      <c r="B9" s="3490"/>
      <c r="C9" s="3228"/>
      <c r="D9" s="3225"/>
      <c r="E9" s="3219" t="s">
        <v>3008</v>
      </c>
      <c r="F9" s="3229">
        <f ca="1">INDIRECT("'数据-取费表'!w"&amp;$G$1)</f>
        <v>0</v>
      </c>
      <c r="G9" s="3209"/>
      <c r="H9" s="3227"/>
      <c r="I9" s="3490"/>
      <c r="J9" s="3228"/>
      <c r="K9" s="3225"/>
      <c r="L9" s="3230" t="s">
        <v>3008</v>
      </c>
      <c r="M9" s="3231">
        <f ca="1">INDIRECT("'数据-取费表'!ab"&amp;$G$1)</f>
        <v>0</v>
      </c>
    </row>
    <row r="10" spans="1:37" ht="18" customHeight="1">
      <c r="A10" s="3216" t="s">
        <v>3009</v>
      </c>
      <c r="B10" s="3232" t="s">
        <v>3010</v>
      </c>
      <c r="C10" s="3233">
        <f>ROUND(IF(F10="押一",F6*F8*F7/12*F11,IF(F10="押二",F6*F8*F7/12*2*F11,IF(F10="押三",F6*F8*F7/12*3*F11,C11*F11))),0)</f>
        <v>0</v>
      </c>
      <c r="D10" s="3234" t="s">
        <v>3011</v>
      </c>
      <c r="E10" s="3230" t="s">
        <v>3012</v>
      </c>
      <c r="F10" s="3235"/>
      <c r="G10" s="3209"/>
      <c r="H10" s="3216" t="s">
        <v>3009</v>
      </c>
      <c r="I10" s="3232" t="s">
        <v>3010</v>
      </c>
      <c r="J10" s="3221">
        <f>ROUND(IF(M10="押一",M6*M8*M7/12*M11,IF(M10="押二",M6*M8*M7/12*2*M11,IF(M10="押三",M6*M8*M7/12*3*M11,J11*M11))),0)</f>
        <v>0</v>
      </c>
      <c r="K10" s="3236" t="s">
        <v>3013</v>
      </c>
      <c r="L10" s="3230" t="s">
        <v>3012</v>
      </c>
      <c r="M10" s="3235"/>
    </row>
    <row r="11" spans="1:37" ht="18" customHeight="1">
      <c r="A11" s="3237"/>
      <c r="B11" s="3238" t="s">
        <v>3014</v>
      </c>
      <c r="C11" s="3239"/>
      <c r="D11" s="3225"/>
      <c r="E11" s="3230" t="s">
        <v>3015</v>
      </c>
      <c r="F11" s="3231">
        <f>'[1]数据-取费表'!B39</f>
        <v>0</v>
      </c>
      <c r="G11" s="3209"/>
      <c r="H11" s="3240"/>
      <c r="I11" s="3238" t="s">
        <v>3016</v>
      </c>
      <c r="J11" s="3239"/>
      <c r="K11" s="3241"/>
      <c r="L11" s="3230" t="s">
        <v>3015</v>
      </c>
      <c r="M11" s="3242">
        <f>'[1]数据-取费表'!B39</f>
        <v>0</v>
      </c>
    </row>
    <row r="12" spans="1:37" ht="18" customHeight="1" thickBot="1">
      <c r="A12" s="3243" t="s">
        <v>3017</v>
      </c>
      <c r="B12" s="3244" t="s">
        <v>3018</v>
      </c>
      <c r="C12" s="3245"/>
      <c r="D12" s="3246"/>
      <c r="E12" s="3247"/>
      <c r="F12" s="3248"/>
      <c r="G12" s="3209"/>
      <c r="H12" s="3243" t="s">
        <v>3017</v>
      </c>
      <c r="I12" s="3244" t="s">
        <v>3018</v>
      </c>
      <c r="J12" s="3245"/>
      <c r="K12" s="3249"/>
      <c r="L12" s="3247"/>
      <c r="M12" s="3250"/>
    </row>
    <row r="13" spans="1:37" ht="18" customHeight="1" thickTop="1">
      <c r="A13" s="3251">
        <v>2</v>
      </c>
      <c r="B13" s="3252" t="s">
        <v>3019</v>
      </c>
      <c r="C13" s="3253">
        <f ca="1">ROUND(C29*F13,0)</f>
        <v>0</v>
      </c>
      <c r="D13" s="3254" t="s">
        <v>3020</v>
      </c>
      <c r="E13" s="3254" t="s">
        <v>3021</v>
      </c>
      <c r="F13" s="3255">
        <f ca="1">INDIRECT("'数据-取费表'!y"&amp;$G$1)</f>
        <v>0</v>
      </c>
      <c r="G13" s="3209"/>
      <c r="H13" s="3251">
        <v>2</v>
      </c>
      <c r="I13" s="3252" t="s">
        <v>3019</v>
      </c>
      <c r="J13" s="3256">
        <f ca="1">ROUND(J14*J15,0)</f>
        <v>0</v>
      </c>
      <c r="K13" s="3257" t="s">
        <v>3020</v>
      </c>
      <c r="L13" s="3258"/>
      <c r="M13" s="3259"/>
    </row>
    <row r="14" spans="1:37" ht="18" customHeight="1">
      <c r="A14" s="3260" t="s">
        <v>3022</v>
      </c>
      <c r="B14" s="3219" t="s">
        <v>3023</v>
      </c>
      <c r="C14" s="3261">
        <f ca="1">ROUND(INDIRECT("'数据-取费表'!l"&amp;$G$1)*F43+'[1]数据-取费表'!L14*INDIRECT("'数据-取费表'!S"&amp;$G$1),0)</f>
        <v>684979204</v>
      </c>
      <c r="D14" s="3262" t="s">
        <v>3024</v>
      </c>
      <c r="E14" s="3263"/>
      <c r="F14" s="3264"/>
      <c r="G14" s="3209"/>
      <c r="H14" s="3260" t="s">
        <v>3025</v>
      </c>
      <c r="I14" s="3219" t="s">
        <v>3026</v>
      </c>
      <c r="J14" s="3265">
        <f ca="1">C29</f>
        <v>753477124</v>
      </c>
      <c r="K14" s="3266"/>
      <c r="L14" s="3267"/>
      <c r="M14" s="3268"/>
    </row>
    <row r="15" spans="1:37" s="3277" customFormat="1" ht="18" customHeight="1" thickBot="1">
      <c r="A15" s="3260" t="s">
        <v>3027</v>
      </c>
      <c r="B15" s="3219" t="s">
        <v>3028</v>
      </c>
      <c r="C15" s="3265">
        <f ca="1">ROUND(C14*F15,0)</f>
        <v>0</v>
      </c>
      <c r="D15" s="3269" t="s">
        <v>3029</v>
      </c>
      <c r="E15" s="3269" t="s">
        <v>3030</v>
      </c>
      <c r="F15" s="3270">
        <f>'[1]数据-取费表'!B33</f>
        <v>0</v>
      </c>
      <c r="G15" s="3271"/>
      <c r="H15" s="3272" t="s">
        <v>3009</v>
      </c>
      <c r="I15" s="3247" t="s">
        <v>3021</v>
      </c>
      <c r="J15" s="3250">
        <f ca="1">INDIRECT("'数据-取费表'!ad"&amp;$G$1)</f>
        <v>0</v>
      </c>
      <c r="K15" s="3273"/>
      <c r="L15" s="3274"/>
      <c r="M15" s="3275"/>
      <c r="N15" s="3276"/>
      <c r="O15" s="3276"/>
      <c r="P15" s="3276"/>
      <c r="Q15" s="3276"/>
      <c r="R15" s="3276"/>
      <c r="S15" s="3276"/>
      <c r="T15" s="3276"/>
      <c r="U15" s="3276"/>
      <c r="V15" s="3276"/>
      <c r="W15" s="3276"/>
      <c r="X15" s="3276"/>
      <c r="Y15" s="3276"/>
      <c r="Z15" s="3276"/>
      <c r="AA15" s="3276"/>
      <c r="AB15" s="3276"/>
      <c r="AC15" s="3276"/>
      <c r="AD15" s="3276"/>
      <c r="AE15" s="3276"/>
      <c r="AF15" s="3276"/>
      <c r="AG15" s="3276"/>
      <c r="AH15" s="3276"/>
      <c r="AI15" s="3276"/>
      <c r="AJ15" s="3276"/>
      <c r="AK15" s="3276"/>
    </row>
    <row r="16" spans="1:37" ht="18" customHeight="1" thickTop="1">
      <c r="A16" s="3260" t="s">
        <v>3031</v>
      </c>
      <c r="B16" s="3219" t="s">
        <v>3032</v>
      </c>
      <c r="C16" s="3265">
        <f ca="1">ROUND(INDIRECT("'数据-取费表'!l"&amp;$G$1)*F43*F16,0)</f>
        <v>0</v>
      </c>
      <c r="D16" s="3219" t="s">
        <v>3033</v>
      </c>
      <c r="E16" s="3219" t="s">
        <v>3034</v>
      </c>
      <c r="F16" s="3278">
        <f ca="1">IF(INDIRECT("'数据-取费表'!c"&amp;$G$1)="住宅",'[1]数据-取费表'!B34,0)</f>
        <v>0</v>
      </c>
      <c r="G16" s="3209"/>
      <c r="H16" s="3251" t="s">
        <v>3035</v>
      </c>
      <c r="I16" s="3252" t="s">
        <v>3036</v>
      </c>
      <c r="J16" s="3253">
        <f ca="1">ROUND(J17+J22+J23+J24,0)</f>
        <v>21398750</v>
      </c>
      <c r="K16" s="3257" t="s">
        <v>3037</v>
      </c>
      <c r="L16" s="3279"/>
      <c r="M16" s="3215"/>
    </row>
    <row r="17" spans="1:37" s="3277" customFormat="1" ht="18" customHeight="1">
      <c r="A17" s="3260" t="s">
        <v>3038</v>
      </c>
      <c r="B17" s="3219" t="s">
        <v>3039</v>
      </c>
      <c r="C17" s="3265">
        <f ca="1">ROUND(F17*(F43+INDIRECT("'数据-取费表'!S"&amp;$G$1)),0)</f>
        <v>0</v>
      </c>
      <c r="D17" s="3219" t="s">
        <v>3040</v>
      </c>
      <c r="E17" s="3219" t="s">
        <v>3041</v>
      </c>
      <c r="F17" s="3280">
        <f>'[1]数据-取费表'!B35</f>
        <v>0</v>
      </c>
      <c r="G17" s="3271"/>
      <c r="H17" s="3260" t="s">
        <v>3001</v>
      </c>
      <c r="I17" s="3219" t="s">
        <v>3042</v>
      </c>
      <c r="J17" s="3265">
        <f ca="1">ROUND(IF([1]项目基本情况!B11="自然人",J5*M17,J18+J19+J20),0)</f>
        <v>6329208</v>
      </c>
      <c r="K17" s="3262" t="s">
        <v>3043</v>
      </c>
      <c r="L17" s="3281" t="s">
        <v>3044</v>
      </c>
      <c r="M17" s="3282">
        <f ca="1">IF([1]项目基本情况!B11="企业","",IF(INDIRECT("'数据-取费表'!c"&amp;$G$1)="住宅",5%,IF(M6*M7*M8/12/(1+'[1]数据-取费表'!C42)&gt;20000,12%,7%)))</f>
        <v>0.05</v>
      </c>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row>
    <row r="18" spans="1:37" s="3277" customFormat="1" ht="18" customHeight="1">
      <c r="A18" s="3260" t="s">
        <v>3045</v>
      </c>
      <c r="B18" s="3219" t="s">
        <v>3046</v>
      </c>
      <c r="C18" s="3265">
        <f ca="1">ROUND(C14*F18,0)</f>
        <v>0</v>
      </c>
      <c r="D18" s="3219" t="s">
        <v>3029</v>
      </c>
      <c r="E18" s="3219" t="s">
        <v>3030</v>
      </c>
      <c r="F18" s="3278">
        <f>'[1]数据-取费表'!B36</f>
        <v>0</v>
      </c>
      <c r="G18" s="3271"/>
      <c r="H18" s="3260" t="s">
        <v>3022</v>
      </c>
      <c r="I18" s="3219" t="s">
        <v>3047</v>
      </c>
      <c r="J18" s="3265">
        <f ca="1">ROUND(J5*M18/(1+'[1]数据-取费表'!C42),0)</f>
        <v>0</v>
      </c>
      <c r="K18" s="3281" t="s">
        <v>3048</v>
      </c>
      <c r="L18" s="3219" t="s">
        <v>3034</v>
      </c>
      <c r="M18" s="3278">
        <f>'[1]数据-取费表'!B41</f>
        <v>0</v>
      </c>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row>
    <row r="19" spans="1:37" ht="18" customHeight="1">
      <c r="A19" s="3260" t="s">
        <v>3025</v>
      </c>
      <c r="B19" s="3219" t="s">
        <v>3049</v>
      </c>
      <c r="C19" s="3265">
        <f ca="1">SUM(C14:C18)</f>
        <v>684979204</v>
      </c>
      <c r="D19" s="3283" t="s">
        <v>3050</v>
      </c>
      <c r="E19" s="3284"/>
      <c r="F19" s="3280"/>
      <c r="G19" s="3209"/>
      <c r="H19" s="3260" t="s">
        <v>3027</v>
      </c>
      <c r="I19" s="3219" t="s">
        <v>3051</v>
      </c>
      <c r="J19" s="3265">
        <f ca="1">IF(K19="按租金收入计税",ROUND(J5*M19,0),ROUND(C29*M19*0.7,0))</f>
        <v>6329208</v>
      </c>
      <c r="K19" s="3285" t="s">
        <v>3052</v>
      </c>
      <c r="L19" s="3219" t="s">
        <v>3030</v>
      </c>
      <c r="M19" s="3278">
        <f>IF(K19="按租金收入计税",'[1]数据-取费表'!B51,'[1]数据-取费表'!B50)</f>
        <v>1.2E-2</v>
      </c>
    </row>
    <row r="20" spans="1:37" s="3277" customFormat="1" ht="18" customHeight="1">
      <c r="A20" s="3260" t="s">
        <v>3009</v>
      </c>
      <c r="B20" s="3219" t="s">
        <v>3053</v>
      </c>
      <c r="C20" s="3265">
        <f ca="1">ROUND(C19*F20,0)</f>
        <v>0</v>
      </c>
      <c r="D20" s="3286" t="s">
        <v>3054</v>
      </c>
      <c r="E20" s="3219" t="s">
        <v>3030</v>
      </c>
      <c r="F20" s="3278">
        <f>'[1]数据-取费表'!B37</f>
        <v>0</v>
      </c>
      <c r="G20" s="3271"/>
      <c r="H20" s="3260" t="s">
        <v>3031</v>
      </c>
      <c r="I20" s="3218" t="s">
        <v>3055</v>
      </c>
      <c r="J20" s="3287">
        <f ca="1">ROUND(M20*M21,0)</f>
        <v>0</v>
      </c>
      <c r="K20" s="3288" t="s">
        <v>3056</v>
      </c>
      <c r="L20" s="3219" t="s">
        <v>3057</v>
      </c>
      <c r="M20" s="3289">
        <f>'[1]数据-取费表'!B52</f>
        <v>0</v>
      </c>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row>
    <row r="21" spans="1:37" s="3277" customFormat="1" ht="18" customHeight="1">
      <c r="A21" s="3260" t="s">
        <v>3017</v>
      </c>
      <c r="B21" s="3219" t="s">
        <v>3058</v>
      </c>
      <c r="C21" s="3265" t="s">
        <v>3059</v>
      </c>
      <c r="D21" s="3286" t="s">
        <v>3060</v>
      </c>
      <c r="E21" s="3219" t="s">
        <v>3061</v>
      </c>
      <c r="F21" s="3278">
        <f>'[1]数据-取费表'!B38</f>
        <v>0</v>
      </c>
      <c r="G21" s="3271"/>
      <c r="H21" s="3290"/>
      <c r="I21" s="3291"/>
      <c r="J21" s="3292"/>
      <c r="K21" s="3293"/>
      <c r="L21" s="3219" t="s">
        <v>3062</v>
      </c>
      <c r="M21" s="3220">
        <f ca="1">INDIRECT("'数据-取费表'!r"&amp;$G$1)</f>
        <v>97854.17</v>
      </c>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row>
    <row r="22" spans="1:37" ht="18" customHeight="1">
      <c r="A22" s="3260" t="s">
        <v>3063</v>
      </c>
      <c r="B22" s="3219" t="s">
        <v>3064</v>
      </c>
      <c r="C22" s="3265"/>
      <c r="D22" s="3283" t="str">
        <f>IF(F23&lt;=1,"单利计息。","复利计息。")&amp;"建造成本、管理费用、销售费用产生的利息。"</f>
        <v>单利计息。建造成本、管理费用、销售费用产生的利息。</v>
      </c>
      <c r="E22" s="3284"/>
      <c r="F22" s="3280"/>
      <c r="G22" s="3209"/>
      <c r="H22" s="3260" t="s">
        <v>3009</v>
      </c>
      <c r="I22" s="3219" t="s">
        <v>3065</v>
      </c>
      <c r="J22" s="3265">
        <f ca="1">ROUND(J14*M22,0)</f>
        <v>15069542</v>
      </c>
      <c r="K22" s="3281" t="s">
        <v>3066</v>
      </c>
      <c r="L22" s="3219" t="s">
        <v>3030</v>
      </c>
      <c r="M22" s="3294">
        <f ca="1">INDIRECT("'数据-取费表'!Ak"&amp;$G$1)</f>
        <v>0.02</v>
      </c>
    </row>
    <row r="23" spans="1:37" s="3277" customFormat="1" ht="18" customHeight="1">
      <c r="A23" s="3260" t="s">
        <v>3022</v>
      </c>
      <c r="B23" s="3219" t="s">
        <v>3067</v>
      </c>
      <c r="C23" s="3265">
        <f ca="1">IF('[1]数据-取费表'!B22&lt;=1,ROUND(C19*F24*F23/2,0)+ROUND(C20*F24*F23/2,0),ROUND(C19*(POWER((1+F24),F23/2)-1),0)+ROUND(C20*(POWER((1+F24),F23/2)-1),0))</f>
        <v>0</v>
      </c>
      <c r="D23" s="3295" t="str">
        <f>IF(F23&lt;=1,"(建造成本+管理费用)×利率×(建设周期÷2)","(建造成本+管理费用)×((1+利率)^(建设周期÷2)-1)")</f>
        <v>(建造成本+管理费用)×利率×(建设周期÷2)</v>
      </c>
      <c r="E23" s="3219" t="s">
        <v>3068</v>
      </c>
      <c r="F23" s="3289">
        <f>'[1]数据-取费表'!B20</f>
        <v>0</v>
      </c>
      <c r="G23" s="3271"/>
      <c r="H23" s="3260" t="s">
        <v>3017</v>
      </c>
      <c r="I23" s="3219" t="s">
        <v>3069</v>
      </c>
      <c r="J23" s="3265">
        <f ca="1">ROUND(J13*M23,0)</f>
        <v>0</v>
      </c>
      <c r="K23" s="3281" t="s">
        <v>3070</v>
      </c>
      <c r="L23" s="3219" t="s">
        <v>3030</v>
      </c>
      <c r="M23" s="3296">
        <f ca="1">INDIRECT("'数据-取费表'!Al"&amp;$G$1)</f>
        <v>2E-3</v>
      </c>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row>
    <row r="24" spans="1:37" s="3277" customFormat="1" ht="18" customHeight="1" thickBot="1">
      <c r="A24" s="3260" t="s">
        <v>3071</v>
      </c>
      <c r="B24" s="3219" t="s">
        <v>3072</v>
      </c>
      <c r="C24" s="3265">
        <f>ROUND(IF('[1]数据-取费表'!B22&lt;=1,F21*F24*F23/2,F21*(POWER((1+F24),F23/2)-1)),4)</f>
        <v>0</v>
      </c>
      <c r="D24" s="3295" t="str">
        <f>IF(F23&lt;=1,"销售费用×利率×(建设周期÷2)","销售费用×((1+利率)^(建设周期÷2)-1)")</f>
        <v>销售费用×利率×(建设周期÷2)</v>
      </c>
      <c r="E24" s="3219" t="s">
        <v>3073</v>
      </c>
      <c r="F24" s="3297">
        <f>'[1]数据-取费表'!B40</f>
        <v>0</v>
      </c>
      <c r="G24" s="3271"/>
      <c r="H24" s="3272" t="s">
        <v>3063</v>
      </c>
      <c r="I24" s="3247" t="s">
        <v>3053</v>
      </c>
      <c r="J24" s="3298">
        <f ca="1">ROUND(J5*M24,0)</f>
        <v>0</v>
      </c>
      <c r="K24" s="3299" t="s">
        <v>3074</v>
      </c>
      <c r="L24" s="3247" t="s">
        <v>3030</v>
      </c>
      <c r="M24" s="3248">
        <f ca="1">INDIRECT("'数据-取费表'!Am"&amp;$G$1)</f>
        <v>0.02</v>
      </c>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row>
    <row r="25" spans="1:37" ht="18" customHeight="1" thickTop="1">
      <c r="A25" s="3260" t="s">
        <v>3075</v>
      </c>
      <c r="B25" s="3219" t="s">
        <v>3076</v>
      </c>
      <c r="C25" s="3265"/>
      <c r="D25" s="3283" t="s">
        <v>3077</v>
      </c>
      <c r="E25" s="3284"/>
      <c r="F25" s="3280"/>
      <c r="G25" s="3209"/>
      <c r="H25" s="3251" t="s">
        <v>3078</v>
      </c>
      <c r="I25" s="3300" t="s">
        <v>3079</v>
      </c>
      <c r="J25" s="3253">
        <f ca="1">J5-J16</f>
        <v>-21398750</v>
      </c>
      <c r="K25" s="3301" t="s">
        <v>3080</v>
      </c>
      <c r="L25" s="3302"/>
      <c r="M25" s="3303"/>
    </row>
    <row r="26" spans="1:37" ht="18" customHeight="1">
      <c r="A26" s="3260" t="s">
        <v>3022</v>
      </c>
      <c r="B26" s="3219" t="s">
        <v>3081</v>
      </c>
      <c r="C26" s="3265">
        <f ca="1">ROUND((C19+C20)*F26,0)</f>
        <v>68497920</v>
      </c>
      <c r="D26" s="3286" t="s">
        <v>3082</v>
      </c>
      <c r="E26" s="3230" t="s">
        <v>3083</v>
      </c>
      <c r="F26" s="3229">
        <f ca="1">INDIRECT("'数据-取费表'!q"&amp;$G$1)</f>
        <v>0.1</v>
      </c>
      <c r="G26" s="3209"/>
      <c r="H26" s="3210" t="s">
        <v>3084</v>
      </c>
      <c r="I26" s="3211" t="s">
        <v>3085</v>
      </c>
      <c r="J26" s="3221">
        <f ca="1">IF(J5&lt;&gt;0,ROUND(J25*(1-((1+M28)/(1+M26))^M27)/(M26-M28),0),0)</f>
        <v>0</v>
      </c>
      <c r="K26" s="3288" t="s">
        <v>3086</v>
      </c>
      <c r="L26" s="3219" t="s">
        <v>3087</v>
      </c>
      <c r="M26" s="3229">
        <f ca="1">INDIRECT("'数据-取费表'!I"&amp;$G$1)</f>
        <v>4.4999999999999998E-2</v>
      </c>
    </row>
    <row r="27" spans="1:37" ht="18" customHeight="1">
      <c r="A27" s="3260" t="s">
        <v>3071</v>
      </c>
      <c r="B27" s="3219" t="s">
        <v>3088</v>
      </c>
      <c r="C27" s="3265">
        <f ca="1">ROUND(F21*F26,4)</f>
        <v>0</v>
      </c>
      <c r="D27" s="3286" t="s">
        <v>3089</v>
      </c>
      <c r="E27" s="3269"/>
      <c r="F27" s="3270"/>
      <c r="G27" s="3209"/>
      <c r="H27" s="3227"/>
      <c r="I27" s="3304"/>
      <c r="J27" s="3228"/>
      <c r="K27" s="3305" t="s">
        <v>3090</v>
      </c>
      <c r="L27" s="3219" t="s">
        <v>3091</v>
      </c>
      <c r="M27" s="3306">
        <f ca="1">INDIRECT("'数据-取费表'!ag"&amp;$G$1)</f>
        <v>0</v>
      </c>
    </row>
    <row r="28" spans="1:37" s="3277" customFormat="1" ht="18" customHeight="1">
      <c r="A28" s="3260" t="s">
        <v>3092</v>
      </c>
      <c r="B28" s="3219" t="s">
        <v>3093</v>
      </c>
      <c r="C28" s="3265">
        <f>ROUND(F28/(1+'[1]数据-取费表'!C42),4)</f>
        <v>0</v>
      </c>
      <c r="D28" s="3286" t="s">
        <v>3094</v>
      </c>
      <c r="E28" s="3219" t="s">
        <v>3030</v>
      </c>
      <c r="F28" s="3278">
        <f>'[1]数据-取费表'!B41</f>
        <v>0</v>
      </c>
      <c r="G28" s="3271"/>
      <c r="H28" s="3237"/>
      <c r="I28" s="3307"/>
      <c r="J28" s="3253"/>
      <c r="K28" s="3293"/>
      <c r="L28" s="3219" t="s">
        <v>3095</v>
      </c>
      <c r="M28" s="3229">
        <f ca="1">INDIRECT("'数据-取费表'!aa"&amp;$G$1)</f>
        <v>0</v>
      </c>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row>
    <row r="29" spans="1:37" s="3277" customFormat="1" ht="18" customHeight="1" thickBot="1">
      <c r="A29" s="3272" t="s">
        <v>3096</v>
      </c>
      <c r="B29" s="3247" t="s">
        <v>3097</v>
      </c>
      <c r="C29" s="3298">
        <f ca="1">ROUND((C19+C20+C23+C26)/(1-F21-C24-C27-C28),0)</f>
        <v>753477124</v>
      </c>
      <c r="D29" s="3299"/>
      <c r="E29" s="3247"/>
      <c r="F29" s="3308"/>
      <c r="G29" s="3271"/>
      <c r="H29" s="3309" t="s">
        <v>3098</v>
      </c>
      <c r="I29" s="3310" t="s">
        <v>3099</v>
      </c>
      <c r="J29" s="3311">
        <f ca="1">ROUND(J26/(1+F40)^F41,0)</f>
        <v>0</v>
      </c>
      <c r="K29" s="3312" t="s">
        <v>3100</v>
      </c>
      <c r="L29" s="3313"/>
      <c r="M29" s="3314">
        <f ca="1">INDIRECT("'数据-取费表'!k"&amp;$G$1)</f>
        <v>244635.43</v>
      </c>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row>
    <row r="30" spans="1:37" ht="18" customHeight="1" thickTop="1">
      <c r="A30" s="3251" t="s">
        <v>3101</v>
      </c>
      <c r="B30" s="3252" t="s">
        <v>3036</v>
      </c>
      <c r="C30" s="3253">
        <f ca="1">ROUND(C31+C36+C37+C38,0)</f>
        <v>21398750</v>
      </c>
      <c r="D30" s="3257" t="s">
        <v>3037</v>
      </c>
      <c r="E30" s="3279"/>
      <c r="F30" s="3215"/>
      <c r="G30" s="3209"/>
      <c r="H30" s="3315"/>
      <c r="I30" s="3316"/>
      <c r="J30" s="3317"/>
      <c r="K30" s="3241"/>
      <c r="L30" s="3318"/>
      <c r="M30" s="3319"/>
    </row>
    <row r="31" spans="1:37" ht="18" customHeight="1">
      <c r="A31" s="3260" t="s">
        <v>3001</v>
      </c>
      <c r="B31" s="3219" t="s">
        <v>3042</v>
      </c>
      <c r="C31" s="3265">
        <f ca="1">ROUND(IF([1]项目基本情况!B11="自然人",C5*F31,C32+C33+C34),0)</f>
        <v>6329208</v>
      </c>
      <c r="D31" s="3262" t="s">
        <v>3043</v>
      </c>
      <c r="E31" s="3281" t="s">
        <v>3044</v>
      </c>
      <c r="F31" s="3282">
        <f ca="1">IF([1]项目基本情况!B11="企业","",IF(INDIRECT("'数据-取费表'!c"&amp;$G$1)="住宅",5%,IF(F6*F7*F8/12/(1+'[1]数据-取费表'!C42)&gt;20000,12%,7%)))</f>
        <v>0.05</v>
      </c>
      <c r="G31" s="3209"/>
      <c r="H31" s="3315"/>
      <c r="I31" s="3316"/>
      <c r="J31" s="3317"/>
      <c r="K31" s="3241"/>
      <c r="L31" s="3318"/>
      <c r="M31" s="3319"/>
    </row>
    <row r="32" spans="1:37" ht="18" customHeight="1">
      <c r="A32" s="3260" t="s">
        <v>3022</v>
      </c>
      <c r="B32" s="3219" t="s">
        <v>3102</v>
      </c>
      <c r="C32" s="3265">
        <f ca="1">IF([1]项目基本情况!B11="自然人","——",ROUND(C5*F32/(1+'[1]数据-取费表'!C42),0))</f>
        <v>0</v>
      </c>
      <c r="D32" s="3281" t="s">
        <v>3103</v>
      </c>
      <c r="E32" s="3219" t="s">
        <v>3030</v>
      </c>
      <c r="F32" s="3297">
        <f>'[1]数据-取费表'!B41</f>
        <v>0</v>
      </c>
      <c r="G32" s="3209"/>
      <c r="H32" s="3315"/>
      <c r="I32" s="3316"/>
      <c r="J32" s="3317"/>
      <c r="K32" s="3241"/>
      <c r="L32" s="3318"/>
      <c r="M32" s="3319"/>
    </row>
    <row r="33" spans="1:18" ht="18" customHeight="1">
      <c r="A33" s="3260" t="s">
        <v>3071</v>
      </c>
      <c r="B33" s="3219" t="s">
        <v>3051</v>
      </c>
      <c r="C33" s="3265">
        <f ca="1">IF([1]项目基本情况!B11="自然人","——",IF(D33="按租金收入计税",ROUND(C5*F33,0),IF(D33="按房产原值计税",ROUND(C29*F33*0.7,0),INDIRECT("'数据-取费表'!Aj"&amp;$G$1))))</f>
        <v>6329208</v>
      </c>
      <c r="D33" s="3285" t="s">
        <v>3052</v>
      </c>
      <c r="E33" s="3219" t="s">
        <v>3030</v>
      </c>
      <c r="F33" s="3278">
        <f>IF(D33="按票据","——",IF(D33="按租金收入计税",'[1]数据-取费表'!B51,'[1]数据-取费表'!B50))</f>
        <v>1.2E-2</v>
      </c>
      <c r="G33" s="3209"/>
      <c r="H33" s="3320"/>
      <c r="I33" s="3321"/>
      <c r="J33" s="3322"/>
      <c r="K33" s="3323"/>
      <c r="L33" s="3320"/>
      <c r="M33" s="3320"/>
    </row>
    <row r="34" spans="1:18" ht="18" customHeight="1">
      <c r="A34" s="3216" t="s">
        <v>3031</v>
      </c>
      <c r="B34" s="3218" t="s">
        <v>3055</v>
      </c>
      <c r="C34" s="3287">
        <f ca="1">IF([1]项目基本情况!B11="自然人","——",ROUND(F34*F35,))</f>
        <v>0</v>
      </c>
      <c r="D34" s="3288" t="s">
        <v>3056</v>
      </c>
      <c r="E34" s="3219" t="s">
        <v>3057</v>
      </c>
      <c r="F34" s="3289">
        <f>'[1]数据-取费表'!B52</f>
        <v>0</v>
      </c>
      <c r="G34" s="3209"/>
      <c r="H34" s="3315"/>
      <c r="I34" s="3321"/>
      <c r="J34" s="3322"/>
      <c r="K34" s="3324"/>
      <c r="L34" s="3325"/>
      <c r="M34" s="3325"/>
    </row>
    <row r="35" spans="1:18" ht="18" customHeight="1">
      <c r="A35" s="3326"/>
      <c r="B35" s="3327"/>
      <c r="C35" s="3292"/>
      <c r="D35" s="3293"/>
      <c r="E35" s="3219" t="s">
        <v>3062</v>
      </c>
      <c r="F35" s="3220">
        <f ca="1">INDIRECT("'数据-取费表'!r"&amp;$G$1)</f>
        <v>97854.17</v>
      </c>
      <c r="G35" s="3209"/>
      <c r="H35" s="3315"/>
      <c r="I35" s="3321"/>
      <c r="J35" s="3322"/>
      <c r="K35" s="3323"/>
      <c r="L35" s="3320"/>
      <c r="M35" s="3320"/>
    </row>
    <row r="36" spans="1:18" ht="18" customHeight="1">
      <c r="A36" s="3328" t="s">
        <v>3009</v>
      </c>
      <c r="B36" s="3219" t="s">
        <v>3065</v>
      </c>
      <c r="C36" s="3265">
        <f ca="1">ROUND(C29*F36,0)</f>
        <v>15069542</v>
      </c>
      <c r="D36" s="3281" t="s">
        <v>3104</v>
      </c>
      <c r="E36" s="3219" t="s">
        <v>3030</v>
      </c>
      <c r="F36" s="3294">
        <f ca="1">INDIRECT("'数据-取费表'!Ak"&amp;$G$1)</f>
        <v>0.02</v>
      </c>
      <c r="G36" s="3209"/>
      <c r="H36" s="3320"/>
      <c r="I36" s="3321"/>
      <c r="J36" s="3322"/>
      <c r="K36" s="3329"/>
      <c r="L36" s="3320"/>
      <c r="M36" s="3320"/>
    </row>
    <row r="37" spans="1:18" ht="18" customHeight="1">
      <c r="A37" s="3260" t="s">
        <v>3017</v>
      </c>
      <c r="B37" s="3219" t="s">
        <v>3069</v>
      </c>
      <c r="C37" s="3265">
        <f ca="1">ROUND(C13*F37,0)</f>
        <v>0</v>
      </c>
      <c r="D37" s="3281" t="s">
        <v>3070</v>
      </c>
      <c r="E37" s="3219" t="s">
        <v>3030</v>
      </c>
      <c r="F37" s="3296">
        <f ca="1">INDIRECT("'数据-取费表'!Al"&amp;$G$1)</f>
        <v>2E-3</v>
      </c>
      <c r="G37" s="3209"/>
      <c r="H37" s="3320"/>
      <c r="I37" s="3321"/>
      <c r="J37" s="3322"/>
      <c r="K37" s="3329"/>
      <c r="L37" s="3320"/>
      <c r="M37" s="3320"/>
    </row>
    <row r="38" spans="1:18" ht="18" customHeight="1" thickBot="1">
      <c r="A38" s="3272" t="s">
        <v>3063</v>
      </c>
      <c r="B38" s="3247" t="s">
        <v>3053</v>
      </c>
      <c r="C38" s="3298">
        <f ca="1">ROUND(C5*F38,1)</f>
        <v>0</v>
      </c>
      <c r="D38" s="3299" t="s">
        <v>3074</v>
      </c>
      <c r="E38" s="3247" t="s">
        <v>3030</v>
      </c>
      <c r="F38" s="3248">
        <f ca="1">INDIRECT("'数据-取费表'!Am"&amp;$G$1)</f>
        <v>0.02</v>
      </c>
      <c r="G38" s="3209"/>
      <c r="H38" s="3320"/>
      <c r="I38" s="3321"/>
      <c r="J38" s="3322"/>
      <c r="K38" s="3330"/>
      <c r="L38" s="3320"/>
      <c r="M38" s="3320"/>
    </row>
    <row r="39" spans="1:18" ht="24.6" customHeight="1" thickTop="1">
      <c r="A39" s="3251" t="s">
        <v>3078</v>
      </c>
      <c r="B39" s="3300" t="s">
        <v>3079</v>
      </c>
      <c r="C39" s="3253">
        <f ca="1">C5-C30</f>
        <v>-21398750</v>
      </c>
      <c r="D39" s="3301" t="s">
        <v>3080</v>
      </c>
      <c r="E39" s="3302"/>
      <c r="F39" s="3303"/>
      <c r="G39" s="3209"/>
      <c r="H39" s="3320"/>
      <c r="I39" s="3321"/>
      <c r="J39" s="3322"/>
      <c r="K39" s="3330"/>
      <c r="L39" s="3320"/>
      <c r="M39" s="3320"/>
    </row>
    <row r="40" spans="1:18" ht="18" customHeight="1">
      <c r="A40" s="3210" t="s">
        <v>3084</v>
      </c>
      <c r="B40" s="3211" t="s">
        <v>3105</v>
      </c>
      <c r="C40" s="3221">
        <f ca="1">ROUND(C39*(1-((1+F42)/(1+F40))^F41)/(F40-F42),0)</f>
        <v>0</v>
      </c>
      <c r="D40" s="3288" t="s">
        <v>3086</v>
      </c>
      <c r="E40" s="3219" t="s">
        <v>3087</v>
      </c>
      <c r="F40" s="3229">
        <f ca="1">INDIRECT("'数据-取费表'!I"&amp;$G$1)</f>
        <v>4.4999999999999998E-2</v>
      </c>
      <c r="G40" s="3209"/>
      <c r="H40" s="3331"/>
      <c r="I40" s="3321"/>
      <c r="J40" s="3322"/>
      <c r="K40" s="3330"/>
      <c r="L40" s="3331"/>
      <c r="M40" s="3331"/>
    </row>
    <row r="41" spans="1:18" ht="18" customHeight="1">
      <c r="A41" s="3227"/>
      <c r="B41" s="3304"/>
      <c r="C41" s="3228"/>
      <c r="D41" s="3305" t="s">
        <v>3090</v>
      </c>
      <c r="E41" s="3219" t="s">
        <v>3091</v>
      </c>
      <c r="F41" s="3306">
        <f ca="1">IF(INDIRECT("'数据-取费表'!af"&amp;$G$1)=0,INDIRECT("'数据-取费表'!ae"&amp;$G$1),INDIRECT("'数据-取费表'!af"&amp;$G$1))</f>
        <v>0</v>
      </c>
      <c r="G41" s="3209"/>
      <c r="H41" s="3332"/>
      <c r="I41" s="3321"/>
      <c r="J41" s="3322"/>
      <c r="K41" s="3329"/>
      <c r="L41" s="3332"/>
      <c r="M41" s="3332"/>
    </row>
    <row r="42" spans="1:18" ht="18" customHeight="1">
      <c r="A42" s="3237"/>
      <c r="B42" s="3307"/>
      <c r="C42" s="3253"/>
      <c r="D42" s="3293"/>
      <c r="E42" s="3219" t="s">
        <v>3095</v>
      </c>
      <c r="F42" s="3229">
        <f ca="1">INDIRECT("'数据-取费表'!v"&amp;$G$1)</f>
        <v>0</v>
      </c>
      <c r="G42" s="3209"/>
      <c r="H42" s="3332"/>
      <c r="I42" s="3321"/>
      <c r="J42" s="3322"/>
      <c r="K42" s="3329"/>
      <c r="L42" s="3332"/>
      <c r="M42" s="3332"/>
    </row>
    <row r="43" spans="1:18" ht="18" customHeight="1" thickBot="1">
      <c r="A43" s="3309" t="s">
        <v>3098</v>
      </c>
      <c r="B43" s="3310" t="s">
        <v>3106</v>
      </c>
      <c r="C43" s="3311">
        <f ca="1">ROUND(C40/F43,0)</f>
        <v>0</v>
      </c>
      <c r="D43" s="3312" t="s">
        <v>3107</v>
      </c>
      <c r="E43" s="3313" t="s">
        <v>3108</v>
      </c>
      <c r="F43" s="3314">
        <f ca="1">INDIRECT("'数据-取费表'!k"&amp;$G$1)</f>
        <v>244635.43</v>
      </c>
      <c r="G43" s="3209"/>
      <c r="H43" s="3332"/>
      <c r="I43" s="3332"/>
      <c r="J43" s="3332"/>
      <c r="K43" s="3329"/>
      <c r="L43" s="3332"/>
      <c r="M43" s="3332"/>
    </row>
    <row r="44" spans="1:18" s="3200" customFormat="1" ht="18" customHeight="1">
      <c r="A44" s="3333"/>
      <c r="B44" s="3333"/>
      <c r="C44" s="3334"/>
      <c r="D44" s="3333"/>
      <c r="E44" s="3333"/>
      <c r="F44" s="3333"/>
      <c r="K44" s="3335"/>
    </row>
    <row r="45" spans="1:18" s="3200" customFormat="1" ht="18" customHeight="1" thickBot="1">
      <c r="A45" s="3333"/>
      <c r="B45" s="3333"/>
      <c r="C45" s="3336">
        <f ca="1">C68-C40</f>
        <v>0</v>
      </c>
      <c r="D45" s="3337" t="s">
        <v>3109</v>
      </c>
      <c r="E45" s="3333"/>
      <c r="F45" s="3333"/>
      <c r="O45" s="3338" t="s">
        <v>3110</v>
      </c>
      <c r="P45" s="3331"/>
      <c r="Q45" s="3331"/>
      <c r="R45" s="3331"/>
    </row>
    <row r="46" spans="1:18" s="3200" customFormat="1" ht="13.5" thickBot="1">
      <c r="A46" s="3339" t="s">
        <v>3111</v>
      </c>
      <c r="C46" s="3340">
        <f ca="1">ROUND(C45/10000,0)</f>
        <v>0</v>
      </c>
      <c r="D46" s="3341" t="str">
        <f>C2</f>
        <v>万元</v>
      </c>
      <c r="I46" s="3342" t="s">
        <v>3112</v>
      </c>
      <c r="J46" s="3343"/>
      <c r="K46" s="3344"/>
      <c r="L46" s="3345" t="e">
        <f ca="1">IF(M47="住宅",0,IF(L48&gt;J51,L60,J60))</f>
        <v>#DIV/0!</v>
      </c>
      <c r="O46" s="3346" t="s">
        <v>3113</v>
      </c>
      <c r="P46" s="3347" t="s">
        <v>3114</v>
      </c>
      <c r="Q46" s="3348" t="s">
        <v>3115</v>
      </c>
      <c r="R46" s="3348" t="s">
        <v>3116</v>
      </c>
    </row>
    <row r="47" spans="1:18" s="3200" customFormat="1" ht="13.5" thickBot="1">
      <c r="A47" s="3349" t="s">
        <v>2995</v>
      </c>
      <c r="B47" s="3350" t="s">
        <v>2996</v>
      </c>
      <c r="C47" s="3350" t="s">
        <v>2997</v>
      </c>
      <c r="D47" s="3350" t="s">
        <v>2998</v>
      </c>
      <c r="E47" s="3351" t="s">
        <v>2994</v>
      </c>
      <c r="F47" s="3352"/>
      <c r="G47" s="3353"/>
      <c r="I47" s="3354" t="s">
        <v>3117</v>
      </c>
      <c r="J47" s="3355"/>
      <c r="K47" s="3356" t="s">
        <v>3118</v>
      </c>
      <c r="L47" s="3357">
        <f ca="1">INDIRECT("'数据-取费表'!d"&amp;$G$1)</f>
        <v>70</v>
      </c>
      <c r="M47" s="3358" t="str">
        <f>IF(ISNUMBER(FIND("住宅",C1)),"住宅","非住宅")</f>
        <v>非住宅</v>
      </c>
      <c r="O47" s="3359" t="s">
        <v>2384</v>
      </c>
      <c r="P47" s="3360" t="s">
        <v>3119</v>
      </c>
      <c r="Q47" s="3361">
        <f ca="1">C40+J29</f>
        <v>0</v>
      </c>
      <c r="R47" s="3361" t="s">
        <v>3120</v>
      </c>
    </row>
    <row r="48" spans="1:18" s="3200" customFormat="1" ht="28.5" thickBot="1">
      <c r="A48" s="3362" t="s">
        <v>3121</v>
      </c>
      <c r="B48" s="3211" t="s">
        <v>2999</v>
      </c>
      <c r="C48" s="3363">
        <f ca="1">C49+C53+C55</f>
        <v>0</v>
      </c>
      <c r="D48" s="3364"/>
      <c r="E48" s="3365"/>
      <c r="F48" s="3366"/>
      <c r="G48" s="3353"/>
      <c r="H48" s="3367"/>
      <c r="I48" s="3368" t="s">
        <v>3122</v>
      </c>
      <c r="J48" s="3369"/>
      <c r="K48" s="3370" t="s">
        <v>3123</v>
      </c>
      <c r="L48" s="3371">
        <f ca="1">INDIRECT("'数据-取费表'!f"&amp;$G$1)</f>
        <v>61.55</v>
      </c>
      <c r="O48" s="3359" t="s">
        <v>2386</v>
      </c>
      <c r="P48" s="3360" t="s">
        <v>3124</v>
      </c>
      <c r="Q48" s="3361" t="str">
        <f ca="1">J60</f>
        <v>0</v>
      </c>
      <c r="R48" s="3361" t="s">
        <v>3125</v>
      </c>
    </row>
    <row r="49" spans="1:18" s="3200" customFormat="1" ht="13.5" thickBot="1">
      <c r="A49" s="3372" t="s">
        <v>3126</v>
      </c>
      <c r="B49" s="3373" t="s">
        <v>3127</v>
      </c>
      <c r="C49" s="3374">
        <f ca="1">ROUND(F49*F51*F50*(1-F52),0)</f>
        <v>0</v>
      </c>
      <c r="D49" s="3375" t="s">
        <v>3128</v>
      </c>
      <c r="E49" s="3376" t="s">
        <v>3129</v>
      </c>
      <c r="F49" s="3377"/>
      <c r="G49" s="3378"/>
      <c r="H49" s="3367"/>
      <c r="I49" s="3368" t="s">
        <v>3130</v>
      </c>
      <c r="J49" s="3379"/>
      <c r="K49" s="3370" t="s">
        <v>3131</v>
      </c>
      <c r="L49" s="3380"/>
      <c r="O49" s="3381" t="s">
        <v>2388</v>
      </c>
      <c r="P49" s="3360" t="s">
        <v>3132</v>
      </c>
      <c r="Q49" s="3361">
        <f ca="1">C29</f>
        <v>753477124</v>
      </c>
      <c r="R49" s="3361" t="s">
        <v>3120</v>
      </c>
    </row>
    <row r="50" spans="1:18" s="3200" customFormat="1" ht="13.5" thickBot="1">
      <c r="A50" s="3382"/>
      <c r="B50" s="3383"/>
      <c r="C50" s="3384"/>
      <c r="D50" s="3385"/>
      <c r="E50" s="3386" t="s">
        <v>3006</v>
      </c>
      <c r="F50" s="3387">
        <f ca="1">F7</f>
        <v>244635.43</v>
      </c>
      <c r="H50" s="3367"/>
      <c r="I50" s="3368" t="s">
        <v>3133</v>
      </c>
      <c r="J50" s="3388">
        <f>SUMPRODUCT((I63:I65=J47)*(J62:L62=J48)*(J63:L65))</f>
        <v>0</v>
      </c>
      <c r="K50" s="3370" t="s">
        <v>3134</v>
      </c>
      <c r="L50" s="3380"/>
      <c r="M50" s="3389"/>
      <c r="O50" s="3381" t="s">
        <v>2389</v>
      </c>
      <c r="P50" s="3360" t="s">
        <v>3135</v>
      </c>
      <c r="Q50" s="3390" t="e">
        <f ca="1">J58</f>
        <v>#VALUE!</v>
      </c>
      <c r="R50" s="3361"/>
    </row>
    <row r="51" spans="1:18" s="3200" customFormat="1" ht="13.5" thickBot="1">
      <c r="A51" s="3391"/>
      <c r="B51" s="3383"/>
      <c r="C51" s="3384"/>
      <c r="D51" s="3385"/>
      <c r="E51" s="3392" t="s">
        <v>3007</v>
      </c>
      <c r="F51" s="3220">
        <f ca="1">F8</f>
        <v>0</v>
      </c>
      <c r="I51" s="3393" t="s">
        <v>3136</v>
      </c>
      <c r="J51" s="3394">
        <f>IF(J49="",J50,J49+J50-YEAR('[1]数据-取费表'!B2))</f>
        <v>0</v>
      </c>
      <c r="K51" s="3395" t="s">
        <v>3137</v>
      </c>
      <c r="L51" s="3396">
        <f ca="1">ROUND(-PV(INDIRECT("'数据-取费表'!h"&amp;$G$1),L48,(C39-C13*C76),0),0)</f>
        <v>-487113854</v>
      </c>
      <c r="M51" s="3397"/>
      <c r="O51" s="3381" t="s">
        <v>2391</v>
      </c>
      <c r="P51" s="3360" t="s">
        <v>3138</v>
      </c>
      <c r="Q51" s="3390">
        <f>J52</f>
        <v>0</v>
      </c>
      <c r="R51" s="3361"/>
    </row>
    <row r="52" spans="1:18" s="3200" customFormat="1" ht="13.5" thickBot="1">
      <c r="A52" s="3391"/>
      <c r="B52" s="3383"/>
      <c r="C52" s="3384"/>
      <c r="D52" s="3385"/>
      <c r="E52" s="3392" t="s">
        <v>3008</v>
      </c>
      <c r="F52" s="3398"/>
      <c r="I52" s="3399" t="s">
        <v>3139</v>
      </c>
      <c r="J52" s="3400"/>
      <c r="K52" s="3399" t="s">
        <v>3140</v>
      </c>
      <c r="L52" s="3400"/>
      <c r="O52" s="3381" t="s">
        <v>2393</v>
      </c>
      <c r="P52" s="3360" t="s">
        <v>3141</v>
      </c>
      <c r="Q52" s="3361" t="b">
        <f>J53</f>
        <v>0</v>
      </c>
      <c r="R52" s="3361" t="s">
        <v>3142</v>
      </c>
    </row>
    <row r="53" spans="1:18" s="3200" customFormat="1" ht="30.75" customHeight="1" thickBot="1">
      <c r="A53" s="3401" t="s">
        <v>3143</v>
      </c>
      <c r="B53" s="3286" t="s">
        <v>3010</v>
      </c>
      <c r="C53" s="3233">
        <f>ROUND(IF(F53="押一",F49*F51*F50/12*F11,IF(F53="押二",F49*F51*F50/12*2*F11,IF(F53="押三",F49*F51*F50/12*3*F11,C54*F11))),0)</f>
        <v>0</v>
      </c>
      <c r="D53" s="3234" t="s">
        <v>3144</v>
      </c>
      <c r="E53" s="3230" t="s">
        <v>3012</v>
      </c>
      <c r="F53" s="3235"/>
      <c r="I53" s="3402" t="s">
        <v>3145</v>
      </c>
      <c r="J53" s="3403" t="b">
        <f>IF(M47="住宅",J51,IF(D1="——",MIN(J51,L48),IF(D1="在建（套用方法）",MIN(J51,L48-'[1]数据-取费表'!B24),IF(D1="土地（套用方法）",MIN(J51,L48-'[1]数据-取费表'!B20)))))</f>
        <v>0</v>
      </c>
      <c r="K53" s="3491" t="s">
        <v>3146</v>
      </c>
      <c r="L53" s="3492"/>
      <c r="O53" s="3359" t="s">
        <v>2396</v>
      </c>
      <c r="P53" s="3360" t="s">
        <v>3147</v>
      </c>
      <c r="Q53" s="3361">
        <f ca="1">Q47+Q48</f>
        <v>0</v>
      </c>
      <c r="R53" s="3361" t="s">
        <v>2397</v>
      </c>
    </row>
    <row r="54" spans="1:18" s="3200" customFormat="1" ht="13.5" thickBot="1">
      <c r="A54" s="3372"/>
      <c r="B54" s="3404" t="s">
        <v>3016</v>
      </c>
      <c r="C54" s="3239"/>
      <c r="D54" s="3234"/>
      <c r="E54" s="3405"/>
      <c r="F54" s="3406"/>
      <c r="I54" s="34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8"/>
      <c r="K54" s="3408"/>
      <c r="L54" s="3408"/>
      <c r="M54" s="3378"/>
      <c r="O54" s="3338" t="s">
        <v>3148</v>
      </c>
      <c r="P54" s="3331"/>
      <c r="Q54" s="3331"/>
      <c r="R54" s="3331"/>
    </row>
    <row r="55" spans="1:18" s="3200" customFormat="1" ht="13.5" thickBot="1">
      <c r="A55" s="3243" t="s">
        <v>3017</v>
      </c>
      <c r="B55" s="3244" t="s">
        <v>3018</v>
      </c>
      <c r="C55" s="3245"/>
      <c r="D55" s="3234"/>
      <c r="E55" s="3405"/>
      <c r="F55" s="3406"/>
      <c r="I55" s="3409" t="s">
        <v>3149</v>
      </c>
      <c r="J55" s="3410" t="e">
        <f ca="1">ROUND(IF(J47="钢混",J57/J50,1-(1-2%)*(J50-J57)/J50),3)</f>
        <v>#VALUE!</v>
      </c>
      <c r="K55" s="3411" t="s">
        <v>3150</v>
      </c>
      <c r="L55" s="3412"/>
      <c r="O55" s="3346" t="s">
        <v>3113</v>
      </c>
      <c r="P55" s="3347" t="s">
        <v>3114</v>
      </c>
      <c r="Q55" s="3348" t="s">
        <v>3115</v>
      </c>
      <c r="R55" s="3348" t="s">
        <v>3116</v>
      </c>
    </row>
    <row r="56" spans="1:18" s="3200" customFormat="1" ht="36" customHeight="1" thickTop="1" thickBot="1">
      <c r="A56" s="3413">
        <v>2</v>
      </c>
      <c r="B56" s="3414" t="s">
        <v>3019</v>
      </c>
      <c r="C56" s="3415">
        <f ca="1">C13</f>
        <v>0</v>
      </c>
      <c r="D56" s="3416"/>
      <c r="E56" s="3417"/>
      <c r="F56" s="3406"/>
      <c r="I56" s="3418" t="s">
        <v>3151</v>
      </c>
      <c r="J56" s="3419"/>
      <c r="K56" s="3368" t="s">
        <v>3152</v>
      </c>
      <c r="L56" s="3371">
        <f ca="1">IF(L48&lt;J51,"——",L48-J51)</f>
        <v>61.55</v>
      </c>
      <c r="O56" s="3359" t="s">
        <v>2384</v>
      </c>
      <c r="P56" s="3360" t="s">
        <v>3119</v>
      </c>
      <c r="Q56" s="3361">
        <f ca="1">C40+J29</f>
        <v>0</v>
      </c>
      <c r="R56" s="3361" t="s">
        <v>3120</v>
      </c>
    </row>
    <row r="57" spans="1:18" s="3200" customFormat="1" ht="24.75" thickBot="1">
      <c r="A57" s="3420"/>
      <c r="B57" s="3421" t="s">
        <v>3097</v>
      </c>
      <c r="C57" s="3422">
        <f ca="1">C29</f>
        <v>753477124</v>
      </c>
      <c r="D57" s="3423"/>
      <c r="E57" s="3424"/>
      <c r="F57" s="3425"/>
      <c r="I57" s="3426" t="s">
        <v>3153</v>
      </c>
      <c r="J57" s="3427" t="str">
        <f ca="1">IF(OR(M47="住宅",J51&lt;L48,J56="是"),"——",J51-L48)</f>
        <v>——</v>
      </c>
      <c r="K57" s="3368" t="s">
        <v>3154</v>
      </c>
      <c r="L57" s="3371">
        <f ca="1">IF(L48&lt;J51,"——",IF(L55="比较法",L49,IF(L55="基准地价",L50,L51)))</f>
        <v>-487113854</v>
      </c>
      <c r="O57" s="3359" t="s">
        <v>2386</v>
      </c>
      <c r="P57" s="3360" t="s">
        <v>3155</v>
      </c>
      <c r="Q57" s="3361" t="e">
        <f ca="1">L60</f>
        <v>#DIV/0!</v>
      </c>
      <c r="R57" s="3361" t="s">
        <v>3156</v>
      </c>
    </row>
    <row r="58" spans="1:18" s="3200" customFormat="1" ht="24.75" thickBot="1">
      <c r="A58" s="3428" t="s">
        <v>3101</v>
      </c>
      <c r="B58" s="3414" t="s">
        <v>3036</v>
      </c>
      <c r="C58" s="3233">
        <f ca="1">ROUND(C59+C64+C65+C66,0)</f>
        <v>21398750</v>
      </c>
      <c r="D58" s="3429" t="s">
        <v>3037</v>
      </c>
      <c r="E58" s="3430"/>
      <c r="F58" s="3366"/>
      <c r="I58" s="3426" t="s">
        <v>3157</v>
      </c>
      <c r="J58" s="3431" t="e">
        <f ca="1">IF(J55&lt;0.4,0.4,J55)</f>
        <v>#VALUE!</v>
      </c>
      <c r="K58" s="3395" t="s">
        <v>3158</v>
      </c>
      <c r="L58" s="3371" t="e">
        <f ca="1">ROUND(POWER(1+L52,L47-L48)*(POWER(1+L52,L48)-1)/(POWER(1+L52,L47)-1),4)</f>
        <v>#DIV/0!</v>
      </c>
      <c r="O58" s="3381" t="s">
        <v>2388</v>
      </c>
      <c r="P58" s="3360" t="s">
        <v>3159</v>
      </c>
      <c r="Q58" s="3361">
        <f>IF(L55="比较法",L49,IF(L55="基准地价",L50,0))</f>
        <v>0</v>
      </c>
      <c r="R58" s="3361" t="s">
        <v>3120</v>
      </c>
    </row>
    <row r="59" spans="1:18" s="3200" customFormat="1" ht="24.75" thickBot="1">
      <c r="A59" s="3260" t="s">
        <v>3001</v>
      </c>
      <c r="B59" s="3421" t="s">
        <v>3042</v>
      </c>
      <c r="C59" s="3265">
        <f ca="1">ROUND(IF([1]项目基本情况!B11="自然人",C48*F59,C60+C61+C62),0)</f>
        <v>6329208</v>
      </c>
      <c r="D59" s="3432" t="s">
        <v>3043</v>
      </c>
      <c r="E59" s="3433" t="s">
        <v>3044</v>
      </c>
      <c r="F59" s="3282">
        <f ca="1">IF([1]项目基本情况!B11="企业","",IF(INDIRECT("'数据-取费表'!c"&amp;$G$1)="住宅",5%,IF(F49*F50*F51/12/(1+'[1]数据-取费表'!C42)&gt;20000,12%,7%)))</f>
        <v>0.05</v>
      </c>
      <c r="I59" s="3426" t="s">
        <v>3160</v>
      </c>
      <c r="J59" s="3427" t="str">
        <f ca="1">IF(OR(M47="住宅",J51&lt;L48,J56="是"),"——",ROUND(C29*J58,0))</f>
        <v>——</v>
      </c>
      <c r="K59" s="33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1" t="e">
        <f ca="1">ROUND(IF(D1="在建（套用方法）",M59,IF(D1="土地（套用方法）",N59,POWER(1+L52,L47-J51)*(POWER(1+L52,J51)-1)/(POWER(1+L52,L47)-1))),4)</f>
        <v>#DIV/0!</v>
      </c>
      <c r="M59" s="3331" t="e">
        <f ca="1">ROUND(POWER(1+L52,L47-(J51+'[1]数据-取费表'!B24))*(POWER(1+L52,(J51+'[1]数据-取费表'!B24))-1)/(POWER(1+L52,L47)-1),4)</f>
        <v>#DIV/0!</v>
      </c>
      <c r="N59" s="3331" t="e">
        <f ca="1">ROUND(POWER(1+L52,L47-(J51+'[1]数据-取费表'!B20))*(POWER(1+L52,(J51+'[1]数据-取费表'!B20))-1)/(POWER(1+L52,L47)-1),4)</f>
        <v>#DIV/0!</v>
      </c>
      <c r="O59" s="3381" t="s">
        <v>2389</v>
      </c>
      <c r="P59" s="3360" t="s">
        <v>3161</v>
      </c>
      <c r="Q59" s="3390">
        <f>L52</f>
        <v>0</v>
      </c>
      <c r="R59" s="3361"/>
    </row>
    <row r="60" spans="1:18" s="3200" customFormat="1" ht="16.5" thickBot="1">
      <c r="A60" s="3260" t="s">
        <v>3022</v>
      </c>
      <c r="B60" s="3421" t="s">
        <v>3102</v>
      </c>
      <c r="C60" s="3265">
        <f ca="1">IF([1]项目基本情况!B11="自然人","——",ROUND(C48*F60/(1+'[1]数据-取费表'!C42),0))</f>
        <v>0</v>
      </c>
      <c r="D60" s="3433" t="s">
        <v>3103</v>
      </c>
      <c r="E60" s="3421" t="s">
        <v>3030</v>
      </c>
      <c r="F60" s="3297">
        <f t="shared" ref="F60:F66" si="0">F32</f>
        <v>0</v>
      </c>
      <c r="I60" s="3434" t="s">
        <v>3162</v>
      </c>
      <c r="J60" s="3435" t="str">
        <f ca="1">IF(OR(M47="住宅",J51&lt;L48,J56="是"),"0",ROUND(J59/(1+J52)^J53,0))</f>
        <v>0</v>
      </c>
      <c r="K60" s="3436" t="s">
        <v>3163</v>
      </c>
      <c r="L60" s="3435" t="e">
        <f ca="1">IF(OR(M47="住宅",L48&lt;J51),0,ROUND(L57*(L58/L59-1),0))</f>
        <v>#DIV/0!</v>
      </c>
      <c r="O60" s="3381" t="s">
        <v>2391</v>
      </c>
      <c r="P60" s="3360" t="s">
        <v>3164</v>
      </c>
      <c r="Q60" s="3361" t="e">
        <f ca="1">L58</f>
        <v>#DIV/0!</v>
      </c>
      <c r="R60" s="3361" t="s">
        <v>3165</v>
      </c>
    </row>
    <row r="61" spans="1:18" s="3200" customFormat="1" ht="13.5" thickBot="1">
      <c r="A61" s="3260" t="s">
        <v>3166</v>
      </c>
      <c r="B61" s="3421" t="s">
        <v>3051</v>
      </c>
      <c r="C61" s="3265">
        <f ca="1">IF([1]项目基本情况!B11="自然人","——",IF(D61="按租金收入计税",ROUND(C48*F61,0),IF(D61="按房产原值计税",ROUND(C57*F61*0.7,0),INDIRECT("'数据-取费表'!Aj"&amp;$G$1))))</f>
        <v>6329208</v>
      </c>
      <c r="D61" s="3285" t="s">
        <v>3052</v>
      </c>
      <c r="E61" s="3421" t="s">
        <v>3030</v>
      </c>
      <c r="F61" s="3278">
        <f t="shared" si="0"/>
        <v>1.2E-2</v>
      </c>
      <c r="I61" s="3437"/>
      <c r="J61" s="3437"/>
      <c r="K61" s="3437"/>
      <c r="L61" s="3437"/>
      <c r="O61" s="3381" t="s">
        <v>2393</v>
      </c>
      <c r="P61" s="3360" t="str">
        <f>K59</f>
        <v>建设期及建筑物耐用年限下的土地年期修正系数Kn</v>
      </c>
      <c r="Q61" s="3361" t="e">
        <f ca="1">L59</f>
        <v>#DIV/0!</v>
      </c>
      <c r="R61" s="3361" t="s">
        <v>3167</v>
      </c>
    </row>
    <row r="62" spans="1:18" s="3200" customFormat="1" ht="13.5" thickBot="1">
      <c r="A62" s="3260" t="s">
        <v>3168</v>
      </c>
      <c r="B62" s="3438" t="s">
        <v>3055</v>
      </c>
      <c r="C62" s="3287">
        <f ca="1">IF([1]项目基本情况!B11="自然人","——",ROUND(F62*F63,0))</f>
        <v>0</v>
      </c>
      <c r="D62" s="3439" t="s">
        <v>3056</v>
      </c>
      <c r="E62" s="3421" t="s">
        <v>3057</v>
      </c>
      <c r="F62" s="3289">
        <f t="shared" si="0"/>
        <v>0</v>
      </c>
      <c r="I62" s="3440" t="s">
        <v>3169</v>
      </c>
      <c r="J62" s="3441" t="s">
        <v>3170</v>
      </c>
      <c r="K62" s="3441" t="s">
        <v>3171</v>
      </c>
      <c r="L62" s="3441" t="s">
        <v>3172</v>
      </c>
      <c r="M62" s="3442" t="s">
        <v>3173</v>
      </c>
      <c r="O62" s="3359" t="s">
        <v>2396</v>
      </c>
      <c r="P62" s="3360" t="s">
        <v>3147</v>
      </c>
      <c r="Q62" s="3361" t="e">
        <f ca="1">Q56+Q57</f>
        <v>#DIV/0!</v>
      </c>
      <c r="R62" s="3361" t="s">
        <v>2397</v>
      </c>
    </row>
    <row r="63" spans="1:18" s="3200" customFormat="1" ht="13.5" thickBot="1">
      <c r="A63" s="3290"/>
      <c r="B63" s="3443"/>
      <c r="C63" s="3292"/>
      <c r="D63" s="3444"/>
      <c r="E63" s="3421" t="s">
        <v>3062</v>
      </c>
      <c r="F63" s="3220">
        <f t="shared" ca="1" si="0"/>
        <v>97854.17</v>
      </c>
      <c r="I63" s="3440" t="s">
        <v>3174</v>
      </c>
      <c r="J63" s="3441">
        <v>70</v>
      </c>
      <c r="K63" s="3441">
        <v>50</v>
      </c>
      <c r="L63" s="3441">
        <v>80</v>
      </c>
      <c r="M63" s="3445">
        <v>0.02</v>
      </c>
      <c r="O63" s="3338" t="s">
        <v>3175</v>
      </c>
      <c r="P63" s="3331"/>
      <c r="Q63" s="3331"/>
      <c r="R63" s="3331"/>
    </row>
    <row r="64" spans="1:18" s="3200" customFormat="1" ht="13.5" thickBot="1">
      <c r="A64" s="3260" t="s">
        <v>3009</v>
      </c>
      <c r="B64" s="3421" t="s">
        <v>3065</v>
      </c>
      <c r="C64" s="3265">
        <f ca="1">ROUND(C57*F64,0)</f>
        <v>15069542</v>
      </c>
      <c r="D64" s="3433" t="s">
        <v>3104</v>
      </c>
      <c r="E64" s="3421" t="s">
        <v>3030</v>
      </c>
      <c r="F64" s="3294">
        <f t="shared" ca="1" si="0"/>
        <v>0.02</v>
      </c>
      <c r="I64" s="3440" t="s">
        <v>3176</v>
      </c>
      <c r="J64" s="3441">
        <v>50</v>
      </c>
      <c r="K64" s="3441">
        <v>35</v>
      </c>
      <c r="L64" s="3441">
        <v>60</v>
      </c>
      <c r="M64" s="3442">
        <v>0</v>
      </c>
      <c r="O64" s="3346" t="s">
        <v>3113</v>
      </c>
      <c r="P64" s="3347" t="s">
        <v>3114</v>
      </c>
      <c r="Q64" s="3348" t="s">
        <v>3115</v>
      </c>
      <c r="R64" s="3348" t="s">
        <v>3116</v>
      </c>
    </row>
    <row r="65" spans="1:18" s="3200" customFormat="1" ht="13.5" thickBot="1">
      <c r="A65" s="3260" t="s">
        <v>3177</v>
      </c>
      <c r="B65" s="3421" t="s">
        <v>3069</v>
      </c>
      <c r="C65" s="3265">
        <f ca="1">ROUND(C56*F65,0)</f>
        <v>0</v>
      </c>
      <c r="D65" s="3433" t="s">
        <v>3070</v>
      </c>
      <c r="E65" s="3421" t="s">
        <v>3030</v>
      </c>
      <c r="F65" s="3296">
        <f t="shared" ca="1" si="0"/>
        <v>2E-3</v>
      </c>
      <c r="I65" s="3440" t="s">
        <v>3178</v>
      </c>
      <c r="J65" s="3441">
        <v>40</v>
      </c>
      <c r="K65" s="3441">
        <v>30</v>
      </c>
      <c r="L65" s="3441">
        <v>50</v>
      </c>
      <c r="M65" s="3445">
        <v>0.02</v>
      </c>
      <c r="O65" s="3359" t="s">
        <v>2384</v>
      </c>
      <c r="P65" s="3360" t="s">
        <v>3119</v>
      </c>
      <c r="Q65" s="3361">
        <f ca="1">C40+J29</f>
        <v>0</v>
      </c>
      <c r="R65" s="3361" t="s">
        <v>3120</v>
      </c>
    </row>
    <row r="66" spans="1:18" s="3200" customFormat="1" ht="16.5" thickBot="1">
      <c r="A66" s="3260" t="s">
        <v>3179</v>
      </c>
      <c r="B66" s="3421" t="s">
        <v>3053</v>
      </c>
      <c r="C66" s="3265">
        <f ca="1">ROUND(C48*F66,0)</f>
        <v>0</v>
      </c>
      <c r="D66" s="3433" t="s">
        <v>3074</v>
      </c>
      <c r="E66" s="3421" t="s">
        <v>3030</v>
      </c>
      <c r="F66" s="3229">
        <f t="shared" ca="1" si="0"/>
        <v>0.02</v>
      </c>
      <c r="O66" s="3359" t="s">
        <v>2386</v>
      </c>
      <c r="P66" s="3360" t="s">
        <v>3155</v>
      </c>
      <c r="Q66" s="3361" t="e">
        <f ca="1">L60</f>
        <v>#DIV/0!</v>
      </c>
      <c r="R66" s="3361" t="s">
        <v>3180</v>
      </c>
    </row>
    <row r="67" spans="1:18" s="3200" customFormat="1" ht="16.5" thickBot="1">
      <c r="A67" s="3413" t="s">
        <v>3078</v>
      </c>
      <c r="B67" s="3446" t="s">
        <v>3079</v>
      </c>
      <c r="C67" s="3233">
        <f ca="1">C48-C58</f>
        <v>-21398750</v>
      </c>
      <c r="D67" s="3432" t="s">
        <v>3080</v>
      </c>
      <c r="E67" s="3447"/>
      <c r="F67" s="3448"/>
      <c r="O67" s="3381" t="s">
        <v>2388</v>
      </c>
      <c r="P67" s="3360" t="s">
        <v>3159</v>
      </c>
      <c r="Q67" s="3449">
        <f ca="1">L51</f>
        <v>-487113854</v>
      </c>
      <c r="R67" s="3361" t="s">
        <v>3181</v>
      </c>
    </row>
    <row r="68" spans="1:18" s="3200" customFormat="1" ht="16.5" thickBot="1">
      <c r="A68" s="3450" t="s">
        <v>3084</v>
      </c>
      <c r="B68" s="3451" t="s">
        <v>3105</v>
      </c>
      <c r="C68" s="3221">
        <f ca="1">ROUND(C67*(1-((1+F70)/(1+F68))^F69)/(F68-F70),0)</f>
        <v>0</v>
      </c>
      <c r="D68" s="3439" t="s">
        <v>3086</v>
      </c>
      <c r="E68" s="3421" t="s">
        <v>3087</v>
      </c>
      <c r="F68" s="3229">
        <f ca="1">F40</f>
        <v>4.4999999999999998E-2</v>
      </c>
      <c r="O68" s="3381" t="s">
        <v>2389</v>
      </c>
      <c r="P68" s="3452" t="s">
        <v>3182</v>
      </c>
      <c r="Q68" s="3361">
        <f ca="1">ROUND(Q69-Q70*Q71,0)</f>
        <v>-21398750</v>
      </c>
      <c r="R68" s="3361" t="s">
        <v>3183</v>
      </c>
    </row>
    <row r="69" spans="1:18" s="3200" customFormat="1" ht="13.5" thickBot="1">
      <c r="A69" s="3453"/>
      <c r="B69" s="3454"/>
      <c r="C69" s="3228"/>
      <c r="D69" s="3455" t="s">
        <v>3090</v>
      </c>
      <c r="E69" s="3421" t="s">
        <v>3091</v>
      </c>
      <c r="F69" s="3306">
        <f ca="1">F41</f>
        <v>0</v>
      </c>
      <c r="O69" s="3381" t="s">
        <v>2404</v>
      </c>
      <c r="P69" s="3452" t="s">
        <v>3184</v>
      </c>
      <c r="Q69" s="3361">
        <f ca="1">C39</f>
        <v>-21398750</v>
      </c>
      <c r="R69" s="3361" t="s">
        <v>3120</v>
      </c>
    </row>
    <row r="70" spans="1:18" s="3200" customFormat="1" ht="13.5" thickBot="1">
      <c r="A70" s="3456"/>
      <c r="B70" s="3457"/>
      <c r="C70" s="3253"/>
      <c r="D70" s="3444"/>
      <c r="E70" s="3421" t="s">
        <v>3095</v>
      </c>
      <c r="F70" s="3398">
        <f ca="1">F42</f>
        <v>0</v>
      </c>
      <c r="O70" s="3381" t="s">
        <v>2406</v>
      </c>
      <c r="P70" s="3452" t="s">
        <v>3185</v>
      </c>
      <c r="Q70" s="3361">
        <f ca="1">C13</f>
        <v>0</v>
      </c>
      <c r="R70" s="3361" t="s">
        <v>3120</v>
      </c>
    </row>
    <row r="71" spans="1:18" s="3200" customFormat="1" ht="13.5" thickBot="1">
      <c r="A71" s="3458" t="s">
        <v>3098</v>
      </c>
      <c r="B71" s="3459" t="s">
        <v>3106</v>
      </c>
      <c r="C71" s="3311">
        <f ca="1">ROUND(C68/F71,0)</f>
        <v>0</v>
      </c>
      <c r="D71" s="3460" t="s">
        <v>3107</v>
      </c>
      <c r="E71" s="3461" t="s">
        <v>3108</v>
      </c>
      <c r="F71" s="3314">
        <f ca="1">F43</f>
        <v>244635.43</v>
      </c>
      <c r="O71" s="3381" t="s">
        <v>2408</v>
      </c>
      <c r="P71" s="3452" t="s">
        <v>3186</v>
      </c>
      <c r="Q71" s="3390">
        <f ca="1">C76</f>
        <v>8.5000000000000006E-2</v>
      </c>
      <c r="R71" s="3361"/>
    </row>
    <row r="72" spans="1:18" s="3200" customFormat="1" ht="13.5" thickBot="1">
      <c r="B72" s="3462"/>
      <c r="C72" s="3462"/>
      <c r="O72" s="3381" t="s">
        <v>2391</v>
      </c>
      <c r="P72" s="3360" t="s">
        <v>3161</v>
      </c>
      <c r="Q72" s="3390">
        <f>L52</f>
        <v>0</v>
      </c>
      <c r="R72" s="3361"/>
    </row>
    <row r="73" spans="1:18" ht="16.5" thickBot="1">
      <c r="A73" s="3200"/>
      <c r="B73" s="3462"/>
      <c r="C73" s="3462"/>
      <c r="D73" s="3200"/>
      <c r="E73" s="3200"/>
      <c r="F73" s="3200"/>
      <c r="O73" s="3381" t="s">
        <v>2393</v>
      </c>
      <c r="P73" s="3360" t="s">
        <v>3164</v>
      </c>
      <c r="Q73" s="3361" t="e">
        <f ca="1">L58</f>
        <v>#DIV/0!</v>
      </c>
      <c r="R73" s="3361" t="s">
        <v>3165</v>
      </c>
    </row>
    <row r="74" spans="1:18" ht="13.5" thickBot="1">
      <c r="A74" s="3200"/>
      <c r="B74" s="3464" t="s">
        <v>3187</v>
      </c>
      <c r="C74" s="3465"/>
      <c r="D74" s="3200"/>
      <c r="E74" s="3200"/>
      <c r="F74" s="3200"/>
      <c r="O74" s="3381" t="s">
        <v>3188</v>
      </c>
      <c r="P74" s="3360" t="str">
        <f>K59</f>
        <v>建设期及建筑物耐用年限下的土地年期修正系数Kn</v>
      </c>
      <c r="Q74" s="3361" t="e">
        <f ca="1">L59</f>
        <v>#DIV/0!</v>
      </c>
      <c r="R74" s="3361" t="s">
        <v>3167</v>
      </c>
    </row>
    <row r="75" spans="1:18" ht="13.5" thickBot="1">
      <c r="A75" s="3200"/>
      <c r="B75" s="3466" t="s">
        <v>3189</v>
      </c>
      <c r="C75" s="3467">
        <f ca="1">ROUND(C13*C76,0)</f>
        <v>0</v>
      </c>
      <c r="D75" s="3200"/>
      <c r="E75" s="3200"/>
      <c r="F75" s="3200"/>
      <c r="K75" s="3335"/>
      <c r="L75" s="3200"/>
      <c r="O75" s="3359" t="s">
        <v>2396</v>
      </c>
      <c r="P75" s="3360" t="s">
        <v>3147</v>
      </c>
      <c r="Q75" s="3361" t="e">
        <f ca="1">Q65+Q66</f>
        <v>#DIV/0!</v>
      </c>
      <c r="R75" s="3361" t="s">
        <v>2397</v>
      </c>
    </row>
    <row r="76" spans="1:18">
      <c r="B76" s="3468" t="s">
        <v>3190</v>
      </c>
      <c r="C76" s="3469">
        <f ca="1">INDIRECT("'数据-取费表'!j"&amp;$G$1)</f>
        <v>8.5000000000000006E-2</v>
      </c>
      <c r="I76" s="3200"/>
      <c r="J76" s="3200"/>
      <c r="K76" s="3335"/>
      <c r="L76" s="3200"/>
    </row>
    <row r="77" spans="1:18">
      <c r="B77" s="3470" t="s">
        <v>3191</v>
      </c>
      <c r="C77" s="3471"/>
      <c r="I77" s="3200"/>
      <c r="J77" s="3200"/>
      <c r="K77" s="3335"/>
      <c r="L77" s="3200"/>
    </row>
    <row r="78" spans="1:18">
      <c r="B78" s="3472" t="s">
        <v>3192</v>
      </c>
      <c r="C78" s="3473"/>
    </row>
    <row r="79" spans="1:18">
      <c r="B79" s="3466" t="s">
        <v>3193</v>
      </c>
      <c r="C79" s="3474">
        <f ca="1">1-C80</f>
        <v>1</v>
      </c>
    </row>
    <row r="80" spans="1:18">
      <c r="B80" s="3466" t="s">
        <v>3194</v>
      </c>
      <c r="C80" s="3474">
        <f ca="1">ROUND(C75/C39,3)</f>
        <v>0</v>
      </c>
    </row>
    <row r="81" spans="2:3">
      <c r="B81" s="3472" t="s">
        <v>3195</v>
      </c>
      <c r="C81" s="3422"/>
    </row>
    <row r="82" spans="2:3">
      <c r="B82" s="3464" t="s">
        <v>3196</v>
      </c>
      <c r="C82" s="3475" t="e">
        <f ca="1">1-C83</f>
        <v>#DIV/0!</v>
      </c>
    </row>
    <row r="83" spans="2:3">
      <c r="B83" s="3464" t="s">
        <v>3197</v>
      </c>
      <c r="C83" s="3474"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3" sqref="AA23"/>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2551</v>
      </c>
      <c r="R1" s="2607" t="s">
        <v>2545</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2546</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2547</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2548</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2549</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2550</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2964</v>
      </c>
      <c r="C18" s="1554"/>
    </row>
    <row r="19" spans="1:3">
      <c r="A19" s="8" t="s">
        <v>120</v>
      </c>
      <c r="B19" s="3142" t="s">
        <v>2972</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京御房地产开发有限公司拟使用河北省廊坊市固安县工业园区五号路北、六号路西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520"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22日，在规划利用条件下、设定土地开发程度为红线外“七通”、宗地内场地，设定用途为，剩余土地使用年限为的出让国有建设用地使用权价格。</v>
      </c>
      <c r="D53" s="1768"/>
      <c r="E53" s="1768"/>
    </row>
    <row r="54" spans="1:5">
      <c r="A54" s="3520"/>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20"/>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20"/>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20"/>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7" sqref="D17"/>
    </sheetView>
  </sheetViews>
  <sheetFormatPr defaultColWidth="10" defaultRowHeight="14.25"/>
  <cols>
    <col min="1" max="1" width="15.375" style="1690" customWidth="1"/>
    <col min="2" max="2" width="11.375" style="1690" customWidth="1"/>
    <col min="3" max="3" width="12.625" style="1690" customWidth="1"/>
    <col min="4" max="4" width="13.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36" t="str">
        <f>IF(B10="北京市","北京市",C10)&amp;F10&amp;B16&amp;"国有建设用地使用权"&amp;B9&amp;"预评估"</f>
        <v>河北省廊坊市固安县工业园区五号路北、六号路西出让国有建设用地使用权抵押价格预评估</v>
      </c>
      <c r="C1" s="3537"/>
      <c r="D1" s="3537"/>
      <c r="E1" s="3537"/>
      <c r="F1" s="3537"/>
      <c r="G1" s="3537"/>
      <c r="H1" s="3537"/>
      <c r="I1" s="3538"/>
      <c r="J1" s="1693"/>
      <c r="K1" s="2479" t="str">
        <f>IF(B10="北京市","北京市",C10)&amp;F10&amp;B16&amp;"国有建设用地使用权"&amp;B9</f>
        <v>河北省廊坊市固安县工业园区五号路北、六号路西出让国有建设用地使用权抵押价格</v>
      </c>
      <c r="L1" s="1722"/>
      <c r="M1" s="1722"/>
      <c r="N1" s="1693"/>
      <c r="O1" s="1694"/>
      <c r="P1" s="1693"/>
      <c r="Q1" s="1693"/>
      <c r="R1" s="1693"/>
      <c r="S1" s="1693"/>
      <c r="T1" s="1693"/>
      <c r="U1" s="1693"/>
    </row>
    <row r="2" spans="1:21">
      <c r="A2" s="1659" t="s">
        <v>1942</v>
      </c>
      <c r="B2" s="1841" t="s">
        <v>3521</v>
      </c>
      <c r="D2" s="1693"/>
      <c r="E2" s="1693"/>
      <c r="F2" s="1693"/>
      <c r="G2" s="1693"/>
      <c r="H2" s="1659"/>
      <c r="I2" s="1694"/>
      <c r="J2" s="1693"/>
      <c r="K2" s="2479" t="str">
        <f>IF(B10="北京市","北京市",C10)&amp;F10&amp;B16&amp;"国有建设用地使用权"</f>
        <v>河北省廊坊市固安县工业园区五号路北、六号路西出让国有建设用地使用权</v>
      </c>
      <c r="L2" s="1722"/>
      <c r="M2" s="1722"/>
      <c r="N2" s="1693"/>
      <c r="O2" s="1694"/>
      <c r="P2" s="1693"/>
      <c r="Q2" s="1693"/>
      <c r="R2" s="1693"/>
      <c r="S2" s="1693"/>
      <c r="T2" s="1693"/>
      <c r="U2" s="1693"/>
    </row>
    <row r="3" spans="1:21">
      <c r="A3" s="1660" t="s">
        <v>1943</v>
      </c>
      <c r="B3" s="1661">
        <v>43242</v>
      </c>
      <c r="C3" s="1662" t="s">
        <v>1999</v>
      </c>
      <c r="D3" s="1661">
        <f>B3</f>
        <v>43242</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3522</v>
      </c>
      <c r="C4" s="1845">
        <f ca="1">SUMIF(土地估价师,B4,估价师及机构信息!E3:E24)</f>
        <v>2000110082</v>
      </c>
      <c r="D4" s="1842" t="s">
        <v>3523</v>
      </c>
      <c r="E4" s="1845">
        <f ca="1">SUMIF(土地估价师,D4,估价师及机构信息!E3:E24)</f>
        <v>2010110070</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欧红伟、崔锴</v>
      </c>
      <c r="L4" s="1722"/>
      <c r="M4" s="1722"/>
      <c r="N4" s="1693"/>
      <c r="O4" s="1694"/>
      <c r="P4" s="1693"/>
      <c r="Q4" s="1693"/>
      <c r="R4" s="1693"/>
      <c r="S4" s="1693"/>
      <c r="T4" s="1693"/>
      <c r="U4" s="1693"/>
    </row>
    <row r="5" spans="1:21" ht="15" thickTop="1">
      <c r="A5" s="1664" t="s">
        <v>1945</v>
      </c>
      <c r="B5" s="1788" t="s">
        <v>3525</v>
      </c>
      <c r="C5" s="1665"/>
      <c r="D5" s="1666"/>
      <c r="E5" s="1693"/>
      <c r="F5" s="1693"/>
      <c r="G5" s="1693"/>
      <c r="H5" s="1659"/>
      <c r="I5" s="1694"/>
      <c r="J5" s="1693"/>
      <c r="K5" s="1773"/>
      <c r="L5" s="1722"/>
      <c r="M5" s="1722"/>
      <c r="N5" s="1693"/>
      <c r="O5" s="1694"/>
      <c r="P5" s="1693"/>
      <c r="Q5" s="1693"/>
      <c r="R5" s="1693"/>
      <c r="S5" s="1693"/>
      <c r="T5" s="1693"/>
      <c r="U5" s="1693"/>
    </row>
    <row r="6" spans="1:21" ht="26.25">
      <c r="A6" s="1662" t="s">
        <v>2711</v>
      </c>
      <c r="B6" s="1788" t="s">
        <v>3524</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2712</v>
      </c>
      <c r="B7" s="1788" t="str">
        <f>B5</f>
        <v>廊坊京御房地产开发有限公司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3198</v>
      </c>
      <c r="C8" s="1670"/>
      <c r="D8" s="3542" t="s">
        <v>1948</v>
      </c>
      <c r="E8" s="1843" t="s">
        <v>3199</v>
      </c>
      <c r="F8" s="1671"/>
      <c r="G8" s="1659"/>
      <c r="H8" s="1659"/>
      <c r="I8" s="1706"/>
      <c r="J8" s="1693"/>
      <c r="K8" s="1773"/>
      <c r="L8" s="1722"/>
      <c r="M8" s="1722"/>
      <c r="N8" s="1693"/>
      <c r="O8" s="1694"/>
      <c r="P8" s="1693"/>
      <c r="Q8" s="1693"/>
      <c r="R8" s="1693"/>
      <c r="S8" s="1693"/>
      <c r="T8" s="1693"/>
      <c r="U8" s="1693"/>
    </row>
    <row r="9" spans="1:21" ht="15" thickBot="1">
      <c r="A9" s="1672" t="s">
        <v>1947</v>
      </c>
      <c r="B9" s="1673" t="s">
        <v>3199</v>
      </c>
      <c r="C9" s="1674"/>
      <c r="D9" s="3543"/>
      <c r="E9" s="1673" t="s">
        <v>953</v>
      </c>
      <c r="F9" s="1746"/>
      <c r="G9" s="1741"/>
      <c r="H9" s="1741"/>
      <c r="I9" s="1742"/>
      <c r="J9" s="1693"/>
      <c r="K9" s="1773"/>
      <c r="L9" s="1722"/>
      <c r="M9" s="1722"/>
      <c r="N9" s="1693"/>
      <c r="O9" s="1694"/>
      <c r="P9" s="1693"/>
      <c r="Q9" s="1693"/>
      <c r="R9" s="1693"/>
      <c r="S9" s="1693"/>
      <c r="T9" s="1693"/>
      <c r="U9" s="1693"/>
    </row>
    <row r="10" spans="1:21" ht="15" thickTop="1">
      <c r="A10" s="1743" t="s">
        <v>2003</v>
      </c>
      <c r="B10" s="1718" t="s">
        <v>3200</v>
      </c>
      <c r="C10" s="1675" t="s">
        <v>3226</v>
      </c>
      <c r="D10" s="1666"/>
      <c r="E10" s="1676" t="s">
        <v>1950</v>
      </c>
      <c r="F10" s="1677" t="s">
        <v>3526</v>
      </c>
      <c r="G10" s="1744"/>
      <c r="H10" s="1745"/>
      <c r="I10" s="1666"/>
      <c r="J10" s="1693"/>
      <c r="K10" s="1773"/>
      <c r="L10" s="1722"/>
      <c r="M10" s="1722"/>
      <c r="N10" s="1693"/>
      <c r="O10" s="1694"/>
      <c r="P10" s="1693"/>
      <c r="Q10" s="1693"/>
      <c r="R10" s="1693"/>
      <c r="S10" s="1693"/>
      <c r="T10" s="1693"/>
      <c r="U10" s="1693"/>
    </row>
    <row r="11" spans="1:21" ht="42.75">
      <c r="A11" s="1696" t="s">
        <v>2004</v>
      </c>
      <c r="B11" s="1697" t="s">
        <v>3201</v>
      </c>
      <c r="C11" s="1678" t="str">
        <f>B5</f>
        <v>廊坊京御房地产开发有限公司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39" t="s">
        <v>3527</v>
      </c>
      <c r="C12" s="3540"/>
      <c r="D12" s="3541"/>
      <c r="E12" s="1698" t="s">
        <v>2065</v>
      </c>
      <c r="F12" s="3557" t="s">
        <v>2894</v>
      </c>
      <c r="G12" s="3558"/>
      <c r="H12" s="3558"/>
      <c r="I12" s="3559"/>
      <c r="J12" s="1693"/>
      <c r="K12" s="1773"/>
      <c r="L12" s="1722"/>
      <c r="M12" s="1722"/>
      <c r="N12" s="1693"/>
      <c r="O12" s="1694"/>
      <c r="P12" s="1693"/>
      <c r="Q12" s="1693"/>
      <c r="R12" s="1693"/>
      <c r="S12" s="1693"/>
      <c r="T12" s="1693"/>
      <c r="U12" s="1693"/>
    </row>
    <row r="13" spans="1:21">
      <c r="A13" s="1686" t="s">
        <v>2063</v>
      </c>
      <c r="B13" s="3539"/>
      <c r="C13" s="3540"/>
      <c r="D13" s="3541"/>
      <c r="E13" s="1698" t="s">
        <v>2065</v>
      </c>
      <c r="F13" s="3557" t="s">
        <v>2895</v>
      </c>
      <c r="G13" s="3558"/>
      <c r="H13" s="3558"/>
      <c r="I13" s="3559"/>
      <c r="J13" s="1693"/>
      <c r="K13" s="1773"/>
      <c r="L13" s="1722"/>
      <c r="M13" s="1722"/>
      <c r="N13" s="1693"/>
      <c r="O13" s="1694"/>
      <c r="P13" s="1693"/>
      <c r="Q13" s="1693"/>
      <c r="R13" s="1693"/>
      <c r="S13" s="1693"/>
      <c r="T13" s="1693"/>
      <c r="U13" s="1693"/>
    </row>
    <row r="14" spans="1:21">
      <c r="A14" s="1660" t="s">
        <v>2066</v>
      </c>
      <c r="B14" s="1698"/>
      <c r="C14" s="1844" t="s">
        <v>3528</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3216</v>
      </c>
      <c r="C16" s="1698" t="s">
        <v>1952</v>
      </c>
      <c r="D16" s="2671" t="s">
        <v>1953</v>
      </c>
      <c r="E16" s="1721" t="s">
        <v>3202</v>
      </c>
      <c r="F16" s="1721" t="s">
        <v>1679</v>
      </c>
      <c r="G16" s="1721" t="s">
        <v>35</v>
      </c>
      <c r="H16" s="1721"/>
      <c r="I16" s="1685" t="s">
        <v>1958</v>
      </c>
      <c r="J16" s="1693"/>
      <c r="K16" s="2480" t="str">
        <f>IF(D17="","",D16&amp;TEXT(D17,"yyyy年m月d日;;"))</f>
        <v>住宅2079年11月24日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v>65708</v>
      </c>
      <c r="E17" s="1699"/>
      <c r="F17" s="1699"/>
      <c r="G17" s="1699"/>
      <c r="H17" s="1699"/>
      <c r="I17" s="1699"/>
      <c r="J17" s="1693"/>
      <c r="K17" s="2479" t="str">
        <f>CONCATENATE(K16,L16,M16,N16,O16,P16,Q16,R16,S16,T16,,U16)</f>
        <v>住宅2079年11月24日</v>
      </c>
      <c r="L17" s="1722"/>
      <c r="M17" s="1722"/>
      <c r="N17" s="1693"/>
      <c r="O17" s="1694"/>
      <c r="P17" s="1693"/>
      <c r="Q17" s="1693"/>
      <c r="R17" s="1693"/>
      <c r="S17" s="1693"/>
      <c r="T17" s="1693"/>
      <c r="U17" s="1693"/>
    </row>
    <row r="18" spans="1:21">
      <c r="A18" s="1762"/>
      <c r="B18" s="1681"/>
      <c r="C18" s="1682" t="s">
        <v>1960</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61.55</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554"/>
      <c r="E20" s="3555"/>
      <c r="F20" s="3555"/>
      <c r="G20" s="3555"/>
      <c r="H20" s="3555"/>
      <c r="I20" s="3556"/>
      <c r="J20" s="1693"/>
      <c r="K20" s="1773"/>
      <c r="L20" s="1722"/>
      <c r="M20" s="1722"/>
      <c r="N20" s="1693"/>
      <c r="O20" s="1694"/>
      <c r="P20" s="1693"/>
      <c r="Q20" s="1693"/>
      <c r="R20" s="1693"/>
      <c r="S20" s="1693"/>
      <c r="T20" s="1693"/>
      <c r="U20" s="1693"/>
    </row>
    <row r="21" spans="1:21">
      <c r="A21" s="1762" t="s">
        <v>1962</v>
      </c>
      <c r="B21" s="1763" t="s">
        <v>1963</v>
      </c>
      <c r="C21" s="1758">
        <f>'数据-汇总表'!E3</f>
        <v>247106.5</v>
      </c>
      <c r="D21" s="1759" t="s">
        <v>1964</v>
      </c>
      <c r="E21" s="3544" t="s">
        <v>2002</v>
      </c>
      <c r="F21" s="3545"/>
      <c r="G21" s="3545"/>
      <c r="H21" s="3545"/>
      <c r="I21" s="3546"/>
      <c r="J21" s="1693"/>
      <c r="K21" s="1773"/>
      <c r="L21" s="1722"/>
      <c r="M21" s="1722"/>
      <c r="N21" s="1693"/>
      <c r="O21" s="1694"/>
      <c r="P21" s="1693"/>
      <c r="Q21" s="1693"/>
      <c r="R21" s="1693"/>
      <c r="S21" s="1693"/>
      <c r="T21" s="1693"/>
      <c r="U21" s="1693"/>
    </row>
    <row r="22" spans="1:21">
      <c r="A22" s="2662" t="s">
        <v>953</v>
      </c>
      <c r="B22" s="1660" t="s">
        <v>1965</v>
      </c>
      <c r="C22" s="1685">
        <f>'数据-汇总表'!D3</f>
        <v>98842.6</v>
      </c>
      <c r="D22" s="1686" t="s">
        <v>1964</v>
      </c>
      <c r="E22" s="3544" t="s">
        <v>2896</v>
      </c>
      <c r="F22" s="3545"/>
      <c r="G22" s="3545"/>
      <c r="H22" s="3545"/>
      <c r="I22" s="3546"/>
      <c r="J22" s="1693"/>
      <c r="K22" s="1773"/>
      <c r="L22" s="1722"/>
      <c r="M22" s="1722"/>
      <c r="N22" s="1693"/>
      <c r="O22" s="1694"/>
      <c r="P22" s="1693"/>
      <c r="Q22" s="1693"/>
      <c r="R22" s="1693"/>
      <c r="S22" s="1693"/>
      <c r="T22" s="1693"/>
      <c r="U22" s="1693"/>
    </row>
    <row r="23" spans="1:21" ht="29.2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7" t="s">
        <v>1970</v>
      </c>
      <c r="C24" s="3548"/>
      <c r="D24" s="3549" t="s">
        <v>1971</v>
      </c>
      <c r="E24" s="3550"/>
      <c r="F24" s="1707" t="s">
        <v>1972</v>
      </c>
      <c r="G24" s="1693"/>
      <c r="H24" s="1693"/>
      <c r="I24" s="1706"/>
      <c r="J24" s="1693"/>
      <c r="K24" s="3535"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535"/>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535"/>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521" t="s">
        <v>2005</v>
      </c>
      <c r="B31" s="1763" t="s">
        <v>2006</v>
      </c>
      <c r="C31" s="3560"/>
      <c r="D31" s="3561"/>
      <c r="E31" s="1693"/>
      <c r="F31" s="1693"/>
      <c r="G31" s="1693"/>
      <c r="H31" s="1693"/>
      <c r="I31" s="1706"/>
      <c r="J31" s="1693"/>
      <c r="K31" s="2482"/>
      <c r="L31" s="1693"/>
      <c r="M31" s="1693"/>
      <c r="N31" s="1693"/>
      <c r="O31" s="1693"/>
      <c r="P31" s="1693"/>
      <c r="Q31" s="1693"/>
      <c r="R31" s="1693"/>
      <c r="S31" s="1693"/>
      <c r="T31" s="1693"/>
      <c r="U31" s="1693"/>
    </row>
    <row r="32" spans="1:21">
      <c r="A32" s="3521"/>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21"/>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22"/>
      <c r="B34" s="1660" t="s">
        <v>2009</v>
      </c>
      <c r="C34" s="3523"/>
      <c r="D34" s="3524"/>
      <c r="E34" s="1693"/>
      <c r="F34" s="1693"/>
      <c r="G34" s="1693"/>
      <c r="H34" s="1693"/>
      <c r="I34" s="1706"/>
      <c r="J34" s="1693"/>
      <c r="K34" s="2482"/>
      <c r="L34" s="1693"/>
      <c r="M34" s="1693"/>
      <c r="N34" s="1693"/>
      <c r="O34" s="1693"/>
      <c r="P34" s="1693"/>
      <c r="Q34" s="1693"/>
      <c r="R34" s="1693"/>
      <c r="S34" s="1693"/>
      <c r="T34" s="1693"/>
      <c r="U34" s="1693"/>
    </row>
    <row r="35" spans="1:21">
      <c r="A35" s="3525" t="s">
        <v>848</v>
      </c>
      <c r="B35" s="1721"/>
      <c r="C35" s="1775" t="str">
        <f>IF(B35="场地平整","——","具体情况：")</f>
        <v>具体情况：</v>
      </c>
      <c r="D35" s="3527"/>
      <c r="E35" s="3528"/>
      <c r="F35" s="3528"/>
      <c r="G35" s="3528"/>
      <c r="H35" s="3528"/>
      <c r="I35" s="3529"/>
      <c r="J35" s="1693"/>
      <c r="K35" s="1774"/>
      <c r="L35" s="1722"/>
      <c r="M35" s="1722"/>
      <c r="N35" s="1693"/>
      <c r="O35" s="1694"/>
      <c r="P35" s="1693"/>
      <c r="Q35" s="1693"/>
      <c r="R35" s="1693"/>
      <c r="S35" s="1693"/>
      <c r="T35" s="1693"/>
      <c r="U35" s="1693"/>
    </row>
    <row r="36" spans="1:21">
      <c r="A36" s="3521"/>
      <c r="B36" s="3530" t="s">
        <v>2058</v>
      </c>
      <c r="C36" s="3531"/>
      <c r="D36" s="1791"/>
      <c r="E36" s="3532"/>
      <c r="F36" s="3532"/>
      <c r="G36" s="1686" t="str">
        <f>IF(B35="场地未平整","估价结果处理","")</f>
        <v/>
      </c>
      <c r="H36" s="3533"/>
      <c r="I36" s="3533"/>
      <c r="J36" s="1693"/>
      <c r="K36" s="1774"/>
      <c r="L36" s="1722"/>
      <c r="M36" s="1722"/>
      <c r="N36" s="1693"/>
      <c r="O36" s="1694"/>
      <c r="P36" s="1693"/>
      <c r="Q36" s="1693"/>
      <c r="R36" s="1693"/>
      <c r="S36" s="1693"/>
      <c r="T36" s="1693"/>
      <c r="U36" s="1693"/>
    </row>
    <row r="37" spans="1:21" ht="28.5">
      <c r="A37" s="3521"/>
      <c r="B37" s="3551"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21"/>
      <c r="B38" s="3552"/>
      <c r="C38" s="1668" t="s">
        <v>851</v>
      </c>
      <c r="D38" s="1790">
        <f>ROUNDDOWN(MIN(('数据-取费表'!$B$2-D37)/365,D34),1)</f>
        <v>118.4</v>
      </c>
      <c r="E38" s="1726" t="s">
        <v>852</v>
      </c>
      <c r="F38" s="1693"/>
      <c r="G38" s="1693"/>
      <c r="H38" s="1693"/>
      <c r="I38" s="1706"/>
      <c r="J38" s="1693"/>
      <c r="K38" s="1774"/>
      <c r="L38" s="1693"/>
      <c r="M38" s="1693"/>
      <c r="N38" s="1693"/>
      <c r="O38" s="1693"/>
      <c r="P38" s="1693"/>
      <c r="Q38" s="1693"/>
      <c r="R38" s="1693"/>
      <c r="S38" s="1693"/>
      <c r="T38" s="1693"/>
      <c r="U38" s="1693"/>
    </row>
    <row r="39" spans="1:21">
      <c r="A39" s="3522"/>
      <c r="B39" s="355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t="s">
        <v>3203</v>
      </c>
      <c r="C40" s="1689" t="s">
        <v>3204</v>
      </c>
      <c r="D40" s="1689" t="s">
        <v>3205</v>
      </c>
      <c r="E40" s="1689" t="s">
        <v>3206</v>
      </c>
      <c r="F40" s="1689" t="s">
        <v>3207</v>
      </c>
      <c r="G40" s="1689" t="s">
        <v>3208</v>
      </c>
      <c r="H40" s="1689"/>
      <c r="I40" s="1706"/>
      <c r="J40" s="1693"/>
      <c r="K40" s="1729">
        <f>COUNTIF(B40:H40,"——")</f>
        <v>0</v>
      </c>
      <c r="L40" s="1698" t="s">
        <v>1982</v>
      </c>
      <c r="M40" s="1695" t="s">
        <v>1983</v>
      </c>
      <c r="N40" s="1695" t="s">
        <v>1984</v>
      </c>
      <c r="O40" s="1695" t="s">
        <v>1985</v>
      </c>
      <c r="P40" s="1695" t="s">
        <v>1986</v>
      </c>
      <c r="Q40" s="1695" t="s">
        <v>1987</v>
      </c>
      <c r="R40" s="1695" t="s">
        <v>1988</v>
      </c>
      <c r="S40" s="3534" t="s">
        <v>1989</v>
      </c>
      <c r="T40" s="1730" t="str">
        <f>NUMBERSTRING(7-K40,1)&amp;"通"</f>
        <v>七通</v>
      </c>
      <c r="U40" s="1693"/>
    </row>
    <row r="41" spans="1:21" ht="28.5">
      <c r="A41" s="1662"/>
      <c r="B41" s="3526" t="s">
        <v>1723</v>
      </c>
      <c r="C41" s="3526"/>
      <c r="D41" s="3526"/>
      <c r="E41" s="3526"/>
      <c r="F41" s="1731" t="str">
        <f>C10</f>
        <v>河北省廊坊市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534"/>
      <c r="T41" s="1732" t="str">
        <f>IF(T40="一通",L41,IF(T40="二通",M41,IF(T40="三通",N41,IF(T40="四通",O41,IF(T40="五通",P41,IF(T40="六通",Q41,R41))))))</f>
        <v>通路、通电、通讯、通上水、通下水、燃气、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2897</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V13" activePane="bottomRight" state="frozen"/>
      <selection pane="topRight" activeCell="E1" sqref="E1"/>
      <selection pane="bottomLeft" activeCell="A12" sqref="A12"/>
      <selection pane="bottomRight" activeCell="AI18" sqref="A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2337</v>
      </c>
      <c r="BA2" s="2361"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98842.6</v>
      </c>
      <c r="B3" s="22">
        <f>IF(C3="否",G5-AT5,G5)</f>
        <v>247106.5</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247106.5</v>
      </c>
      <c r="H5" s="27">
        <f t="shared" ref="H5:AT5" si="0">SUM(H13:H641)</f>
        <v>247106.5</v>
      </c>
      <c r="I5" s="27">
        <f t="shared" si="0"/>
        <v>244635.43</v>
      </c>
      <c r="J5" s="27">
        <f t="shared" si="0"/>
        <v>0</v>
      </c>
      <c r="K5" s="27">
        <f t="shared" si="0"/>
        <v>2471.0700000000002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247106.5</v>
      </c>
      <c r="BA5" s="29">
        <f t="shared" si="1"/>
        <v>247106.5</v>
      </c>
      <c r="BB5" s="29">
        <f t="shared" si="1"/>
        <v>244635.43</v>
      </c>
      <c r="BC5" s="29">
        <f t="shared" si="1"/>
        <v>2471.0700000000002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98842.599999999991</v>
      </c>
      <c r="F6" s="27" t="s">
        <v>1</v>
      </c>
      <c r="G6" s="27" t="s">
        <v>2</v>
      </c>
      <c r="H6" s="33">
        <f>SUMIF(I$12:AB$12,"总值",I6:AB6)</f>
        <v>98842.599999999991</v>
      </c>
      <c r="I6" s="27">
        <f t="shared" ref="I6:AB6" si="2">ROUND($A$3*I5/$B$3,2)</f>
        <v>97854.17</v>
      </c>
      <c r="J6" s="27">
        <f t="shared" si="2"/>
        <v>0</v>
      </c>
      <c r="K6" s="27">
        <f t="shared" si="2"/>
        <v>988.43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98842.6</v>
      </c>
      <c r="AZ6" s="27" t="s">
        <v>3</v>
      </c>
      <c r="BA6" s="27">
        <f>ROUND($AY$6*BA5/$AZ$5,2)</f>
        <v>98842.6</v>
      </c>
      <c r="BB6" s="27">
        <f>ROUND($AY$6*BB5/$AZ$5,2)</f>
        <v>97854.17</v>
      </c>
      <c r="BC6" s="27">
        <f t="shared" ref="BC6:BH6" si="4">ROUND($AY$6*BC5/$AZ$5,2)</f>
        <v>988.43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3209</v>
      </c>
      <c r="J9" s="51"/>
      <c r="K9" s="3044" t="s">
        <v>3209</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t="s">
        <v>924</v>
      </c>
      <c r="L10" s="51"/>
      <c r="M10" s="3046"/>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3210</v>
      </c>
      <c r="J11" s="71"/>
      <c r="K11" s="3045" t="s">
        <v>3228</v>
      </c>
      <c r="L11" s="71"/>
      <c r="M11" s="70"/>
      <c r="N11" s="71"/>
      <c r="O11" s="70"/>
      <c r="P11" s="71"/>
      <c r="Q11" s="70"/>
      <c r="R11" s="71"/>
      <c r="S11" s="70"/>
      <c r="T11" s="71"/>
      <c r="U11" s="70"/>
      <c r="V11" s="71"/>
      <c r="W11" s="70"/>
      <c r="X11" s="71"/>
      <c r="Y11" s="70"/>
      <c r="Z11" s="71"/>
      <c r="AA11" s="70"/>
      <c r="AB11" s="71"/>
      <c r="AC11" s="55"/>
      <c r="AD11" s="2334" t="s">
        <v>2334</v>
      </c>
      <c r="AE11" s="1001"/>
      <c r="AF11" s="2334" t="s">
        <v>2334</v>
      </c>
      <c r="AG11" s="1001"/>
      <c r="AH11" s="2334" t="s">
        <v>2333</v>
      </c>
      <c r="AI11" s="2335"/>
      <c r="AJ11" s="2334" t="s">
        <v>2333</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平层住宅</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c r="B13" s="3039"/>
      <c r="C13" s="3039"/>
      <c r="D13" s="3040" t="s">
        <v>1680</v>
      </c>
      <c r="E13" s="27">
        <f t="shared" ref="E13:E20" si="6">IF($C$3="是",ROUND($A$3*G13/$B$3,2),ROUND($A$3*(G13-AT13)/$B$3,2))</f>
        <v>98842.6</v>
      </c>
      <c r="F13" s="81"/>
      <c r="G13" s="82">
        <f t="shared" ref="G13:G20" si="7">H13+AC13+AT13</f>
        <v>247106.5</v>
      </c>
      <c r="H13" s="33">
        <f t="shared" ref="H13:H20" si="8">SUMIF(I$12:AB$12,"总值",I13:AB13)</f>
        <v>247106.5</v>
      </c>
      <c r="I13" s="3043">
        <f>A3*2.5-K13</f>
        <v>244635.43</v>
      </c>
      <c r="J13" s="3043"/>
      <c r="K13" s="3043">
        <f>ROUND(A3*2.5*0.01,2)</f>
        <v>2471.0700000000002</v>
      </c>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5">
        <f t="shared" ref="AY13:AY20" si="11">ROUND($AY$6*AZ13/$AZ$5,2)</f>
        <v>98842.6</v>
      </c>
      <c r="AZ13" s="27">
        <f t="shared" ref="AZ13:AZ20" si="12">BA13+BL13</f>
        <v>247106.5</v>
      </c>
      <c r="BA13" s="27">
        <f t="shared" ref="BA13:BA20" si="13">SUM(BB13:BK13)</f>
        <v>247106.5</v>
      </c>
      <c r="BB13" s="27">
        <f t="shared" ref="BB13:BB20" si="14">IF($D13="是",I13-J13,0)</f>
        <v>244635.43</v>
      </c>
      <c r="BC13" s="27">
        <f t="shared" ref="BC13:BC20" si="15">IF($D13="是",K13-L13,0)</f>
        <v>2471.0700000000002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2" t="s">
        <v>0</v>
      </c>
      <c r="B1" s="3562" t="s">
        <v>4</v>
      </c>
      <c r="C1" s="3562" t="s">
        <v>5</v>
      </c>
      <c r="D1" s="3563" t="s">
        <v>40</v>
      </c>
      <c r="E1" s="3563" t="s">
        <v>41</v>
      </c>
      <c r="F1" s="3563"/>
      <c r="G1" s="3563"/>
      <c r="H1" s="3563"/>
      <c r="I1" s="3563"/>
      <c r="J1" s="3563"/>
      <c r="K1" s="3563"/>
      <c r="L1" s="3563"/>
      <c r="M1" s="3563"/>
    </row>
    <row r="2" spans="1:13" ht="27" customHeight="1">
      <c r="A2" s="3562"/>
      <c r="B2" s="3562"/>
      <c r="C2" s="3562"/>
      <c r="D2" s="3563"/>
      <c r="E2" s="3563" t="s">
        <v>24</v>
      </c>
      <c r="F2" s="3563" t="s">
        <v>25</v>
      </c>
      <c r="G2" s="3563"/>
      <c r="H2" s="3563"/>
      <c r="I2" s="3563"/>
      <c r="J2" s="3563" t="s">
        <v>26</v>
      </c>
      <c r="K2" s="3563"/>
      <c r="L2" s="3563"/>
      <c r="M2" s="3563"/>
    </row>
    <row r="3" spans="1:13" ht="28.5">
      <c r="A3" s="3562"/>
      <c r="B3" s="3562"/>
      <c r="C3" s="3562"/>
      <c r="D3" s="3563"/>
      <c r="E3" s="35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3" t="s">
        <v>42</v>
      </c>
      <c r="B9" s="3563"/>
      <c r="C9" s="35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73" t="s">
        <v>203</v>
      </c>
      <c r="B2" s="3573"/>
      <c r="C2" s="3573"/>
      <c r="D2" s="1975" t="s">
        <v>204</v>
      </c>
      <c r="E2" s="106" t="s">
        <v>205</v>
      </c>
      <c r="F2" s="1984"/>
      <c r="G2" s="1197"/>
      <c r="H2" s="1198"/>
      <c r="I2" s="1199" t="s">
        <v>858</v>
      </c>
      <c r="J2" s="1984"/>
      <c r="K2" s="1984"/>
      <c r="L2" s="1984"/>
    </row>
    <row r="3" spans="1:16" ht="15.75" thickBot="1">
      <c r="A3" s="3574" t="s">
        <v>206</v>
      </c>
      <c r="B3" s="3574"/>
      <c r="C3" s="3574"/>
      <c r="D3" s="107">
        <f>'数据-基础表'!AY6</f>
        <v>98842.6</v>
      </c>
      <c r="E3" s="107">
        <f>'数据-基础表'!AZ5</f>
        <v>247106.5</v>
      </c>
      <c r="F3" s="1984"/>
      <c r="G3" s="280" t="s">
        <v>859</v>
      </c>
      <c r="H3" s="275" t="s">
        <v>860</v>
      </c>
      <c r="I3" s="1976">
        <f>ROUND('数据-基础表'!B3/'数据-基础表'!A3,2)</f>
        <v>2.5</v>
      </c>
      <c r="J3" s="1984"/>
      <c r="K3" s="1984"/>
      <c r="L3" s="1984"/>
    </row>
    <row r="4" spans="1:16" ht="15">
      <c r="A4" s="3575"/>
      <c r="B4" s="3576"/>
      <c r="C4" s="3577"/>
      <c r="D4" s="108" t="s">
        <v>204</v>
      </c>
      <c r="E4" s="109" t="s">
        <v>205</v>
      </c>
      <c r="F4" s="1984"/>
      <c r="G4" s="1200"/>
      <c r="H4" s="275" t="s">
        <v>861</v>
      </c>
      <c r="I4" s="1976">
        <f>ROUND(SUMIF('数据-基础表'!I9:AS9,"地上",'数据-基础表'!I5:AS5)/'数据-基础表'!A3,2)</f>
        <v>2.5</v>
      </c>
      <c r="J4" s="1984"/>
      <c r="K4" s="1984"/>
      <c r="L4" s="1984"/>
    </row>
    <row r="5" spans="1:16">
      <c r="A5" s="110" t="s">
        <v>207</v>
      </c>
      <c r="B5" s="3578" t="s">
        <v>230</v>
      </c>
      <c r="C5" s="3578"/>
      <c r="D5" s="111">
        <f>ROUND($D$3*E5/$E$3,2)</f>
        <v>98842.6</v>
      </c>
      <c r="E5" s="112">
        <f>SUMIF('数据-基础表'!$11:$11,"住宅",'数据-基础表'!$5:$5)</f>
        <v>247106.5</v>
      </c>
      <c r="F5" s="1984"/>
      <c r="G5" s="280" t="s">
        <v>862</v>
      </c>
      <c r="H5" s="275" t="s">
        <v>860</v>
      </c>
      <c r="I5" s="1976">
        <f>ROUND(E31/D31,2)</f>
        <v>2.5</v>
      </c>
      <c r="J5" s="1984"/>
      <c r="K5" s="1984"/>
      <c r="L5" s="1984"/>
    </row>
    <row r="6" spans="1:16" ht="15" thickBot="1">
      <c r="A6" s="113"/>
      <c r="B6" s="3578" t="s">
        <v>208</v>
      </c>
      <c r="C6" s="3578"/>
      <c r="D6" s="111">
        <f>ROUND($D$3*E6/$E$3,2)</f>
        <v>0</v>
      </c>
      <c r="E6" s="112">
        <f>E3-E5</f>
        <v>0</v>
      </c>
      <c r="F6" s="1984"/>
      <c r="G6" s="1200"/>
      <c r="H6" s="275" t="s">
        <v>861</v>
      </c>
      <c r="I6" s="1976">
        <f>ROUND(F31/D31,2)</f>
        <v>2.5</v>
      </c>
      <c r="J6" s="1984"/>
      <c r="K6" s="1984"/>
      <c r="L6" s="1984"/>
    </row>
    <row r="7" spans="1:16" ht="15">
      <c r="A7" s="3570"/>
      <c r="B7" s="3571"/>
      <c r="C7" s="3572"/>
      <c r="D7" s="108" t="s">
        <v>204</v>
      </c>
      <c r="E7" s="114" t="s">
        <v>231</v>
      </c>
      <c r="F7" s="1984"/>
      <c r="G7" s="1155" t="s">
        <v>1647</v>
      </c>
      <c r="H7" s="1156"/>
      <c r="I7" s="1846"/>
      <c r="J7" s="1984"/>
      <c r="K7" s="1984"/>
      <c r="L7" s="1984"/>
    </row>
    <row r="8" spans="1:16">
      <c r="A8" s="110" t="s">
        <v>209</v>
      </c>
      <c r="B8" s="115" t="s">
        <v>210</v>
      </c>
      <c r="C8" s="111" t="s">
        <v>211</v>
      </c>
      <c r="D8" s="111">
        <f t="shared" ref="D8:D15" si="0">ROUND($D$3*E8/$E$3,2)</f>
        <v>98842.6</v>
      </c>
      <c r="E8" s="116">
        <f>SUMIF('数据-基础表'!BB10:BK10,"地上",'数据-基础表'!BB5:BK5)</f>
        <v>247106.5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98842.6</v>
      </c>
      <c r="E16" s="120">
        <f>SUM(E8:E15)</f>
        <v>247106.5</v>
      </c>
      <c r="F16" s="1984"/>
      <c r="G16" s="1986"/>
      <c r="H16" s="967" t="s">
        <v>219</v>
      </c>
      <c r="I16" s="968"/>
      <c r="J16" s="1984"/>
      <c r="K16" s="3564" t="s">
        <v>2572</v>
      </c>
      <c r="L16" s="3565"/>
      <c r="M16" s="3565"/>
      <c r="N16" s="3565"/>
      <c r="O16" s="3565"/>
      <c r="P16" s="3566"/>
    </row>
    <row r="17" spans="1:19" ht="15">
      <c r="A17" s="121" t="s">
        <v>216</v>
      </c>
      <c r="B17" s="122" t="s">
        <v>217</v>
      </c>
      <c r="C17" s="2298" t="s">
        <v>2317</v>
      </c>
      <c r="D17" s="108" t="s">
        <v>204</v>
      </c>
      <c r="E17" s="124" t="s">
        <v>205</v>
      </c>
      <c r="F17" s="125"/>
      <c r="G17" s="1365"/>
      <c r="H17" s="969" t="s">
        <v>218</v>
      </c>
      <c r="I17" s="970" t="s">
        <v>2316</v>
      </c>
      <c r="J17" s="1984"/>
      <c r="K17" s="3567" t="s">
        <v>2573</v>
      </c>
      <c r="L17" s="3568"/>
      <c r="M17" s="3569"/>
      <c r="N17" s="3567" t="s">
        <v>2574</v>
      </c>
      <c r="O17" s="3568"/>
      <c r="P17" s="3569"/>
      <c r="R17" s="2299" t="s">
        <v>2315</v>
      </c>
      <c r="S17" s="144"/>
    </row>
    <row r="18" spans="1:19" ht="15">
      <c r="A18" s="117"/>
      <c r="B18" s="128"/>
      <c r="C18" s="129"/>
      <c r="D18" s="2667"/>
      <c r="E18" s="130" t="s">
        <v>220</v>
      </c>
      <c r="F18" s="131" t="s">
        <v>221</v>
      </c>
      <c r="G18" s="1366" t="s">
        <v>222</v>
      </c>
      <c r="H18" s="971" t="s">
        <v>223</v>
      </c>
      <c r="I18" s="972" t="s">
        <v>224</v>
      </c>
      <c r="J18" s="1984"/>
      <c r="K18" s="2629" t="s">
        <v>2575</v>
      </c>
      <c r="L18" s="2630" t="s">
        <v>2576</v>
      </c>
      <c r="M18" s="2631" t="s">
        <v>2577</v>
      </c>
      <c r="N18" s="2629" t="s">
        <v>2575</v>
      </c>
      <c r="O18" s="2630" t="s">
        <v>2576</v>
      </c>
      <c r="P18" s="2631" t="s">
        <v>2577</v>
      </c>
      <c r="R18" s="2300" t="s">
        <v>2313</v>
      </c>
      <c r="S18" s="2300" t="s">
        <v>2314</v>
      </c>
    </row>
    <row r="19" spans="1:19">
      <c r="A19" s="133"/>
      <c r="B19" s="115" t="s">
        <v>225</v>
      </c>
      <c r="C19" s="3050" t="s">
        <v>3211</v>
      </c>
      <c r="D19" s="111">
        <f t="shared" ref="D19:D26" si="1">ROUND($D$3*E19/$E$3,2)</f>
        <v>97854.17</v>
      </c>
      <c r="E19" s="134">
        <f t="shared" ref="E19:E26" si="2">SUM(F19:G19)</f>
        <v>244635.43</v>
      </c>
      <c r="F19" s="135">
        <f>'数据-基础表'!I5</f>
        <v>244635.43</v>
      </c>
      <c r="G19" s="1367"/>
      <c r="H19" s="973">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97854.17</v>
      </c>
      <c r="S19" s="2301">
        <f t="shared" si="5"/>
        <v>244635.43</v>
      </c>
    </row>
    <row r="20" spans="1:19">
      <c r="A20" s="138"/>
      <c r="B20" s="115" t="s">
        <v>226</v>
      </c>
      <c r="C20" s="3050" t="s">
        <v>3230</v>
      </c>
      <c r="D20" s="111">
        <f t="shared" si="1"/>
        <v>988.43</v>
      </c>
      <c r="E20" s="134">
        <f t="shared" si="2"/>
        <v>2471.0700000000002</v>
      </c>
      <c r="F20" s="135">
        <f>'数据-基础表'!K5</f>
        <v>2471.0700000000002</v>
      </c>
      <c r="G20" s="1367"/>
      <c r="H20" s="973">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988.43</v>
      </c>
      <c r="S20" s="2301">
        <f t="shared" si="5"/>
        <v>2471.0700000000002</v>
      </c>
    </row>
    <row r="21" spans="1:19">
      <c r="A21" s="138"/>
      <c r="B21" s="115" t="s">
        <v>226</v>
      </c>
      <c r="C21" s="3050"/>
      <c r="D21" s="111">
        <f t="shared" si="1"/>
        <v>0</v>
      </c>
      <c r="E21" s="134">
        <f t="shared" si="2"/>
        <v>0</v>
      </c>
      <c r="F21" s="135"/>
      <c r="G21" s="1367"/>
      <c r="H21" s="973">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98842.599999999991</v>
      </c>
      <c r="E27" s="143">
        <f>IF(SUM(E19:E26)='数据-基础表'!BA5,SUM(E19:E26),IF(F27="地上面积有误","面积有误","地下面积有误"))</f>
        <v>247106.5</v>
      </c>
      <c r="F27" s="134">
        <f>IF(SUM(F19:F26)=E8,SUM(F19:F26),"地上面积有误")</f>
        <v>247106.5</v>
      </c>
      <c r="G27" s="112">
        <f>SUM(G19:G26)</f>
        <v>0</v>
      </c>
      <c r="H27" s="974">
        <f>SUM(H19:H26)</f>
        <v>0</v>
      </c>
      <c r="I27" s="975">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98842.599999999991</v>
      </c>
      <c r="S27" s="275">
        <f>IF(SUM(S19:S26)=$E$3,SUM(S19:S26),SUM(S19:S26)&amp;"误差"&amp;ROUND(SUM(S19:S26)-E3,2))</f>
        <v>247106.5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2326</v>
      </c>
      <c r="D31" s="1371">
        <f>D27+D30</f>
        <v>98842.599999999991</v>
      </c>
      <c r="E31" s="1371">
        <f>E27+E30</f>
        <v>247106.5</v>
      </c>
      <c r="F31" s="1372">
        <f>F27+F30</f>
        <v>247106.5</v>
      </c>
      <c r="G31" s="1373">
        <f>G27+G30</f>
        <v>0</v>
      </c>
      <c r="H31" s="1984"/>
      <c r="I31" s="1984"/>
      <c r="J31" s="1984"/>
      <c r="K31" s="1984"/>
      <c r="L31" s="1984"/>
    </row>
    <row r="32" spans="1:19">
      <c r="A32" s="1984"/>
      <c r="B32" s="2363" t="s">
        <v>2325</v>
      </c>
      <c r="C32" s="2672"/>
      <c r="D32" s="1200"/>
      <c r="E32" s="1200">
        <f>SUMIF(C19:C26,"*住宅*",E19:E26)</f>
        <v>247106.5</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C65" sqref="C6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43242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2833</v>
      </c>
      <c r="O5" s="163" t="s">
        <v>246</v>
      </c>
      <c r="P5" s="165" t="s">
        <v>247</v>
      </c>
      <c r="Q5" s="166" t="s">
        <v>248</v>
      </c>
      <c r="R5" s="167" t="s">
        <v>249</v>
      </c>
      <c r="S5" s="2645" t="s">
        <v>2578</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65708</v>
      </c>
      <c r="F6" s="174">
        <f>SUMIF(项目基本情况!D$15:I$15,C6,项目基本情况!D$19:I$19)</f>
        <v>61.55</v>
      </c>
      <c r="G6" s="175">
        <f>IF(ISERROR(ROUND(POWER(1+H6,D6-F6)*(POWER(1+H6,F6)-1)/(POWER(1+H6,D6)-1),3)),0,ROUND(POWER(1+H6,D6-F6)*(POWER(1+H6,F6)-1)/(POWER(1+H6,D6)-1),3))</f>
        <v>0.97299999999999998</v>
      </c>
      <c r="H6" s="3051">
        <v>0.04</v>
      </c>
      <c r="I6" s="3051">
        <v>4.4999999999999998E-2</v>
      </c>
      <c r="J6" s="176">
        <v>8.5000000000000006E-2</v>
      </c>
      <c r="K6" s="179">
        <f>SUMIF('数据-汇总表'!C$19:C$33,'数据-取费表'!A6,'数据-汇总表'!E$19:E$33)</f>
        <v>244635.43</v>
      </c>
      <c r="L6" s="3052">
        <v>2800</v>
      </c>
      <c r="M6" s="177">
        <f t="shared" ref="M6:M14" si="0">ROUND(K6*L6/10000,0)</f>
        <v>68498</v>
      </c>
      <c r="N6" s="3053">
        <v>0</v>
      </c>
      <c r="O6" s="177">
        <f>IF($N$5="成新度","——",ROUND(M6*N6,0))</f>
        <v>0</v>
      </c>
      <c r="P6" s="178">
        <f>IF($N$5="成新度","——",M6-O6)</f>
        <v>68498</v>
      </c>
      <c r="Q6" s="3054">
        <v>0.1</v>
      </c>
      <c r="R6" s="179">
        <f>SUMIF('数据-汇总表'!C$19:C$33,A6,'数据-汇总表'!R$19:R$33)</f>
        <v>97854.17</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v>0.02</v>
      </c>
      <c r="AL6" s="190">
        <v>2E-3</v>
      </c>
      <c r="AM6" s="2414">
        <v>0.02</v>
      </c>
      <c r="AN6" s="2416"/>
      <c r="AO6" s="2000"/>
      <c r="AP6" s="1203">
        <f>ROUND(1-1/(1+H6)^F6,3)</f>
        <v>0.91100000000000003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回购住宅</v>
      </c>
      <c r="B7" s="2337" t="str">
        <f t="shared" ref="B7:B13" si="1">IF(A7=0,"","经营性")</f>
        <v>经营性</v>
      </c>
      <c r="C7" s="173" t="s">
        <v>924</v>
      </c>
      <c r="D7" s="2308">
        <f>SUMIF(项目基本情况!D$15:I$15,C7,项目基本情况!D$18:I$18)</f>
        <v>70</v>
      </c>
      <c r="E7" s="2309">
        <f>IF(B7="","",SUMIF(项目基本情况!D$15:I$15,C7,项目基本情况!D$17:I$17))</f>
        <v>65708</v>
      </c>
      <c r="F7" s="174">
        <f>SUMIF(项目基本情况!D$15:I$15,C7,项目基本情况!D$19:I$19)</f>
        <v>61.55</v>
      </c>
      <c r="G7" s="175">
        <f t="shared" ref="G7:G11" si="2">IF(ISERROR(ROUND(POWER(1+H7,D7-F7)*(POWER(1+H7,F7)-1)/(POWER(1+H7,D7)-1),3)),0,ROUND(POWER(1+H7,D7-F7)*(POWER(1+H7,F7)-1)/(POWER(1+H7,D7)-1),3))</f>
        <v>0.97299999999999998</v>
      </c>
      <c r="H7" s="3051">
        <v>0.04</v>
      </c>
      <c r="I7" s="3051">
        <v>4.4999999999999998E-2</v>
      </c>
      <c r="J7" s="176">
        <v>8.5000000000000006E-2</v>
      </c>
      <c r="K7" s="179">
        <f>SUMIF('数据-汇总表'!C$19:C$33,'数据-取费表'!A7,'数据-汇总表'!E$19:E$33)</f>
        <v>2471.0700000000002</v>
      </c>
      <c r="L7" s="3052">
        <v>2800</v>
      </c>
      <c r="M7" s="177">
        <f t="shared" si="0"/>
        <v>692</v>
      </c>
      <c r="N7" s="3053">
        <v>0</v>
      </c>
      <c r="O7" s="177">
        <f t="shared" ref="O7:O14" si="3">IF($N$5="成新度","——",ROUND(M7*N7,0))</f>
        <v>0</v>
      </c>
      <c r="P7" s="178">
        <f t="shared" ref="P7:P14" si="4">IF($N$5="成新度","——",M7-O7)</f>
        <v>692</v>
      </c>
      <c r="Q7" s="3054">
        <v>0.03</v>
      </c>
      <c r="R7" s="179">
        <f>SUMIF('数据-汇总表'!C$19:C$33,A7,'数据-汇总表'!R$19:R$33)</f>
        <v>988.43</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1" t="e">
        <f t="shared" ref="AE7:AE13" ca="1" si="6">IF(AN7="",0,SUMIF(INDIRECT("'"&amp;AN7&amp;"'"&amp;"!E:E"),$AE$5,INDIRECT("'"&amp;AN7&amp;"'"&amp;"!F:F")))</f>
        <v>#N/A</v>
      </c>
      <c r="AF7" s="141"/>
      <c r="AG7" s="1212">
        <f t="shared" ref="AG7:AG13" si="7">IF(AF7="",0,AE7-AF7)</f>
        <v>0</v>
      </c>
      <c r="AH7" s="141"/>
      <c r="AI7" s="187">
        <v>365</v>
      </c>
      <c r="AJ7" s="188"/>
      <c r="AK7" s="189">
        <v>0.02</v>
      </c>
      <c r="AL7" s="190">
        <v>2E-3</v>
      </c>
      <c r="AM7" s="2414">
        <v>0.02</v>
      </c>
      <c r="AN7" s="2416" t="s">
        <v>3217</v>
      </c>
      <c r="AO7" s="2000"/>
      <c r="AP7" s="1203">
        <f t="shared" ref="AP7:AP13" si="8">ROUND(1-1/(1+H7)^F7,3)</f>
        <v>0.91100000000000003</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414"/>
      <c r="AN8" s="2416"/>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193">
        <v>2800</v>
      </c>
      <c r="M14" s="177">
        <f t="shared" si="0"/>
        <v>0</v>
      </c>
      <c r="N14" s="194">
        <v>0</v>
      </c>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0.97299999999999998</v>
      </c>
      <c r="H16" s="203">
        <f>ROUND(SUMPRODUCT(H6:H13,K6:K13)/SUMPRODUCT((H6:H13&gt;0)*(K6:K13)),3)</f>
        <v>0.04</v>
      </c>
      <c r="I16" s="204"/>
      <c r="J16" s="204"/>
      <c r="K16" s="205">
        <f>SUM(K6:K15)</f>
        <v>247106.5</v>
      </c>
      <c r="L16" s="206">
        <f>ROUND(M16*10000/SUM(K6:K14),0)</f>
        <v>2800</v>
      </c>
      <c r="M16" s="206">
        <f>SUM(M6:M14)</f>
        <v>69190</v>
      </c>
      <c r="N16" s="207">
        <f>ROUND(SUMPRODUCT(M6:M14,N6:N14)/M16,3)</f>
        <v>0</v>
      </c>
      <c r="O16" s="206">
        <f>SUM(O6:O14)</f>
        <v>0</v>
      </c>
      <c r="P16" s="206">
        <f>SUM(P6:P14)</f>
        <v>69190</v>
      </c>
      <c r="Q16" s="208">
        <f>ROUND(SUMPRODUCT(Q6:Q13,K6:K13)/SUMPRODUCT((Q6:Q13&gt;0)*(K6:K13)),2)</f>
        <v>0.1</v>
      </c>
      <c r="R16" s="2311">
        <f>SUM(R6:R13)</f>
        <v>98842.599999999991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0.91100000000000003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2342</v>
      </c>
      <c r="B27" s="227">
        <v>33.200000000000003</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2343</v>
      </c>
      <c r="B28" s="229">
        <v>21.6</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2341</v>
      </c>
      <c r="B29" s="232">
        <f>'剩余法-待开发'!H20</f>
        <v>0</v>
      </c>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2899</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2901</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2461</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2462</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2903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2907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2909</v>
      </c>
      <c r="D53" s="3102"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2911</v>
      </c>
      <c r="B54" s="186"/>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2912</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2913</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2914</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2915</v>
      </c>
      <c r="B58" s="186"/>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2916</v>
      </c>
      <c r="B59" s="3487">
        <v>6</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2917</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2920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79" t="s">
        <v>1665</v>
      </c>
      <c r="B1" s="3580"/>
      <c r="C1" s="3580"/>
      <c r="D1" s="3580"/>
      <c r="E1" s="3580"/>
      <c r="F1" s="3580"/>
      <c r="G1" s="3580"/>
      <c r="H1" s="2002"/>
      <c r="I1" s="2003"/>
      <c r="J1" s="2004"/>
      <c r="K1" s="2002"/>
      <c r="L1" s="2003"/>
      <c r="M1" s="2004"/>
      <c r="N1" s="2002"/>
      <c r="O1" s="2003"/>
      <c r="P1" s="2004"/>
      <c r="Q1" s="2005"/>
      <c r="R1" s="2006"/>
    </row>
    <row r="2" spans="1:18" ht="14.25" thickBot="1">
      <c r="A2" s="1220"/>
      <c r="B2" s="1221"/>
      <c r="C2" s="1222" t="s">
        <v>1666</v>
      </c>
      <c r="D2" s="1223"/>
      <c r="E2" s="1224"/>
      <c r="F2" s="1225"/>
      <c r="G2" s="1222" t="s">
        <v>1667</v>
      </c>
      <c r="H2" s="2008"/>
      <c r="I2" s="2008"/>
      <c r="J2" s="2008"/>
      <c r="K2" s="2008"/>
      <c r="L2" s="2008"/>
      <c r="M2" s="2008"/>
      <c r="N2" s="2008"/>
      <c r="O2" s="2008"/>
      <c r="P2" s="2008"/>
      <c r="Q2" s="2008"/>
      <c r="R2" s="2008"/>
    </row>
    <row r="3" spans="1:18" ht="54">
      <c r="A3" s="1226" t="s">
        <v>1668</v>
      </c>
      <c r="B3" s="1227" t="s">
        <v>1655</v>
      </c>
      <c r="C3" s="3106" t="s">
        <v>2927</v>
      </c>
      <c r="D3" s="2009"/>
      <c r="E3" s="1228" t="s">
        <v>1668</v>
      </c>
      <c r="F3" s="1229" t="s">
        <v>1656</v>
      </c>
      <c r="G3" s="3110" t="s">
        <v>2926</v>
      </c>
      <c r="H3" s="2008"/>
      <c r="I3" s="2008"/>
      <c r="J3" s="2008"/>
      <c r="K3" s="2008"/>
      <c r="L3" s="2008"/>
      <c r="M3" s="2008"/>
      <c r="N3" s="2008"/>
      <c r="O3" s="2008"/>
      <c r="P3" s="2008"/>
      <c r="Q3" s="2008"/>
      <c r="R3" s="2008"/>
    </row>
    <row r="4" spans="1:18" ht="41.25">
      <c r="A4" s="1228"/>
      <c r="B4" s="1230" t="s">
        <v>1669</v>
      </c>
      <c r="C4" s="3107" t="s">
        <v>2928</v>
      </c>
      <c r="D4" s="2009"/>
      <c r="E4" s="1231"/>
      <c r="F4" s="1232" t="s">
        <v>1670</v>
      </c>
      <c r="G4" s="3108" t="s">
        <v>2923</v>
      </c>
      <c r="H4" s="2008"/>
      <c r="I4" s="2008"/>
      <c r="J4" s="2008"/>
      <c r="K4" s="2008"/>
      <c r="L4" s="2008"/>
      <c r="M4" s="2008"/>
      <c r="N4" s="2008"/>
      <c r="O4" s="2008"/>
      <c r="P4" s="2008"/>
      <c r="Q4" s="2008"/>
      <c r="R4" s="2008"/>
    </row>
    <row r="5" spans="1:18" ht="41.25">
      <c r="A5" s="1228"/>
      <c r="B5" s="1230" t="s">
        <v>1671</v>
      </c>
      <c r="C5" s="3107" t="s">
        <v>2929</v>
      </c>
      <c r="D5" s="2009"/>
      <c r="E5" s="1231"/>
      <c r="F5" s="1230" t="s">
        <v>2552</v>
      </c>
      <c r="G5" s="3108" t="s">
        <v>2924</v>
      </c>
      <c r="H5" s="2008"/>
      <c r="I5" s="2008"/>
      <c r="J5" s="2008"/>
      <c r="K5" s="2008"/>
      <c r="L5" s="2008"/>
      <c r="M5" s="2008"/>
      <c r="N5" s="2008"/>
      <c r="O5" s="2008"/>
      <c r="P5" s="2008"/>
      <c r="Q5" s="2008"/>
      <c r="R5" s="2008"/>
    </row>
    <row r="6" spans="1:18" ht="54">
      <c r="A6" s="1228"/>
      <c r="B6" s="1230" t="s">
        <v>1657</v>
      </c>
      <c r="C6" s="3108" t="s">
        <v>2923</v>
      </c>
      <c r="D6" s="2009"/>
      <c r="E6" s="1231"/>
      <c r="F6" s="1230" t="s">
        <v>2553</v>
      </c>
      <c r="G6" s="3108" t="s">
        <v>2921</v>
      </c>
      <c r="H6" s="2008"/>
      <c r="I6" s="2008"/>
      <c r="J6" s="2008"/>
      <c r="K6" s="2008"/>
      <c r="L6" s="2008"/>
      <c r="M6" s="2008"/>
      <c r="N6" s="2008"/>
      <c r="O6" s="2008"/>
      <c r="P6" s="2008"/>
      <c r="Q6" s="2008"/>
      <c r="R6" s="2008"/>
    </row>
    <row r="7" spans="1:18" ht="41.25" thickBot="1">
      <c r="A7" s="1228"/>
      <c r="B7" s="1230" t="s">
        <v>2552</v>
      </c>
      <c r="C7" s="3108" t="s">
        <v>2924</v>
      </c>
      <c r="D7" s="2010"/>
      <c r="E7" s="1233"/>
      <c r="F7" s="1234" t="s">
        <v>1672</v>
      </c>
      <c r="G7" s="3111" t="s">
        <v>2925</v>
      </c>
      <c r="H7" s="2008"/>
      <c r="I7" s="2008"/>
      <c r="J7" s="2008"/>
      <c r="K7" s="2008"/>
      <c r="L7" s="2008"/>
      <c r="M7" s="2008"/>
      <c r="N7" s="2008"/>
      <c r="O7" s="2008"/>
      <c r="P7" s="2008"/>
      <c r="Q7" s="2008"/>
      <c r="R7" s="2008"/>
    </row>
    <row r="8" spans="1:18" ht="27">
      <c r="A8" s="1228"/>
      <c r="B8" s="1230" t="s">
        <v>2553</v>
      </c>
      <c r="C8" s="3108" t="s">
        <v>2921</v>
      </c>
      <c r="D8" s="2010"/>
      <c r="E8" s="2010"/>
      <c r="F8" s="1553"/>
      <c r="G8" s="1553"/>
      <c r="H8" s="2008"/>
      <c r="I8" s="2008"/>
      <c r="J8" s="2008"/>
      <c r="K8" s="2008"/>
      <c r="L8" s="2008"/>
      <c r="M8" s="2008"/>
      <c r="N8" s="2008"/>
      <c r="O8" s="2008"/>
      <c r="P8" s="2008"/>
      <c r="Q8" s="2008"/>
      <c r="R8" s="2008"/>
    </row>
    <row r="9" spans="1:18" ht="40.5">
      <c r="A9" s="1228"/>
      <c r="B9" s="1230" t="s">
        <v>1658</v>
      </c>
      <c r="C9" s="3107" t="s">
        <v>2922</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3"/>
      <c r="E13" s="2602"/>
      <c r="F13" s="2602"/>
      <c r="G13" s="2602"/>
    </row>
    <row r="14" spans="1:18" ht="14.25" thickBot="1">
      <c r="A14" s="1237"/>
      <c r="B14" s="1238"/>
      <c r="C14" s="1239" t="s">
        <v>1666</v>
      </c>
      <c r="D14" s="2009"/>
      <c r="E14" s="1240"/>
      <c r="F14" s="1240"/>
      <c r="G14" s="1222" t="s">
        <v>1667</v>
      </c>
    </row>
    <row r="15" spans="1:18" ht="54">
      <c r="A15" s="2612" t="s">
        <v>1659</v>
      </c>
      <c r="B15" s="1241" t="s">
        <v>1655</v>
      </c>
      <c r="C15" s="1242" t="str">
        <f>C3</f>
        <v>估价对象周边居住用地比例、居住小区规模和社区发展完善程度，综合评价居住社区成熟度一般</v>
      </c>
      <c r="D15" s="2009"/>
      <c r="E15" s="2609" t="s">
        <v>1660</v>
      </c>
      <c r="F15" s="1241" t="s">
        <v>1675</v>
      </c>
      <c r="G15" s="1243" t="str">
        <f>G3</f>
        <v>估价对象位于XX开发区，园区建设成熟度XX，产业集聚程度XX</v>
      </c>
    </row>
    <row r="16" spans="1:18" ht="40.5">
      <c r="A16" s="2613"/>
      <c r="B16" s="1244" t="s">
        <v>1669</v>
      </c>
      <c r="C16" s="1245" t="str">
        <f>C4</f>
        <v>估价对象位于XX商圈，周边商业氛围成熟，人流量大，商业繁华度好</v>
      </c>
      <c r="D16" s="2009"/>
      <c r="E16" s="2610"/>
      <c r="F16" s="1246" t="s">
        <v>1670</v>
      </c>
      <c r="G16" s="1004" t="str">
        <f>G4</f>
        <v>估价对象周边道路状况、公共交通通达情况、停车便捷程度，综合评价交通便捷度较好</v>
      </c>
    </row>
    <row r="17" spans="1:7" ht="40.5">
      <c r="A17" s="2613"/>
      <c r="B17" s="1244" t="s">
        <v>1671</v>
      </c>
      <c r="C17" s="1245" t="str">
        <f>C5</f>
        <v>估价对象位于XX商圈，周边办公楼项目较多，入驻率高，办公集聚程度较好</v>
      </c>
      <c r="D17" s="2010"/>
      <c r="E17" s="2610"/>
      <c r="F17" s="1246" t="s">
        <v>1676</v>
      </c>
      <c r="G17" s="2819"/>
    </row>
    <row r="18" spans="1:7" ht="54">
      <c r="A18" s="2613"/>
      <c r="B18" s="1246" t="s">
        <v>1657</v>
      </c>
      <c r="C18" s="1004" t="str">
        <f>C6</f>
        <v>估价对象周边道路状况、公共交通通达情况、停车便捷程度，综合评价交通便捷度较好</v>
      </c>
      <c r="D18" s="2010"/>
      <c r="E18" s="2610"/>
      <c r="F18" s="1246" t="s">
        <v>1672</v>
      </c>
      <c r="G18" s="1004" t="str">
        <f>G7</f>
        <v>该园区内是否有污染型企业，绿化情况，卫生条件，整体环境状况判断</v>
      </c>
    </row>
    <row r="19" spans="1:7" ht="27">
      <c r="A19" s="2613"/>
      <c r="B19" s="1246" t="s">
        <v>1661</v>
      </c>
      <c r="C19" s="2819"/>
      <c r="D19" s="2009"/>
      <c r="E19" s="2610"/>
      <c r="F19" s="1230" t="s">
        <v>2552</v>
      </c>
      <c r="G19" s="1004" t="str">
        <f>G5</f>
        <v>估价对象所在区域公共配套设施齐备情况</v>
      </c>
    </row>
    <row r="20" spans="1:7" ht="40.5">
      <c r="A20" s="2613"/>
      <c r="B20" s="1246" t="s">
        <v>1662</v>
      </c>
      <c r="C20" s="1245" t="str">
        <f>C9</f>
        <v>区域自然环境：；人文环境；综合评价环境状况一般</v>
      </c>
      <c r="D20" s="2010"/>
      <c r="E20" s="2610"/>
      <c r="F20" s="1230" t="s">
        <v>2553</v>
      </c>
      <c r="G20" s="1004" t="str">
        <f>G6</f>
        <v>估价对象所在区域基础设施水平</v>
      </c>
    </row>
    <row r="21" spans="1:7" ht="27">
      <c r="A21" s="2613"/>
      <c r="B21" s="1230" t="s">
        <v>2552</v>
      </c>
      <c r="C21" s="1004" t="str">
        <f>C7</f>
        <v>估价对象所在区域公共配套设施齐备情况</v>
      </c>
      <c r="D21" s="2009"/>
      <c r="E21" s="2610"/>
      <c r="F21" s="1246" t="s">
        <v>1663</v>
      </c>
      <c r="G21" s="3112"/>
    </row>
    <row r="22" spans="1:7" ht="27">
      <c r="A22" s="2613"/>
      <c r="B22" s="1230" t="s">
        <v>2553</v>
      </c>
      <c r="C22" s="1004" t="str">
        <f>C8</f>
        <v>估价对象所在区域基础设施水平</v>
      </c>
      <c r="D22" s="2009"/>
      <c r="E22" s="2610"/>
      <c r="F22" s="1246" t="s">
        <v>1673</v>
      </c>
      <c r="G22" s="2819"/>
    </row>
    <row r="23" spans="1:7" ht="15" thickBot="1">
      <c r="A23" s="2613"/>
      <c r="B23" s="1246" t="s">
        <v>1663</v>
      </c>
      <c r="C23" s="3112"/>
      <c r="E23" s="2611"/>
      <c r="F23" s="1247" t="s">
        <v>1677</v>
      </c>
      <c r="G23" s="3113"/>
    </row>
    <row r="24" spans="1:7" ht="14.25" thickBot="1">
      <c r="A24" s="2614"/>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5" sqref="D25"/>
    </sheetView>
  </sheetViews>
  <sheetFormatPr defaultColWidth="14.625" defaultRowHeight="13.5"/>
  <cols>
    <col min="1" max="1" width="24.375" customWidth="1"/>
  </cols>
  <sheetData>
    <row r="1" spans="1:9" ht="16.5">
      <c r="A1" s="3070" t="s">
        <v>2849</v>
      </c>
      <c r="B1" s="3070">
        <f>SUM(B14:B23)</f>
        <v>247106.5</v>
      </c>
      <c r="C1" s="3071"/>
      <c r="D1" s="3071"/>
      <c r="E1" s="3071"/>
      <c r="F1" s="3071"/>
    </row>
    <row r="2" spans="1:9" ht="16.5">
      <c r="A2" s="3070" t="s">
        <v>2850</v>
      </c>
      <c r="B2" s="3070">
        <f>SUM(C14:C23)</f>
        <v>98842.6</v>
      </c>
      <c r="C2" s="3071"/>
      <c r="D2" s="3071"/>
      <c r="E2" s="3071"/>
      <c r="F2" s="3071"/>
    </row>
    <row r="3" spans="1:9" ht="16.5">
      <c r="A3" s="3070" t="s">
        <v>2851</v>
      </c>
      <c r="B3" s="3072">
        <f>项目基本情况!D3</f>
        <v>43242</v>
      </c>
      <c r="C3" s="3071"/>
      <c r="D3" s="3071"/>
      <c r="E3" s="3071"/>
      <c r="F3" s="3071"/>
    </row>
    <row r="4" spans="1:9" ht="33">
      <c r="A4" s="3070" t="s">
        <v>2852</v>
      </c>
      <c r="B4" s="3070" t="s">
        <v>2853</v>
      </c>
      <c r="C4" s="3070" t="s">
        <v>2854</v>
      </c>
      <c r="D4" s="3070" t="s">
        <v>2855</v>
      </c>
      <c r="E4" s="3071"/>
      <c r="F4" s="3071"/>
    </row>
    <row r="5" spans="1:9" ht="16.5">
      <c r="A5" s="3070" t="s">
        <v>2856</v>
      </c>
      <c r="B5" s="3070">
        <f ca="1">SUM(D14:D23)</f>
        <v>121862</v>
      </c>
      <c r="C5" s="3070">
        <f ca="1">ROUND(B5*10000/$B$1,0)</f>
        <v>4932</v>
      </c>
      <c r="D5" s="3070">
        <f ca="1">ROUND(B5*10000/$B$2,0)</f>
        <v>12329</v>
      </c>
      <c r="E5" s="3071"/>
      <c r="F5" s="3071"/>
    </row>
    <row r="6" spans="1:9" ht="16.5">
      <c r="A6" s="3070" t="s">
        <v>2857</v>
      </c>
      <c r="B6" s="3070">
        <f ca="1">SUM(G14:G23)</f>
        <v>121862</v>
      </c>
      <c r="C6" s="3070">
        <f t="shared" ref="C6:C8" ca="1" si="0">ROUND(B6*10000/$B$1,0)</f>
        <v>4932</v>
      </c>
      <c r="D6" s="3070">
        <f t="shared" ref="D6:D8" ca="1" si="1">ROUND(B6*10000/$B$2,0)</f>
        <v>12329</v>
      </c>
      <c r="E6" s="3071"/>
      <c r="F6" s="3071"/>
    </row>
    <row r="7" spans="1:9" ht="16.5">
      <c r="A7" s="3070" t="s">
        <v>2858</v>
      </c>
      <c r="B7" s="3070">
        <f>SUM(H14:H23)</f>
        <v>0</v>
      </c>
      <c r="C7" s="3070">
        <f t="shared" si="0"/>
        <v>0</v>
      </c>
      <c r="D7" s="3070">
        <f t="shared" si="1"/>
        <v>0</v>
      </c>
      <c r="E7" s="3071"/>
      <c r="F7" s="3071"/>
    </row>
    <row r="8" spans="1:9" ht="16.5">
      <c r="A8" s="3070" t="s">
        <v>2859</v>
      </c>
      <c r="B8" s="3070">
        <f>SUM(I14:I23)</f>
        <v>0</v>
      </c>
      <c r="C8" s="3070">
        <f t="shared" si="0"/>
        <v>0</v>
      </c>
      <c r="D8" s="3070">
        <f t="shared" si="1"/>
        <v>0</v>
      </c>
      <c r="E8" s="3071"/>
      <c r="F8" s="3071"/>
    </row>
    <row r="9" spans="1:9" ht="16.5">
      <c r="A9" s="3070" t="s">
        <v>2860</v>
      </c>
      <c r="B9" s="3073"/>
      <c r="C9" s="3071"/>
      <c r="D9" s="3071"/>
      <c r="E9" s="3071"/>
      <c r="F9" s="3071"/>
    </row>
    <row r="10" spans="1:9" ht="16.5">
      <c r="A10" s="3070" t="s">
        <v>2861</v>
      </c>
      <c r="B10" s="3073"/>
      <c r="C10" s="3071"/>
      <c r="D10" s="3071"/>
      <c r="E10" s="3071"/>
      <c r="F10" s="3071"/>
    </row>
    <row r="11" spans="1:9" ht="16.5">
      <c r="A11" s="3070" t="s">
        <v>2878</v>
      </c>
      <c r="B11" s="3073"/>
      <c r="C11" s="3071"/>
      <c r="D11" s="3071"/>
      <c r="E11" s="3071"/>
      <c r="F11" s="3071"/>
    </row>
    <row r="12" spans="1:9" ht="16.5">
      <c r="A12" s="3071"/>
      <c r="B12" s="3071"/>
      <c r="C12" s="3071"/>
      <c r="D12" s="3071"/>
      <c r="E12" s="3071"/>
      <c r="F12" s="3071"/>
    </row>
    <row r="13" spans="1:9" ht="33">
      <c r="A13" s="3076" t="s">
        <v>2877</v>
      </c>
      <c r="B13" s="3074" t="s">
        <v>2849</v>
      </c>
      <c r="C13" s="3074" t="s">
        <v>2850</v>
      </c>
      <c r="D13" s="3074" t="s">
        <v>2862</v>
      </c>
      <c r="E13" s="3070" t="s">
        <v>2876</v>
      </c>
      <c r="F13" s="3070" t="s">
        <v>2855</v>
      </c>
      <c r="G13" s="3074" t="s">
        <v>2863</v>
      </c>
      <c r="H13" s="3074" t="s">
        <v>2864</v>
      </c>
      <c r="I13" s="3074" t="s">
        <v>2865</v>
      </c>
    </row>
    <row r="14" spans="1:9" ht="16.5">
      <c r="A14" s="3077" t="s">
        <v>2875</v>
      </c>
      <c r="B14" s="3074">
        <f>结果表!L38</f>
        <v>247106.5</v>
      </c>
      <c r="C14" s="3074">
        <f>结果表!K38</f>
        <v>98842.6</v>
      </c>
      <c r="D14" s="3074">
        <f ca="1">结果表!C42</f>
        <v>121862</v>
      </c>
      <c r="E14" s="3074">
        <f ca="1">ROUND(D14*10000/B14,0)</f>
        <v>4932</v>
      </c>
      <c r="F14" s="3074">
        <f ca="1">ROUND(D14*10000/C14,0)</f>
        <v>12329</v>
      </c>
      <c r="G14" s="3074">
        <f ca="1">结果表!C44</f>
        <v>121862</v>
      </c>
      <c r="H14" s="3074" t="str">
        <f>结果表!C45</f>
        <v>——</v>
      </c>
      <c r="I14" s="3074" t="str">
        <f>结果表!C46</f>
        <v>——</v>
      </c>
    </row>
    <row r="15" spans="1:9" ht="16.5">
      <c r="A15" s="3077" t="s">
        <v>2866</v>
      </c>
      <c r="B15" s="3078"/>
      <c r="C15" s="3078"/>
      <c r="D15" s="3078"/>
      <c r="E15" s="3074" t="e">
        <f t="shared" ref="E15:E23" si="2">ROUND(D15*10000/B15,0)</f>
        <v>#DIV/0!</v>
      </c>
      <c r="F15" s="3074" t="e">
        <f t="shared" ref="F15:F23" si="3">ROUND(D15*10000/C15,0)</f>
        <v>#DIV/0!</v>
      </c>
      <c r="G15" s="3075"/>
      <c r="H15" s="3075"/>
      <c r="I15" s="3078"/>
    </row>
    <row r="16" spans="1:9" ht="16.5">
      <c r="A16" s="3077" t="s">
        <v>2867</v>
      </c>
      <c r="B16" s="3078"/>
      <c r="C16" s="3078"/>
      <c r="D16" s="3078"/>
      <c r="E16" s="3074" t="e">
        <f t="shared" si="2"/>
        <v>#DIV/0!</v>
      </c>
      <c r="F16" s="3074" t="e">
        <f t="shared" si="3"/>
        <v>#DIV/0!</v>
      </c>
      <c r="G16" s="3075"/>
      <c r="H16" s="3075"/>
      <c r="I16" s="3078"/>
    </row>
    <row r="17" spans="1:9" ht="16.5">
      <c r="A17" s="3077" t="s">
        <v>2868</v>
      </c>
      <c r="B17" s="3078"/>
      <c r="C17" s="3078"/>
      <c r="D17" s="3078"/>
      <c r="E17" s="3074" t="e">
        <f t="shared" si="2"/>
        <v>#DIV/0!</v>
      </c>
      <c r="F17" s="3074" t="e">
        <f t="shared" si="3"/>
        <v>#DIV/0!</v>
      </c>
      <c r="G17" s="3075"/>
      <c r="H17" s="3075"/>
      <c r="I17" s="3078"/>
    </row>
    <row r="18" spans="1:9" ht="16.5">
      <c r="A18" s="3077" t="s">
        <v>2869</v>
      </c>
      <c r="B18" s="3078"/>
      <c r="C18" s="3078"/>
      <c r="D18" s="3078"/>
      <c r="E18" s="3074" t="e">
        <f t="shared" si="2"/>
        <v>#DIV/0!</v>
      </c>
      <c r="F18" s="3074" t="e">
        <f t="shared" si="3"/>
        <v>#DIV/0!</v>
      </c>
      <c r="G18" s="3078"/>
      <c r="H18" s="3078"/>
      <c r="I18" s="3078"/>
    </row>
    <row r="19" spans="1:9" ht="16.5">
      <c r="A19" s="3077" t="s">
        <v>2870</v>
      </c>
      <c r="B19" s="3078"/>
      <c r="C19" s="3078"/>
      <c r="D19" s="3078"/>
      <c r="E19" s="3074" t="e">
        <f t="shared" si="2"/>
        <v>#DIV/0!</v>
      </c>
      <c r="F19" s="3074" t="e">
        <f t="shared" si="3"/>
        <v>#DIV/0!</v>
      </c>
      <c r="G19" s="3078"/>
      <c r="H19" s="3078"/>
      <c r="I19" s="3078"/>
    </row>
    <row r="20" spans="1:9" ht="16.5">
      <c r="A20" s="3077" t="s">
        <v>2871</v>
      </c>
      <c r="B20" s="3078"/>
      <c r="C20" s="3078"/>
      <c r="D20" s="3078"/>
      <c r="E20" s="3074" t="e">
        <f t="shared" si="2"/>
        <v>#DIV/0!</v>
      </c>
      <c r="F20" s="3074" t="e">
        <f t="shared" si="3"/>
        <v>#DIV/0!</v>
      </c>
      <c r="G20" s="3078"/>
      <c r="H20" s="3078"/>
      <c r="I20" s="3078"/>
    </row>
    <row r="21" spans="1:9" ht="16.5">
      <c r="A21" s="3077" t="s">
        <v>2872</v>
      </c>
      <c r="B21" s="3078"/>
      <c r="C21" s="3078"/>
      <c r="D21" s="3078"/>
      <c r="E21" s="3074" t="e">
        <f t="shared" si="2"/>
        <v>#DIV/0!</v>
      </c>
      <c r="F21" s="3074" t="e">
        <f t="shared" si="3"/>
        <v>#DIV/0!</v>
      </c>
      <c r="G21" s="3078"/>
      <c r="H21" s="3078"/>
      <c r="I21" s="3078"/>
    </row>
    <row r="22" spans="1:9" ht="16.5">
      <c r="A22" s="3077" t="s">
        <v>2873</v>
      </c>
      <c r="B22" s="3078"/>
      <c r="C22" s="3078"/>
      <c r="D22" s="3078"/>
      <c r="E22" s="3074" t="e">
        <f t="shared" si="2"/>
        <v>#DIV/0!</v>
      </c>
      <c r="F22" s="3074" t="e">
        <f t="shared" si="3"/>
        <v>#DIV/0!</v>
      </c>
      <c r="G22" s="3078"/>
      <c r="H22" s="3078"/>
      <c r="I22" s="3078"/>
    </row>
    <row r="23" spans="1:9" ht="16.5">
      <c r="A23" s="3077" t="s">
        <v>2874</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D29" sqref="D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2059</v>
      </c>
      <c r="B1" s="1777"/>
      <c r="C1" s="1805" t="s">
        <v>2060</v>
      </c>
      <c r="D1" s="1806" t="s">
        <v>3218</v>
      </c>
      <c r="E1" s="1805" t="s">
        <v>2061</v>
      </c>
      <c r="F1" s="1807" t="s">
        <v>3219</v>
      </c>
      <c r="G1" s="311"/>
      <c r="H1" s="311"/>
      <c r="I1" s="311"/>
      <c r="J1" s="2029"/>
      <c r="K1" s="2029"/>
      <c r="L1" s="2029"/>
      <c r="M1" s="2029"/>
      <c r="N1" s="2029"/>
      <c r="O1" s="2029"/>
      <c r="P1" s="2029"/>
      <c r="Q1" s="2029"/>
      <c r="R1" s="2029"/>
      <c r="S1" s="2029"/>
      <c r="T1" s="2029"/>
      <c r="U1" s="2029"/>
      <c r="V1" s="2029"/>
    </row>
    <row r="2" spans="1:22" ht="21.75" customHeight="1" thickBot="1">
      <c r="A2" s="3617" t="str">
        <f>项目基本情况!K2</f>
        <v>河北省廊坊市固安县工业园区五号路北、六号路西出让国有建设用地使用权</v>
      </c>
      <c r="B2" s="3618"/>
      <c r="C2" s="3619"/>
      <c r="D2" s="3619"/>
      <c r="E2" s="3619"/>
      <c r="F2" s="3619"/>
      <c r="G2" s="3618"/>
      <c r="H2" s="3618"/>
      <c r="I2" s="3620"/>
      <c r="J2" s="2030"/>
      <c r="K2" s="2029"/>
      <c r="L2" s="2029"/>
      <c r="M2" s="2029"/>
      <c r="N2" s="2029"/>
      <c r="O2" s="2029"/>
      <c r="P2" s="2029"/>
      <c r="Q2" s="2029"/>
      <c r="R2" s="2029"/>
      <c r="S2" s="2029"/>
      <c r="T2" s="2029"/>
      <c r="U2" s="2029"/>
      <c r="V2" s="2029"/>
    </row>
    <row r="3" spans="1:22" ht="14.25">
      <c r="A3" s="3610" t="s">
        <v>298</v>
      </c>
      <c r="B3" s="3611"/>
      <c r="C3" s="3611"/>
      <c r="D3" s="3611"/>
      <c r="E3" s="3611"/>
      <c r="F3" s="3611"/>
      <c r="G3" s="3611"/>
      <c r="H3" s="3611"/>
      <c r="I3" s="3611"/>
      <c r="J3" s="2030"/>
      <c r="K3" s="2029"/>
      <c r="L3" s="2029"/>
      <c r="M3" s="2029"/>
      <c r="N3" s="2029"/>
      <c r="O3" s="2029"/>
      <c r="P3" s="2029"/>
      <c r="Q3" s="2029"/>
      <c r="R3" s="2029"/>
      <c r="S3" s="2029"/>
      <c r="T3" s="2029"/>
      <c r="U3" s="2029"/>
      <c r="V3" s="2029"/>
    </row>
    <row r="4" spans="1:22" ht="14.25">
      <c r="A4" s="258" t="s">
        <v>299</v>
      </c>
      <c r="B4" s="259" t="s">
        <v>300</v>
      </c>
      <c r="C4" s="260" t="s">
        <v>3220</v>
      </c>
      <c r="D4" s="260" t="s">
        <v>3221</v>
      </c>
      <c r="E4" s="3582" t="s">
        <v>301</v>
      </c>
      <c r="F4" s="3583"/>
      <c r="G4" s="3583"/>
      <c r="H4" s="3583"/>
      <c r="I4" s="3612"/>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581" t="s">
        <v>302</v>
      </c>
      <c r="B5" s="3607">
        <v>25</v>
      </c>
      <c r="C5" s="3605"/>
      <c r="D5" s="3609"/>
      <c r="E5" s="261" t="s">
        <v>303</v>
      </c>
      <c r="F5" s="262"/>
      <c r="G5" s="262"/>
      <c r="H5" s="262"/>
      <c r="I5" s="263"/>
      <c r="J5" s="2030"/>
      <c r="K5" s="2029"/>
      <c r="L5" s="2029"/>
      <c r="M5" s="2029"/>
      <c r="N5" s="2029"/>
      <c r="O5" s="2029"/>
      <c r="P5" s="2029"/>
      <c r="Q5" s="2029"/>
      <c r="R5" s="2029"/>
      <c r="S5" s="2029"/>
      <c r="T5" s="2029"/>
      <c r="U5" s="2029"/>
      <c r="V5" s="2029"/>
    </row>
    <row r="6" spans="1:22" ht="14.25">
      <c r="A6" s="3581"/>
      <c r="B6" s="3607"/>
      <c r="C6" s="3608"/>
      <c r="D6" s="3609"/>
      <c r="E6" s="261" t="s">
        <v>304</v>
      </c>
      <c r="F6" s="262"/>
      <c r="G6" s="262"/>
      <c r="H6" s="262"/>
      <c r="I6" s="263"/>
      <c r="J6" s="2030"/>
      <c r="K6" s="2029"/>
      <c r="L6" s="2029"/>
      <c r="M6" s="2029"/>
      <c r="N6" s="2029"/>
      <c r="O6" s="2029"/>
      <c r="P6" s="2029"/>
      <c r="Q6" s="2029"/>
      <c r="R6" s="2029"/>
      <c r="S6" s="2029"/>
      <c r="T6" s="2029"/>
      <c r="U6" s="2029"/>
      <c r="V6" s="2029"/>
    </row>
    <row r="7" spans="1:22" ht="14.25">
      <c r="A7" s="3581"/>
      <c r="B7" s="3607"/>
      <c r="C7" s="3606"/>
      <c r="D7" s="3609"/>
      <c r="E7" s="261" t="s">
        <v>305</v>
      </c>
      <c r="F7" s="262"/>
      <c r="G7" s="262"/>
      <c r="H7" s="262"/>
      <c r="I7" s="263"/>
      <c r="J7" s="2030"/>
      <c r="K7" s="2029"/>
      <c r="L7" s="2029"/>
      <c r="M7" s="2029"/>
      <c r="N7" s="2029"/>
      <c r="O7" s="2029"/>
      <c r="P7" s="2029"/>
      <c r="Q7" s="2029"/>
      <c r="R7" s="2029"/>
      <c r="S7" s="2029"/>
      <c r="T7" s="2029"/>
      <c r="U7" s="2029"/>
      <c r="V7" s="2029"/>
    </row>
    <row r="8" spans="1:22" ht="14.25">
      <c r="A8" s="3581" t="s">
        <v>306</v>
      </c>
      <c r="B8" s="3607">
        <v>15</v>
      </c>
      <c r="C8" s="3605"/>
      <c r="D8" s="3609"/>
      <c r="E8" s="261" t="s">
        <v>307</v>
      </c>
      <c r="F8" s="262"/>
      <c r="G8" s="262"/>
      <c r="H8" s="262"/>
      <c r="I8" s="263"/>
      <c r="J8" s="2030"/>
      <c r="K8" s="2029"/>
      <c r="L8" s="2029"/>
      <c r="M8" s="2029"/>
      <c r="N8" s="2029"/>
      <c r="O8" s="2029"/>
      <c r="P8" s="2029"/>
      <c r="Q8" s="2029"/>
      <c r="R8" s="2029"/>
      <c r="S8" s="2029"/>
      <c r="T8" s="2029"/>
      <c r="U8" s="2029"/>
      <c r="V8" s="2029"/>
    </row>
    <row r="9" spans="1:22" ht="14.25">
      <c r="A9" s="3581"/>
      <c r="B9" s="3607"/>
      <c r="C9" s="3606"/>
      <c r="D9" s="3609"/>
      <c r="E9" s="261" t="s">
        <v>308</v>
      </c>
      <c r="F9" s="262"/>
      <c r="G9" s="262"/>
      <c r="H9" s="262"/>
      <c r="I9" s="263"/>
      <c r="J9" s="2030"/>
      <c r="K9" s="2029"/>
      <c r="L9" s="2029"/>
      <c r="M9" s="2029"/>
      <c r="N9" s="2029"/>
      <c r="O9" s="2029"/>
      <c r="P9" s="2029"/>
      <c r="Q9" s="2029"/>
      <c r="R9" s="2029"/>
      <c r="S9" s="2029"/>
      <c r="T9" s="2029"/>
      <c r="U9" s="2029"/>
      <c r="V9" s="2029"/>
    </row>
    <row r="10" spans="1:22" ht="14.25">
      <c r="A10" s="3581" t="s">
        <v>309</v>
      </c>
      <c r="B10" s="3607">
        <v>15</v>
      </c>
      <c r="C10" s="3605"/>
      <c r="D10" s="3609"/>
      <c r="E10" s="261" t="s">
        <v>310</v>
      </c>
      <c r="F10" s="262"/>
      <c r="G10" s="262"/>
      <c r="H10" s="262"/>
      <c r="I10" s="263"/>
      <c r="J10" s="2030"/>
      <c r="K10" s="2029"/>
      <c r="L10" s="2029"/>
      <c r="M10" s="2029"/>
      <c r="N10" s="2029"/>
      <c r="O10" s="2029"/>
      <c r="P10" s="2029"/>
      <c r="Q10" s="2029"/>
      <c r="R10" s="2029"/>
      <c r="S10" s="2029"/>
      <c r="T10" s="2029"/>
      <c r="U10" s="2029"/>
      <c r="V10" s="2029"/>
    </row>
    <row r="11" spans="1:22" ht="14.25">
      <c r="A11" s="3581"/>
      <c r="B11" s="3607"/>
      <c r="C11" s="3606"/>
      <c r="D11" s="3609"/>
      <c r="E11" s="261" t="s">
        <v>311</v>
      </c>
      <c r="F11" s="262"/>
      <c r="G11" s="262"/>
      <c r="H11" s="262"/>
      <c r="I11" s="263"/>
      <c r="J11" s="2030"/>
      <c r="K11" s="2029"/>
      <c r="L11" s="2029"/>
      <c r="M11" s="2029"/>
      <c r="N11" s="2029"/>
      <c r="O11" s="2029"/>
      <c r="P11" s="2029"/>
      <c r="Q11" s="2029"/>
      <c r="R11" s="2029"/>
      <c r="S11" s="2029"/>
      <c r="T11" s="2029"/>
      <c r="U11" s="2029"/>
      <c r="V11" s="2029"/>
    </row>
    <row r="12" spans="1:22" ht="14.25">
      <c r="A12" s="3581" t="s">
        <v>312</v>
      </c>
      <c r="B12" s="3607">
        <v>15</v>
      </c>
      <c r="C12" s="3605"/>
      <c r="D12" s="3609"/>
      <c r="E12" s="261" t="s">
        <v>313</v>
      </c>
      <c r="F12" s="262"/>
      <c r="G12" s="262"/>
      <c r="H12" s="262"/>
      <c r="I12" s="263"/>
      <c r="J12" s="2030"/>
      <c r="K12" s="2029"/>
      <c r="L12" s="2029"/>
      <c r="M12" s="2029"/>
      <c r="N12" s="2029"/>
      <c r="O12" s="2029"/>
      <c r="P12" s="2029"/>
      <c r="Q12" s="2029"/>
      <c r="R12" s="2029"/>
      <c r="S12" s="2029"/>
      <c r="T12" s="2029"/>
      <c r="U12" s="2029"/>
      <c r="V12" s="2029"/>
    </row>
    <row r="13" spans="1:22" ht="14.25">
      <c r="A13" s="3581"/>
      <c r="B13" s="3607"/>
      <c r="C13" s="3606"/>
      <c r="D13" s="3609"/>
      <c r="E13" s="261" t="s">
        <v>314</v>
      </c>
      <c r="F13" s="262"/>
      <c r="G13" s="262"/>
      <c r="H13" s="262"/>
      <c r="I13" s="263"/>
      <c r="J13" s="2030"/>
      <c r="K13" s="2029"/>
      <c r="L13" s="2029"/>
      <c r="M13" s="2029"/>
      <c r="N13" s="2029"/>
      <c r="O13" s="2029"/>
      <c r="P13" s="2029"/>
      <c r="Q13" s="2029"/>
      <c r="R13" s="2029"/>
      <c r="S13" s="2029"/>
      <c r="T13" s="2029"/>
      <c r="U13" s="2029"/>
      <c r="V13" s="2029"/>
    </row>
    <row r="14" spans="1:22" ht="14.25">
      <c r="A14" s="3581" t="s">
        <v>315</v>
      </c>
      <c r="B14" s="3607">
        <v>30</v>
      </c>
      <c r="C14" s="3605">
        <v>4</v>
      </c>
      <c r="D14" s="3609">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581"/>
      <c r="B15" s="3607"/>
      <c r="C15" s="3608"/>
      <c r="D15" s="3609"/>
      <c r="E15" s="261" t="s">
        <v>317</v>
      </c>
      <c r="F15" s="262"/>
      <c r="G15" s="262"/>
      <c r="H15" s="262"/>
      <c r="I15" s="263"/>
      <c r="J15" s="2030"/>
      <c r="K15" s="2029"/>
      <c r="L15" s="2029"/>
      <c r="M15" s="2029"/>
      <c r="N15" s="2029"/>
      <c r="O15" s="2029"/>
      <c r="P15" s="2029"/>
      <c r="Q15" s="2029"/>
      <c r="R15" s="2029"/>
      <c r="S15" s="2029"/>
      <c r="T15" s="2029"/>
      <c r="U15" s="2029"/>
      <c r="V15" s="2029"/>
    </row>
    <row r="16" spans="1:22" ht="14.25">
      <c r="A16" s="3581"/>
      <c r="B16" s="3607"/>
      <c r="C16" s="3606"/>
      <c r="D16" s="360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197756</v>
      </c>
      <c r="D19" s="271">
        <f ca="1">SUMIF(INDIRECT("'"&amp;D4&amp;"'"&amp;"!A:A"),结果表!B19,INDIRECT("'"&amp;D4&amp;"'"&amp;"!B:B"))</f>
        <v>71266</v>
      </c>
      <c r="E19" s="268" t="s">
        <v>323</v>
      </c>
      <c r="F19" s="269" t="s">
        <v>322</v>
      </c>
      <c r="G19" s="272">
        <f ca="1">ROUND(C19*$C$18+D19*$D$18,0)</f>
        <v>121862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8003</v>
      </c>
      <c r="D20" s="277">
        <f ca="1">SUMIF(INDIRECT("'"&amp;D4&amp;"'"&amp;"!A:A"),结果表!B20,INDIRECT("'"&amp;D4&amp;"'"&amp;"!B:B"))</f>
        <v>2884</v>
      </c>
      <c r="E20" s="274"/>
      <c r="F20" s="275" t="s">
        <v>325</v>
      </c>
      <c r="G20" s="278">
        <f ca="1">ROUND(C20*$C$18+D20*$D$18,0)</f>
        <v>4932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20007</v>
      </c>
      <c r="D21" s="151">
        <f ca="1">SUMIF(INDIRECT("'"&amp;D4&amp;"'"&amp;"!A:A"),结果表!B21,INDIRECT("'"&amp;D4&amp;"'"&amp;"!B:B"))</f>
        <v>7210</v>
      </c>
      <c r="E21" s="274"/>
      <c r="F21" s="280" t="s">
        <v>327</v>
      </c>
      <c r="G21" s="282">
        <f ca="1">ROUND(C21*$C$18+D21*$D$18,0)</f>
        <v>12329</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1.7748996716526815</v>
      </c>
      <c r="E22" s="284"/>
      <c r="F22" s="285"/>
      <c r="G22" s="286">
        <f ca="1">ROUND(G19/('数据-汇总表'!D3/666.67),0)</f>
        <v>822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8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588"/>
      <c r="B25" s="1320" t="s">
        <v>331</v>
      </c>
      <c r="C25" s="290">
        <f>IF(B30=0,0,C30)</f>
        <v>0</v>
      </c>
      <c r="D25" s="291"/>
      <c r="E25" s="311"/>
      <c r="F25" s="311"/>
      <c r="G25" s="311"/>
      <c r="H25" s="311"/>
      <c r="I25" s="311"/>
      <c r="J25" s="2029"/>
      <c r="K25" s="1254" t="str">
        <f ca="1">项目基本情况!B16&amp;"国有建设用地使用权价格："&amp;O38&amp;"万元"</f>
        <v>出让国有建设用地使用权价格：121862万元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大写金额：人民币壹拾贰亿壹仟捌佰陆拾贰万元整</v>
      </c>
      <c r="L26" s="1251"/>
      <c r="M26" s="1251"/>
      <c r="N26" s="1251"/>
      <c r="O26" s="1250"/>
      <c r="P26" s="2029"/>
      <c r="Q26" s="2029"/>
      <c r="R26" s="2029"/>
      <c r="S26" s="2029"/>
      <c r="T26" s="2029"/>
      <c r="U26" s="2029"/>
      <c r="V26" s="2029"/>
      <c r="W26" s="292"/>
      <c r="X26" s="292"/>
      <c r="Y26" s="292"/>
      <c r="Z26" s="292"/>
    </row>
    <row r="27" spans="1:26" ht="18">
      <c r="A27" s="293"/>
      <c r="B27" s="294"/>
      <c r="C27" s="294"/>
      <c r="D27" s="295">
        <f ca="1">G19/'剩余法-待开发'!C6</f>
        <v>0.31807456593687683</v>
      </c>
      <c r="E27" s="311"/>
      <c r="F27" s="311"/>
      <c r="G27" s="311"/>
      <c r="H27" s="311"/>
      <c r="I27" s="311"/>
      <c r="J27" s="2029"/>
      <c r="K27" s="1257" t="str">
        <f ca="1">"单位面积地价："&amp;M38&amp;"元/平方米"</f>
        <v>单位面积地价：12329元/平方米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楼面地价：4932元/平方米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抵押价格：121862万元</v>
      </c>
      <c r="L29" s="1251"/>
      <c r="M29" s="1251"/>
      <c r="N29" s="1251"/>
      <c r="O29" s="1250"/>
      <c r="P29" s="2029"/>
      <c r="V29" s="2029"/>
    </row>
    <row r="30" spans="1:26" ht="18.75" thickBot="1">
      <c r="A30" s="3161" t="s">
        <v>336</v>
      </c>
      <c r="B30" s="309"/>
      <c r="C30" s="309"/>
      <c r="D30" s="310"/>
      <c r="E30" s="3162" t="s">
        <v>2977</v>
      </c>
      <c r="F30" s="311"/>
      <c r="G30" s="311"/>
      <c r="H30" s="311"/>
      <c r="I30" s="311"/>
      <c r="J30" s="2029"/>
      <c r="K30" s="1257" t="str">
        <f ca="1">IF(K29="——","——","大写金额：人民币"&amp;NUMBERSTRING(INT(O39*10000),2)&amp;"元整")</f>
        <v>大写金额：人民币壹拾贰亿壹仟捌佰陆拾贰万元整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121862</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4932</v>
      </c>
      <c r="D33" s="1385" t="s">
        <v>1693</v>
      </c>
      <c r="E33" s="3587" t="s">
        <v>338</v>
      </c>
      <c r="F33" s="296" t="s">
        <v>339</v>
      </c>
      <c r="G33" s="297"/>
      <c r="H33" s="979"/>
      <c r="I33" s="1258"/>
      <c r="J33" s="2029"/>
      <c r="K33" s="1257" t="str">
        <f>IF(项目基本情况!E9="——","——","抵押净值："&amp;C46&amp;"万元")</f>
        <v>——</v>
      </c>
      <c r="L33" s="1251"/>
      <c r="M33" s="1251"/>
      <c r="N33" s="1251"/>
      <c r="O33" s="1250"/>
      <c r="P33" s="2029"/>
      <c r="V33" s="2029"/>
    </row>
    <row r="34" spans="1:26" s="1253" customFormat="1" ht="18.75" thickBot="1">
      <c r="A34" s="300"/>
      <c r="B34" s="1386" t="s">
        <v>1694</v>
      </c>
      <c r="C34" s="264">
        <f ca="1">ROUND(C32*10000/'数据-汇总表'!D3,0)</f>
        <v>12329</v>
      </c>
      <c r="D34" s="1387" t="s">
        <v>1693</v>
      </c>
      <c r="E34" s="3628"/>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822</v>
      </c>
      <c r="D35" s="1390" t="s">
        <v>1695</v>
      </c>
      <c r="E35" s="3629"/>
      <c r="F35" s="301" t="s">
        <v>342</v>
      </c>
      <c r="G35" s="981"/>
      <c r="H35" s="980" t="s">
        <v>343</v>
      </c>
      <c r="I35" s="311"/>
      <c r="J35" s="2029"/>
      <c r="K35" s="3602" t="s">
        <v>350</v>
      </c>
      <c r="L35" s="3602" t="s">
        <v>351</v>
      </c>
      <c r="M35" s="1263" t="s">
        <v>352</v>
      </c>
      <c r="N35" s="3602" t="s">
        <v>353</v>
      </c>
      <c r="O35" s="3602" t="s">
        <v>354</v>
      </c>
      <c r="P35" s="2029"/>
      <c r="V35" s="2029"/>
    </row>
    <row r="36" spans="1:26" ht="16.5" customHeight="1">
      <c r="A36" s="303" t="s">
        <v>344</v>
      </c>
      <c r="B36" s="304" t="s">
        <v>333</v>
      </c>
      <c r="C36" s="305" t="s">
        <v>345</v>
      </c>
      <c r="D36" s="305" t="s">
        <v>346</v>
      </c>
      <c r="E36" s="306" t="s">
        <v>347</v>
      </c>
      <c r="F36" s="311"/>
      <c r="G36" s="311"/>
      <c r="H36" s="311"/>
      <c r="I36" s="311"/>
      <c r="J36" s="2031"/>
      <c r="K36" s="3603"/>
      <c r="L36" s="3603"/>
      <c r="M36" s="1265" t="s">
        <v>355</v>
      </c>
      <c r="N36" s="3603"/>
      <c r="O36" s="3603"/>
      <c r="P36" s="2029"/>
      <c r="V36" s="2029"/>
    </row>
    <row r="37" spans="1:26" ht="16.5" customHeight="1" thickBot="1">
      <c r="A37" s="1259" t="s">
        <v>348</v>
      </c>
      <c r="B37" s="307"/>
      <c r="C37" s="294"/>
      <c r="D37" s="294"/>
      <c r="E37" s="295"/>
      <c r="F37" s="311"/>
      <c r="G37" s="311"/>
      <c r="H37" s="311"/>
      <c r="I37" s="311"/>
      <c r="J37" s="2031"/>
      <c r="K37" s="3604"/>
      <c r="L37" s="3604"/>
      <c r="M37" s="1266"/>
      <c r="N37" s="3604"/>
      <c r="O37" s="3604"/>
      <c r="P37" s="2029"/>
      <c r="V37" s="2029"/>
    </row>
    <row r="38" spans="1:26" ht="16.5" customHeight="1" thickBot="1">
      <c r="A38" s="1259" t="s">
        <v>349</v>
      </c>
      <c r="B38" s="307"/>
      <c r="C38" s="294"/>
      <c r="D38" s="294"/>
      <c r="E38" s="295"/>
      <c r="F38" s="311"/>
      <c r="G38" s="311"/>
      <c r="H38" s="311"/>
      <c r="I38" s="311"/>
      <c r="J38" s="2031"/>
      <c r="K38" s="1267">
        <f>'数据-汇总表'!D3</f>
        <v>98842.6</v>
      </c>
      <c r="L38" s="1268">
        <f>'数据-汇总表'!E3</f>
        <v>247106.5</v>
      </c>
      <c r="M38" s="1268">
        <f ca="1">C34</f>
        <v>12329</v>
      </c>
      <c r="N38" s="1268">
        <f ca="1">C33</f>
        <v>4932</v>
      </c>
      <c r="O38" s="1269">
        <f ca="1">C32</f>
        <v>121862</v>
      </c>
      <c r="P38" s="2029"/>
      <c r="V38" s="2029"/>
    </row>
    <row r="39" spans="1:26" ht="16.5" customHeight="1" thickBot="1">
      <c r="A39" s="1264"/>
      <c r="B39" s="308"/>
      <c r="C39" s="309"/>
      <c r="D39" s="309"/>
      <c r="E39" s="310"/>
      <c r="F39" s="311"/>
      <c r="G39" s="311"/>
      <c r="H39" s="311"/>
      <c r="I39" s="311"/>
      <c r="J39" s="2031"/>
      <c r="K39" s="3647" t="str">
        <f>MID(A44,3,LEN(A44)-2)</f>
        <v>抵押价格</v>
      </c>
      <c r="L39" s="3648"/>
      <c r="M39" s="3648"/>
      <c r="N39" s="3649"/>
      <c r="O39" s="1392">
        <f ca="1">C44</f>
        <v>121862</v>
      </c>
      <c r="P39" s="2029"/>
      <c r="V39" s="2029"/>
    </row>
    <row r="40" spans="1:26" ht="19.5" thickBot="1">
      <c r="A40" s="104" t="s">
        <v>874</v>
      </c>
      <c r="B40" s="311"/>
      <c r="C40" s="311"/>
      <c r="D40" s="311"/>
      <c r="E40" s="311"/>
      <c r="F40" s="311"/>
      <c r="G40" s="311"/>
      <c r="H40" s="311"/>
      <c r="I40" s="311"/>
      <c r="J40" s="2031"/>
      <c r="K40" s="3647" t="str">
        <f t="shared" ref="K40:K41" si="0">MID(A45,3,LEN(A45)-2)</f>
        <v/>
      </c>
      <c r="L40" s="3648"/>
      <c r="M40" s="3648"/>
      <c r="N40" s="3649"/>
      <c r="O40" s="1392" t="str">
        <f>C45</f>
        <v>——</v>
      </c>
      <c r="P40" s="2029"/>
      <c r="V40" s="2029"/>
    </row>
    <row r="41" spans="1:26" ht="16.5" thickBot="1">
      <c r="A41" s="312" t="s">
        <v>356</v>
      </c>
      <c r="B41" s="313"/>
      <c r="C41" s="314" t="s">
        <v>357</v>
      </c>
      <c r="D41" s="315" t="s">
        <v>358</v>
      </c>
      <c r="E41" s="315" t="s">
        <v>359</v>
      </c>
      <c r="F41" s="316" t="s">
        <v>360</v>
      </c>
      <c r="G41" s="311"/>
      <c r="H41" s="311"/>
      <c r="I41" s="311"/>
      <c r="J41" s="2031"/>
      <c r="K41" s="3647" t="str">
        <f t="shared" si="0"/>
        <v/>
      </c>
      <c r="L41" s="3648"/>
      <c r="M41" s="3648"/>
      <c r="N41" s="3649"/>
      <c r="O41" s="1392" t="str">
        <f>C46</f>
        <v>——</v>
      </c>
      <c r="P41" s="2029"/>
      <c r="V41" s="2029"/>
    </row>
    <row r="42" spans="1:26" ht="29.25">
      <c r="A42" s="3589" t="s">
        <v>2071</v>
      </c>
      <c r="B42" s="3590"/>
      <c r="C42" s="264">
        <f ca="1">C32</f>
        <v>121862</v>
      </c>
      <c r="D42" s="317">
        <f ca="1">C33</f>
        <v>4932</v>
      </c>
      <c r="E42" s="317">
        <f ca="1">C34</f>
        <v>12329</v>
      </c>
      <c r="F42" s="318">
        <f ca="1">C35</f>
        <v>822</v>
      </c>
      <c r="G42" s="311"/>
      <c r="H42" s="311"/>
      <c r="I42" s="319"/>
      <c r="J42" s="2031"/>
      <c r="K42" s="1270" t="s">
        <v>361</v>
      </c>
      <c r="L42" s="2048" t="s">
        <v>362</v>
      </c>
      <c r="M42" s="1271" t="s">
        <v>363</v>
      </c>
      <c r="N42" s="2049" t="s">
        <v>364</v>
      </c>
      <c r="O42" s="2050" t="s">
        <v>365</v>
      </c>
      <c r="P42" s="2029"/>
      <c r="V42" s="2029"/>
    </row>
    <row r="43" spans="1:26" ht="30">
      <c r="A43" s="3600" t="s">
        <v>2735</v>
      </c>
      <c r="B43" s="3601"/>
      <c r="C43" s="264">
        <f>IF(H33="正常操作",G33+G34+G35,G34+G35)</f>
        <v>0</v>
      </c>
      <c r="D43" s="317" t="s">
        <v>43</v>
      </c>
      <c r="E43" s="317" t="s">
        <v>44</v>
      </c>
      <c r="F43" s="318" t="s">
        <v>44</v>
      </c>
      <c r="G43" s="2892" t="s">
        <v>953</v>
      </c>
      <c r="H43" s="311"/>
      <c r="I43" s="319"/>
      <c r="J43" s="2031"/>
      <c r="K43" s="1272" t="str">
        <f>C4</f>
        <v>剩余法-待开发</v>
      </c>
      <c r="L43" s="1273">
        <f ca="1">IF(L42="估价结果/万元",C19,C20)</f>
        <v>197756</v>
      </c>
      <c r="M43" s="1274">
        <f>C18</f>
        <v>0.4</v>
      </c>
      <c r="N43" s="1275">
        <f ca="1">IF(N42="测算结果/万元",G19,G20)</f>
        <v>121862</v>
      </c>
      <c r="O43" s="1276">
        <f ca="1">IF(O42="最终结果/万元",C32,C33)</f>
        <v>121862</v>
      </c>
      <c r="P43" s="2029"/>
      <c r="V43" s="2029"/>
    </row>
    <row r="44" spans="1:26" ht="30.75" thickBot="1">
      <c r="A44" s="3589" t="str">
        <f>IF(OR(项目基本情况!E8="抵押价格",项目基本情况!E8="已注销及未注销"),"3.抵押价格","——")</f>
        <v>3.抵押价格</v>
      </c>
      <c r="B44" s="3590"/>
      <c r="C44" s="264">
        <f ca="1">IF(A44="——","——",C42-C43)</f>
        <v>121862</v>
      </c>
      <c r="D44" s="317">
        <f ca="1">ROUND(C44*10000/'数据-汇总表'!E3,0)</f>
        <v>4932</v>
      </c>
      <c r="E44" s="317">
        <f ca="1">ROUND(C44*10000/'数据-汇总表'!D3,0)</f>
        <v>12329</v>
      </c>
      <c r="F44" s="318">
        <f ca="1">ROUND(C44/('数据-汇总表'!D3/666.67),0)</f>
        <v>822</v>
      </c>
      <c r="G44" s="311"/>
      <c r="H44" s="311"/>
      <c r="I44" s="319"/>
      <c r="J44" s="2031"/>
      <c r="K44" s="1277" t="str">
        <f>D4</f>
        <v>比较法-住宅、综合</v>
      </c>
      <c r="L44" s="1278">
        <f ca="1">IF(L42="估价结果/万元",D19,D20)</f>
        <v>71266</v>
      </c>
      <c r="M44" s="1279">
        <f>D18</f>
        <v>0.6</v>
      </c>
      <c r="N44" s="1280"/>
      <c r="O44" s="1281"/>
      <c r="P44" s="2029"/>
      <c r="V44" s="2029"/>
    </row>
    <row r="45" spans="1:26" ht="15">
      <c r="A45" s="3595" t="str">
        <f>IF(项目基本情况!E8="已注销及未注销","4.抵押担保权已注销时的抵押价格",IF(项目基本情况!E8="已注销","3.抵押担保权已注销时的抵押价格","——"))</f>
        <v>——</v>
      </c>
      <c r="B45" s="359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591" t="str">
        <f>IF(项目基本情况!E9="抵押净值",IF(A45="——","4.抵押净值","5.抵押净值"),"——")</f>
        <v>——</v>
      </c>
      <c r="B46" s="359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636" t="s">
        <v>374</v>
      </c>
      <c r="B63" s="3637"/>
      <c r="C63" s="3638"/>
      <c r="D63" s="341">
        <f ca="1">ROUND(C42*F63,0)</f>
        <v>121862</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597" t="s">
        <v>378</v>
      </c>
      <c r="B64" s="3598"/>
      <c r="C64" s="3598"/>
      <c r="D64" s="3598"/>
      <c r="E64" s="3598"/>
      <c r="F64" s="3598"/>
      <c r="G64" s="3599"/>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593" t="s">
        <v>386</v>
      </c>
      <c r="B66" s="3594"/>
      <c r="C66" s="3594"/>
      <c r="D66" s="261">
        <f ca="1">IF(H66="情况1",0,IF(H66="情况2",D70,IF(H66="情况3",D71,IF(H66="情况4",D72))))</f>
        <v>6383</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651" t="s">
        <v>385</v>
      </c>
      <c r="M66" s="3652"/>
      <c r="N66" s="2483"/>
      <c r="O66" s="2484"/>
      <c r="P66" s="2485"/>
      <c r="Q66" s="2029"/>
      <c r="R66" s="2029"/>
      <c r="S66" s="2029"/>
      <c r="T66" s="2029"/>
      <c r="U66" s="2029"/>
      <c r="V66" s="2029"/>
    </row>
    <row r="67" spans="1:22" ht="25.5" customHeight="1">
      <c r="A67" s="352" t="s">
        <v>390</v>
      </c>
      <c r="B67" s="3584" t="s">
        <v>391</v>
      </c>
      <c r="C67" s="3584"/>
      <c r="D67" s="353">
        <v>0</v>
      </c>
      <c r="E67" s="41" t="s">
        <v>392</v>
      </c>
      <c r="F67" s="62" t="s">
        <v>21</v>
      </c>
      <c r="G67" s="3639"/>
      <c r="H67" s="311"/>
      <c r="I67" s="1291"/>
      <c r="J67" s="2036"/>
      <c r="K67" s="1977">
        <v>2</v>
      </c>
      <c r="L67" s="3650" t="s">
        <v>389</v>
      </c>
      <c r="M67" s="3650"/>
      <c r="N67" s="1324">
        <f>'数据-取费表'!B2</f>
        <v>43242</v>
      </c>
      <c r="O67" s="1324"/>
      <c r="P67" s="1324"/>
      <c r="Q67" s="2029"/>
      <c r="R67" s="2029"/>
      <c r="S67" s="2029"/>
      <c r="T67" s="2029"/>
      <c r="U67" s="2029"/>
      <c r="V67" s="2029"/>
    </row>
    <row r="68" spans="1:22" ht="25.5" customHeight="1">
      <c r="A68" s="354"/>
      <c r="B68" s="3584" t="s">
        <v>394</v>
      </c>
      <c r="C68" s="3584"/>
      <c r="D68" s="355"/>
      <c r="E68" s="77"/>
      <c r="F68" s="356"/>
      <c r="G68" s="3640"/>
      <c r="H68" s="311"/>
      <c r="I68" s="1291"/>
      <c r="J68" s="2036"/>
      <c r="K68" s="1977">
        <v>3</v>
      </c>
      <c r="L68" s="3650" t="s">
        <v>393</v>
      </c>
      <c r="M68" s="3650"/>
      <c r="N68" s="1292">
        <f ca="1">C42</f>
        <v>121862</v>
      </c>
      <c r="O68" s="1292"/>
      <c r="P68" s="1292"/>
      <c r="Q68" s="2029"/>
      <c r="R68" s="2029"/>
      <c r="S68" s="2029"/>
      <c r="T68" s="2029"/>
      <c r="U68" s="2029"/>
      <c r="V68" s="2029"/>
    </row>
    <row r="69" spans="1:22" ht="12" customHeight="1">
      <c r="A69" s="357"/>
      <c r="B69" s="3584" t="s">
        <v>395</v>
      </c>
      <c r="C69" s="3584"/>
      <c r="D69" s="358"/>
      <c r="E69" s="73"/>
      <c r="F69" s="356"/>
      <c r="G69" s="3641"/>
      <c r="H69" s="311"/>
      <c r="I69" s="1291"/>
      <c r="J69" s="2036"/>
      <c r="K69" s="1293">
        <v>4</v>
      </c>
      <c r="L69" s="3655" t="s">
        <v>2888</v>
      </c>
      <c r="M69" s="3656"/>
      <c r="N69" s="1294">
        <f ca="1">C44</f>
        <v>121862</v>
      </c>
      <c r="O69" s="1294"/>
      <c r="P69" s="1294"/>
      <c r="Q69" s="2029"/>
      <c r="R69" s="2029"/>
      <c r="S69" s="2029"/>
      <c r="T69" s="2029"/>
      <c r="U69" s="2029"/>
      <c r="V69" s="2029"/>
    </row>
    <row r="70" spans="1:22" ht="24" customHeight="1">
      <c r="A70" s="359" t="s">
        <v>396</v>
      </c>
      <c r="B70" s="3584" t="s">
        <v>397</v>
      </c>
      <c r="C70" s="3584"/>
      <c r="D70" s="358">
        <f ca="1">ROUND(D63*'数据-取费表'!B41/(1+'数据-取费表'!C42),0)</f>
        <v>6383</v>
      </c>
      <c r="E70" s="17" t="s">
        <v>398</v>
      </c>
      <c r="F70" s="360">
        <f>'数据-取费表'!B41</f>
        <v>5.5000000000000007E-2</v>
      </c>
      <c r="G70" s="361"/>
      <c r="H70" s="311"/>
      <c r="I70" s="1291"/>
      <c r="J70" s="2036"/>
      <c r="K70" s="3087"/>
      <c r="L70" s="3088"/>
      <c r="M70" s="3088"/>
      <c r="N70" s="3089" t="s">
        <v>2893</v>
      </c>
      <c r="O70" s="3088"/>
      <c r="P70" s="3090"/>
      <c r="Q70" s="2029"/>
      <c r="R70" s="2029"/>
      <c r="S70" s="2029"/>
      <c r="T70" s="2029"/>
      <c r="U70" s="2029"/>
      <c r="V70" s="2029"/>
    </row>
    <row r="71" spans="1:22" ht="12" customHeight="1">
      <c r="A71" s="359" t="s">
        <v>404</v>
      </c>
      <c r="B71" s="3585" t="s">
        <v>405</v>
      </c>
      <c r="C71" s="3586"/>
      <c r="D71" s="358">
        <f ca="1">ROUND(D63*'数据-取费表'!B41/(1+'数据-取费表'!C42),0)</f>
        <v>6383</v>
      </c>
      <c r="E71" s="17" t="s">
        <v>398</v>
      </c>
      <c r="F71" s="360">
        <f>'数据-取费表'!B41</f>
        <v>5.5000000000000007E-2</v>
      </c>
      <c r="G71" s="361"/>
      <c r="H71" s="311"/>
      <c r="I71" s="1291"/>
      <c r="J71" s="2036"/>
      <c r="K71" s="3086" t="s">
        <v>399</v>
      </c>
      <c r="L71" s="3657" t="s">
        <v>400</v>
      </c>
      <c r="M71" s="3657"/>
      <c r="N71" s="3086" t="s">
        <v>401</v>
      </c>
      <c r="O71" s="3086" t="s">
        <v>402</v>
      </c>
      <c r="P71" s="3086" t="s">
        <v>403</v>
      </c>
      <c r="Q71" s="2029"/>
      <c r="R71" s="2029"/>
      <c r="S71" s="2029"/>
      <c r="T71" s="2029"/>
      <c r="U71" s="2029"/>
      <c r="V71" s="2029"/>
    </row>
    <row r="72" spans="1:22" ht="12" customHeight="1">
      <c r="A72" s="359" t="s">
        <v>407</v>
      </c>
      <c r="B72" s="3585" t="s">
        <v>408</v>
      </c>
      <c r="C72" s="3586"/>
      <c r="D72" s="358">
        <f ca="1">C86</f>
        <v>6383</v>
      </c>
      <c r="E72" s="73" t="s">
        <v>409</v>
      </c>
      <c r="F72" s="360">
        <f>'数据-取费表'!B41</f>
        <v>5.5000000000000007E-2</v>
      </c>
      <c r="G72" s="361"/>
      <c r="H72" s="1297"/>
      <c r="I72" s="1291"/>
      <c r="J72" s="2036"/>
      <c r="K72" s="1977">
        <v>1</v>
      </c>
      <c r="L72" s="3632" t="s">
        <v>406</v>
      </c>
      <c r="M72" s="3632"/>
      <c r="N72" s="1295">
        <f ca="1">D66</f>
        <v>6383</v>
      </c>
      <c r="O72" s="1860" t="str">
        <f>E66</f>
        <v>销售额×税（费）率</v>
      </c>
      <c r="P72" s="1296">
        <f>F66</f>
        <v>5.5000000000000007E-2</v>
      </c>
      <c r="Q72" s="2029"/>
      <c r="R72" s="2029"/>
      <c r="S72" s="2029"/>
      <c r="T72" s="2029"/>
      <c r="U72" s="2029"/>
      <c r="V72" s="2029"/>
    </row>
    <row r="73" spans="1:22" ht="24" customHeight="1">
      <c r="A73" s="3626" t="s">
        <v>411</v>
      </c>
      <c r="B73" s="3594"/>
      <c r="C73" s="3594"/>
      <c r="D73" s="362">
        <f ca="1">IF(H73="个人住宅",0,ROUND(D63*I73,0))</f>
        <v>61</v>
      </c>
      <c r="E73" s="17" t="s">
        <v>412</v>
      </c>
      <c r="F73" s="360">
        <f>IF(H73="正常",I73,"免征")</f>
        <v>5.0000000000000001E-4</v>
      </c>
      <c r="G73" s="361"/>
      <c r="H73" s="191" t="s">
        <v>3520</v>
      </c>
      <c r="I73" s="360">
        <f>'数据-取费表'!B49</f>
        <v>5.0000000000000001E-4</v>
      </c>
      <c r="J73" s="2036"/>
      <c r="K73" s="1977">
        <v>2</v>
      </c>
      <c r="L73" s="3632" t="s">
        <v>410</v>
      </c>
      <c r="M73" s="3632"/>
      <c r="N73" s="1295">
        <f t="shared" ref="N73:P74" ca="1" si="1">D73</f>
        <v>61</v>
      </c>
      <c r="O73" s="1860" t="str">
        <f t="shared" si="1"/>
        <v>销售额×税（费）率</v>
      </c>
      <c r="P73" s="1296">
        <f t="shared" si="1"/>
        <v>5.0000000000000001E-4</v>
      </c>
      <c r="Q73" s="2029"/>
      <c r="R73" s="2029"/>
      <c r="S73" s="2029"/>
      <c r="T73" s="2029"/>
      <c r="U73" s="2029"/>
      <c r="V73" s="2029"/>
    </row>
    <row r="74" spans="1:22" ht="24.75">
      <c r="A74" s="3626" t="s">
        <v>415</v>
      </c>
      <c r="B74" s="3594"/>
      <c r="C74" s="3594"/>
      <c r="D74" s="362">
        <f ca="1">IF(H74="个人住宅",D75,D76)</f>
        <v>60400</v>
      </c>
      <c r="E74" s="17" t="s">
        <v>416</v>
      </c>
      <c r="F74" s="360" t="str">
        <f>IF(H74="正常",F76,"免征")</f>
        <v>——</v>
      </c>
      <c r="G74" s="982" t="s">
        <v>417</v>
      </c>
      <c r="H74" s="363" t="s">
        <v>413</v>
      </c>
      <c r="I74" s="42"/>
      <c r="J74" s="2036"/>
      <c r="K74" s="1977">
        <v>3</v>
      </c>
      <c r="L74" s="3632" t="s">
        <v>414</v>
      </c>
      <c r="M74" s="3632"/>
      <c r="N74" s="1295">
        <f t="shared" ca="1" si="1"/>
        <v>60400</v>
      </c>
      <c r="O74" s="1860" t="str">
        <f t="shared" si="1"/>
        <v>增值额×税（费）率</v>
      </c>
      <c r="P74" s="1298" t="str">
        <f t="shared" si="1"/>
        <v>——</v>
      </c>
      <c r="Q74" s="2029"/>
      <c r="R74" s="2029"/>
      <c r="S74" s="2029"/>
      <c r="T74" s="2029"/>
      <c r="U74" s="2029"/>
      <c r="V74" s="2029"/>
    </row>
    <row r="75" spans="1:22" ht="24">
      <c r="A75" s="359" t="s">
        <v>418</v>
      </c>
      <c r="B75" s="3582" t="s">
        <v>419</v>
      </c>
      <c r="C75" s="3612"/>
      <c r="D75" s="364">
        <v>0</v>
      </c>
      <c r="E75" s="41" t="s">
        <v>420</v>
      </c>
      <c r="F75" s="365"/>
      <c r="G75" s="361"/>
      <c r="H75" s="42"/>
      <c r="I75" s="42"/>
      <c r="J75" s="2036"/>
      <c r="K75" s="3079">
        <f>IF(H77="非个人房产","",4)</f>
        <v>4</v>
      </c>
      <c r="L75" s="3632" t="str">
        <f>IF(H77="非个人房产","——","个人所得税")</f>
        <v>个人所得税</v>
      </c>
      <c r="M75" s="3632"/>
      <c r="N75" s="1299">
        <f ca="1">D77</f>
        <v>1219</v>
      </c>
      <c r="O75" s="1873" t="str">
        <f>E77</f>
        <v>销售额×税（费）率</v>
      </c>
      <c r="P75" s="1300">
        <f>F77</f>
        <v>0.01</v>
      </c>
      <c r="Q75" s="2029"/>
      <c r="R75" s="2029"/>
      <c r="S75" s="2029"/>
      <c r="T75" s="2029"/>
      <c r="U75" s="2029"/>
      <c r="V75" s="2029"/>
    </row>
    <row r="76" spans="1:22" ht="24.75">
      <c r="A76" s="359" t="s">
        <v>396</v>
      </c>
      <c r="B76" s="3582" t="s">
        <v>422</v>
      </c>
      <c r="C76" s="3583"/>
      <c r="D76" s="362">
        <f ca="1">IF(H76="转让取得",C99,C115)</f>
        <v>60400</v>
      </c>
      <c r="E76" s="17" t="s">
        <v>423</v>
      </c>
      <c r="F76" s="53" t="s">
        <v>21</v>
      </c>
      <c r="G76" s="361"/>
      <c r="H76" s="363" t="s">
        <v>424</v>
      </c>
      <c r="I76" s="42"/>
      <c r="J76" s="2036"/>
      <c r="K76" s="3079" t="str">
        <f>IF(项目基本情况!K6="上海银行",IF(K75="",4,K75+1),"")</f>
        <v/>
      </c>
      <c r="L76" s="3643" t="str">
        <f>IF(项目基本情况!K6="上海银行","其他处置费用","")</f>
        <v/>
      </c>
      <c r="M76" s="3644"/>
      <c r="N76" s="1295" t="str">
        <f>IF(项目基本情况!K6="上海银行",N89,"")</f>
        <v/>
      </c>
      <c r="O76" s="3645" t="str">
        <f>IF(项目基本情况!K6="上海银行","包含处置中涉及的律师、诉讼、拍卖、评估等费用","")</f>
        <v/>
      </c>
      <c r="P76" s="3646"/>
      <c r="Q76" s="2029"/>
      <c r="R76" s="2029"/>
      <c r="S76" s="2029"/>
      <c r="T76" s="2029"/>
      <c r="U76" s="2029"/>
      <c r="V76" s="2029"/>
    </row>
    <row r="77" spans="1:22" ht="26.25" thickBot="1">
      <c r="A77" s="3634" t="s">
        <v>426</v>
      </c>
      <c r="B77" s="3635"/>
      <c r="C77" s="3635"/>
      <c r="D77" s="366">
        <f ca="1">IF(H77="非个人房产","——",IF(H77="个人住宅",0,ROUND(D63*I77,0)))</f>
        <v>1219</v>
      </c>
      <c r="E77" s="367" t="str">
        <f>IF(H77="非个人房产","——","销售额×税（费）率")</f>
        <v>销售额×税（费）率</v>
      </c>
      <c r="F77" s="368">
        <f>IF(H77="非个人房产","——",IF(H77="个人住宅","免征",I77))</f>
        <v>0.01</v>
      </c>
      <c r="G77" s="983" t="s">
        <v>417</v>
      </c>
      <c r="H77" s="363" t="s">
        <v>2889</v>
      </c>
      <c r="I77" s="369">
        <v>0.01</v>
      </c>
      <c r="J77" s="2036"/>
      <c r="K77" s="3633">
        <f>IF(AND(K75="",K76=""),4,IF(项目基本情况!K6="上海银行",K76+1,K75+1))</f>
        <v>5</v>
      </c>
      <c r="L77" s="3632" t="s">
        <v>2890</v>
      </c>
      <c r="M77" s="3085" t="s">
        <v>421</v>
      </c>
      <c r="N77" s="1301"/>
      <c r="O77" s="1302">
        <f ca="1">SUMIF(N72:N76,"&lt;9e307")</f>
        <v>68063</v>
      </c>
      <c r="P77" s="1303"/>
      <c r="Q77" s="3083">
        <f ca="1">O77/N69</f>
        <v>0.55852521704879288</v>
      </c>
      <c r="R77" s="2029"/>
      <c r="S77" s="2029"/>
      <c r="T77" s="2029"/>
      <c r="U77" s="2029"/>
      <c r="V77" s="2029"/>
    </row>
    <row r="78" spans="1:22" ht="12" customHeight="1">
      <c r="A78" s="1304"/>
      <c r="B78" s="311"/>
      <c r="C78" s="311"/>
      <c r="D78" s="311"/>
      <c r="E78" s="42"/>
      <c r="F78" s="42"/>
      <c r="G78" s="42"/>
      <c r="H78" s="1002"/>
      <c r="I78" s="311"/>
      <c r="J78" s="2036"/>
      <c r="K78" s="3633"/>
      <c r="L78" s="3632"/>
      <c r="M78" s="3085" t="s">
        <v>425</v>
      </c>
      <c r="N78" s="1301"/>
      <c r="O78" s="1302" t="str">
        <f ca="1">NUMBERSTRING(INT(O77*10000),2)&amp;"元整"</f>
        <v>陆亿捌仟零陆拾叁万元整</v>
      </c>
      <c r="P78" s="1303"/>
      <c r="Q78" s="2029"/>
      <c r="R78" s="2029"/>
      <c r="S78" s="2029"/>
      <c r="T78" s="2029"/>
      <c r="U78" s="2029"/>
      <c r="V78" s="2029"/>
    </row>
    <row r="79" spans="1:22" ht="13.5" thickBot="1">
      <c r="A79" s="3627" t="s">
        <v>427</v>
      </c>
      <c r="B79" s="3627"/>
      <c r="C79" s="3627"/>
      <c r="D79" s="3627"/>
      <c r="E79" s="3627"/>
      <c r="F79" s="42"/>
      <c r="G79" s="42"/>
      <c r="H79" s="1002"/>
      <c r="I79" s="311"/>
      <c r="J79" s="2036"/>
      <c r="K79" s="3653">
        <f>K77+1</f>
        <v>6</v>
      </c>
      <c r="L79" s="3632" t="s">
        <v>2891</v>
      </c>
      <c r="M79" s="3085" t="s">
        <v>421</v>
      </c>
      <c r="N79" s="1301"/>
      <c r="O79" s="1302">
        <f ca="1">N69-O77</f>
        <v>53799</v>
      </c>
      <c r="P79" s="1303"/>
      <c r="Q79" s="2029"/>
      <c r="R79" s="2029"/>
      <c r="S79" s="2029"/>
      <c r="T79" s="2029"/>
      <c r="U79" s="2029"/>
      <c r="V79" s="2029"/>
    </row>
    <row r="80" spans="1:22" ht="25.5">
      <c r="A80" s="3622" t="s">
        <v>428</v>
      </c>
      <c r="B80" s="3623"/>
      <c r="C80" s="993"/>
      <c r="D80" s="993" t="s">
        <v>429</v>
      </c>
      <c r="E80" s="370" t="s">
        <v>430</v>
      </c>
      <c r="F80" s="42"/>
      <c r="G80" s="42"/>
      <c r="H80" s="1002"/>
      <c r="I80" s="311"/>
      <c r="J80" s="2029"/>
      <c r="K80" s="3654"/>
      <c r="L80" s="3632"/>
      <c r="M80" s="3085" t="s">
        <v>425</v>
      </c>
      <c r="N80" s="1301"/>
      <c r="O80" s="1302" t="str">
        <f ca="1">NUMBERSTRING(INT(O79*10000),2)&amp;"元整"</f>
        <v>伍亿叁仟柒佰玖拾玖万元整</v>
      </c>
      <c r="P80" s="1303"/>
      <c r="Q80" s="2029"/>
      <c r="R80" s="2029"/>
      <c r="S80" s="2029"/>
      <c r="T80" s="2029"/>
      <c r="U80" s="2029"/>
      <c r="V80" s="2029"/>
    </row>
    <row r="81" spans="1:26" ht="13.5" thickBot="1">
      <c r="A81" s="381" t="s">
        <v>1825</v>
      </c>
      <c r="B81" s="371" t="s">
        <v>431</v>
      </c>
      <c r="C81" s="372">
        <f ca="1">ROUND((C82+C83)/(1+'数据-取费表'!C42),0)</f>
        <v>116059</v>
      </c>
      <c r="D81" s="373"/>
      <c r="E81" s="374"/>
      <c r="F81" s="42"/>
      <c r="G81" s="42"/>
      <c r="H81" s="1002"/>
      <c r="I81" s="311"/>
      <c r="J81" s="2029"/>
      <c r="K81" s="3079">
        <f>K79+1</f>
        <v>7</v>
      </c>
      <c r="L81" s="3630" t="s">
        <v>2892</v>
      </c>
      <c r="M81" s="3631"/>
      <c r="N81" s="1305"/>
      <c r="O81" s="1306">
        <f ca="1">ROUND(O79*10000/'数据-汇总表'!E3,0)</f>
        <v>2177</v>
      </c>
      <c r="P81" s="1307"/>
      <c r="Q81" s="2029"/>
      <c r="R81" s="2029"/>
      <c r="S81" s="2029"/>
      <c r="T81" s="2029"/>
      <c r="U81" s="2029"/>
      <c r="V81" s="2029"/>
    </row>
    <row r="82" spans="1:26" ht="13.5" thickTop="1">
      <c r="A82" s="375" t="s">
        <v>1826</v>
      </c>
      <c r="B82" s="376" t="s">
        <v>432</v>
      </c>
      <c r="C82" s="377">
        <f ca="1">D63</f>
        <v>121862</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2"/>
      <c r="I83" s="311"/>
      <c r="J83" s="2029"/>
      <c r="K83" s="3642" t="s">
        <v>2879</v>
      </c>
      <c r="L83" s="3091" t="s">
        <v>2880</v>
      </c>
      <c r="M83" s="3081">
        <f ca="1">IF(N69&gt;10000,N69*0.5%,IF(AND(N69&gt;1000,N69&lt;=10000),N69*1%,IF(AND(N69&gt;100,N69&lt;=1000),N69*3%,IF(AND(N69&gt;10,N69&lt;=100),N69*5%,N69*8%))))</f>
        <v>609.31000000000006</v>
      </c>
      <c r="N83" s="53">
        <f ca="1">ROUND(M83,1)</f>
        <v>609.29999999999995</v>
      </c>
      <c r="O83" s="3084"/>
      <c r="P83" s="2029"/>
      <c r="Q83" s="2029"/>
      <c r="R83" s="2029"/>
      <c r="S83" s="2029"/>
      <c r="T83" s="2029"/>
      <c r="U83" s="2029"/>
      <c r="V83" s="2029"/>
    </row>
    <row r="84" spans="1:26" ht="12.75">
      <c r="A84" s="381" t="s">
        <v>1828</v>
      </c>
      <c r="B84" s="382" t="s">
        <v>434</v>
      </c>
      <c r="C84" s="383"/>
      <c r="D84" s="384" t="s">
        <v>19</v>
      </c>
      <c r="E84" s="3126" t="s">
        <v>2948</v>
      </c>
      <c r="F84" s="42"/>
      <c r="G84" s="42"/>
      <c r="H84" s="1002"/>
      <c r="I84" s="311"/>
      <c r="J84" s="2029"/>
      <c r="K84" s="3642"/>
      <c r="L84" s="3091" t="s">
        <v>2881</v>
      </c>
      <c r="M84" s="3081">
        <f ca="1">IF(N69&gt;2000,N69*0.5%,IF(AND(N69&gt;1000,N69&lt;=2000),N69*0.6%,IF(AND(N69&gt;500,N69&lt;=1000),N69*0.7%,IF(AND(N69&gt;200,N69&lt;=500),N69*0.8%,IF(AND(N69&gt;100,N69&lt;=200),N69*0.9%,IF(AND(N69&gt;50,N69&lt;=100),N69*1%,IF(AND(N69&gt;20,N69&lt;=50),N69*1.5%,IF(AND(N69&gt;10,N69&lt;=20),N69*2%,IF(AND(N69&gt;1,N69&lt;=10),N69*2.5%)))))))))</f>
        <v>609.31000000000006</v>
      </c>
      <c r="N84" s="53">
        <f t="shared" ref="N84:N85" ca="1" si="2">ROUND(M84,1)</f>
        <v>609.29999999999995</v>
      </c>
      <c r="O84" s="2029" t="s">
        <v>2882</v>
      </c>
      <c r="P84" s="2029"/>
      <c r="Q84" s="2029"/>
      <c r="R84" s="2029"/>
      <c r="S84" s="2029"/>
      <c r="T84" s="2029"/>
      <c r="U84" s="2029"/>
      <c r="V84" s="2029"/>
    </row>
    <row r="85" spans="1:26" ht="12.75">
      <c r="A85" s="381" t="s">
        <v>1829</v>
      </c>
      <c r="B85" s="382" t="s">
        <v>435</v>
      </c>
      <c r="C85" s="385">
        <f ca="1">C81-C84</f>
        <v>116059</v>
      </c>
      <c r="D85" s="378" t="s">
        <v>19</v>
      </c>
      <c r="E85" s="379"/>
      <c r="F85" s="42"/>
      <c r="G85" s="42"/>
      <c r="H85" s="1002"/>
      <c r="I85" s="311"/>
      <c r="J85" s="2029"/>
      <c r="K85" s="3642"/>
      <c r="L85" s="3091" t="s">
        <v>2883</v>
      </c>
      <c r="M85" s="3081">
        <f ca="1">IF(N69&gt;1000,N69*0.1%,IF(AND(N69&gt;500,N69&lt;=1000),N69*0.5%,IF(AND(N69&gt;50,N69&lt;=500),N69*1%,IF(AND(N69&gt;1,N69&lt;=50),N69*1.5%))))</f>
        <v>121.86200000000001</v>
      </c>
      <c r="N85" s="53">
        <f t="shared" ca="1" si="2"/>
        <v>121.9</v>
      </c>
      <c r="O85" s="2029" t="s">
        <v>2882</v>
      </c>
      <c r="P85" s="2029"/>
      <c r="Q85" s="2029"/>
      <c r="R85" s="2029"/>
      <c r="S85" s="2029"/>
      <c r="T85" s="2029"/>
      <c r="U85" s="2029"/>
      <c r="V85" s="2029"/>
    </row>
    <row r="86" spans="1:26" ht="13.5" thickBot="1">
      <c r="A86" s="386" t="s">
        <v>1830</v>
      </c>
      <c r="B86" s="387" t="s">
        <v>436</v>
      </c>
      <c r="C86" s="388">
        <f ca="1">IF(C85&lt;=0,0,ROUND(C85*D86,0))</f>
        <v>6383</v>
      </c>
      <c r="D86" s="389">
        <f>'数据-取费表'!B41</f>
        <v>5.5000000000000007E-2</v>
      </c>
      <c r="E86" s="390"/>
      <c r="F86" s="42"/>
      <c r="G86" s="42"/>
      <c r="H86" s="1002"/>
      <c r="I86" s="311"/>
      <c r="J86" s="2029"/>
      <c r="K86" s="3642"/>
      <c r="L86" s="3091" t="s">
        <v>2884</v>
      </c>
      <c r="M86" s="3081">
        <f ca="1">N69*0.5%</f>
        <v>609.31000000000006</v>
      </c>
      <c r="N86" s="53">
        <f ca="1">IF(M86&gt;0.5,0.5,ROUND(M86,0))</f>
        <v>0.5</v>
      </c>
      <c r="O86" s="2029" t="s">
        <v>2885</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642"/>
      <c r="L87" s="3091" t="s">
        <v>2886</v>
      </c>
      <c r="M87" s="3081">
        <f ca="1">IF(N69&gt;=10000,(8.25+(N69-10000)*0.01%),IF(AND(N69&gt;=8000,N69&lt;10000),(7.85+(N69-8000)*0.02%),IF(AND(N69&gt;=5000,N69&lt;8000),(6.65+(N69-5000)*0.04%),IF(AND(N69&gt;=2000,N69&lt;5000),(4.25+(PN69-2000)*0.08%),IF(AND(N69&gt;=1000,N69&lt;2000),(2.75+(N69-1000)*0.15%),IF(AND(N69&gt;=100,N69&lt;1000),(0.5+(N69-100)*0.25%),IF(AND(N69&gt;0,N69&lt;100),N69*0.5%)))))))</f>
        <v>19.436199999999999</v>
      </c>
      <c r="N87" s="53">
        <f ca="1">ROUND(M87*0.9,1)</f>
        <v>17.5</v>
      </c>
      <c r="O87" s="3084"/>
      <c r="P87" s="311"/>
      <c r="Q87" s="2029"/>
      <c r="R87" s="2029"/>
      <c r="S87" s="2029"/>
      <c r="T87" s="2029"/>
      <c r="U87" s="2029"/>
      <c r="V87" s="2029"/>
      <c r="W87" s="292"/>
      <c r="X87" s="292"/>
      <c r="Y87" s="292"/>
      <c r="Z87" s="292"/>
    </row>
    <row r="88" spans="1:26" s="1313" customFormat="1" ht="15" thickBot="1">
      <c r="A88" s="3624" t="s">
        <v>437</v>
      </c>
      <c r="B88" s="3625"/>
      <c r="C88" s="3625"/>
      <c r="D88" s="3625"/>
      <c r="E88" s="3625"/>
      <c r="F88" s="3625"/>
      <c r="G88" s="3625"/>
      <c r="H88" s="3625"/>
      <c r="I88" s="1314"/>
      <c r="J88" s="2037"/>
      <c r="K88" s="3642"/>
      <c r="L88" s="3091" t="s">
        <v>2887</v>
      </c>
      <c r="M88" s="3081">
        <f ca="1">IF(N69&gt;10000,N69*0.5%,IF(AND(N69&gt;5000,N69&lt;=10000),N69*1%,IF(AND(N69&gt;1000,N69&lt;=5000),N69*2%,IF(AND(N69&gt;200,N69&lt;=1000),N69*3%,N69*5%))))</f>
        <v>609.31000000000006</v>
      </c>
      <c r="N88" s="53">
        <f ca="1">ROUND(M88,1)</f>
        <v>609.29999999999995</v>
      </c>
      <c r="O88" s="3084"/>
      <c r="P88" s="11"/>
      <c r="Q88" s="2034"/>
      <c r="R88" s="2034"/>
      <c r="S88" s="2034"/>
      <c r="T88" s="2034"/>
      <c r="U88" s="2034"/>
      <c r="V88" s="2034"/>
      <c r="W88" s="2038"/>
      <c r="X88" s="2038"/>
      <c r="Y88" s="2038"/>
      <c r="Z88" s="2038"/>
    </row>
    <row r="89" spans="1:26" s="1313" customFormat="1" ht="14.25">
      <c r="A89" s="3622" t="s">
        <v>428</v>
      </c>
      <c r="B89" s="3623"/>
      <c r="C89" s="993"/>
      <c r="D89" s="993" t="s">
        <v>429</v>
      </c>
      <c r="E89" s="391" t="s">
        <v>438</v>
      </c>
      <c r="F89" s="392"/>
      <c r="G89" s="392"/>
      <c r="H89" s="393"/>
      <c r="I89" s="1315"/>
      <c r="J89" s="2039"/>
      <c r="K89" s="3642"/>
      <c r="L89" s="3091" t="s">
        <v>27</v>
      </c>
      <c r="M89" s="3082"/>
      <c r="N89" s="53">
        <f ca="1">ROUND(SUM(N83:N88),0)</f>
        <v>1968</v>
      </c>
      <c r="O89" s="3092">
        <f ca="1">N89/N69</f>
        <v>1.6149414911949583E-2</v>
      </c>
      <c r="P89" s="2034"/>
      <c r="Q89" s="2034"/>
      <c r="R89" s="2034"/>
      <c r="S89" s="2034"/>
      <c r="T89" s="2034"/>
      <c r="U89" s="2034"/>
      <c r="V89" s="2034"/>
      <c r="W89" s="2038"/>
      <c r="X89" s="2038"/>
      <c r="Y89" s="2038"/>
      <c r="Z89" s="2038"/>
    </row>
    <row r="90" spans="1:26" s="1313" customFormat="1" ht="14.25">
      <c r="A90" s="381" t="s">
        <v>1825</v>
      </c>
      <c r="B90" s="382" t="s">
        <v>439</v>
      </c>
      <c r="C90" s="385">
        <f ca="1">ROUND(D63/(1+'数据-取费表'!C42),0)</f>
        <v>116059</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1831</v>
      </c>
      <c r="B91" s="348" t="s">
        <v>440</v>
      </c>
      <c r="C91" s="385">
        <f ca="1">C92+C96</f>
        <v>3161</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1832</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1834</v>
      </c>
      <c r="B94" s="400" t="s">
        <v>446</v>
      </c>
      <c r="C94" s="378">
        <f>IF(F93="购房发票",ROUND(C93*H93*5%,0),0)</f>
        <v>500</v>
      </c>
      <c r="D94" s="401">
        <v>0.05</v>
      </c>
      <c r="E94" s="3585" t="s">
        <v>447</v>
      </c>
      <c r="F94" s="3584"/>
      <c r="G94" s="3584"/>
      <c r="H94" s="362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1836</v>
      </c>
      <c r="B96" s="376" t="s">
        <v>450</v>
      </c>
      <c r="C96" s="405">
        <f ca="1">ROUND(D63*D96/(1+'数据-取费表'!C42),0)</f>
        <v>580</v>
      </c>
      <c r="D96" s="406">
        <f>'数据-取费表'!B43</f>
        <v>5.000000000000001E-3</v>
      </c>
      <c r="E96" s="3613" t="s">
        <v>2433</v>
      </c>
      <c r="F96" s="3614"/>
      <c r="G96" s="3614"/>
      <c r="H96" s="3615"/>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1837</v>
      </c>
      <c r="B97" s="382" t="s">
        <v>451</v>
      </c>
      <c r="C97" s="385">
        <f ca="1">C90-C91</f>
        <v>112898</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1838</v>
      </c>
      <c r="B98" s="382" t="s">
        <v>452</v>
      </c>
      <c r="C98" s="407">
        <f ca="1">IF(C97&lt;=0,0,C97/C91)</f>
        <v>35.715912685858903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1839</v>
      </c>
      <c r="B99" s="387" t="s">
        <v>453</v>
      </c>
      <c r="C99" s="408">
        <f ca="1">ROUND(IF(C97&lt;=0,0,IF(C98&gt;=200%,C97*60%-C91*35%,IF(C98&gt;=100%,C97*50%-C91*15%,IF(C98&gt;=50%,C97*40%-C91*5%,IF(C98&lt;50%,C97*30%,0))))),0)</f>
        <v>66632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624" t="s">
        <v>454</v>
      </c>
      <c r="B101" s="3625"/>
      <c r="C101" s="3625"/>
      <c r="D101" s="3625"/>
      <c r="E101" s="3625"/>
      <c r="F101" s="3625"/>
      <c r="G101" s="3625"/>
      <c r="H101" s="3625"/>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622" t="s">
        <v>428</v>
      </c>
      <c r="B102" s="3623"/>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1825</v>
      </c>
      <c r="B103" s="382" t="s">
        <v>439</v>
      </c>
      <c r="C103" s="385">
        <f ca="1">ROUND(D63/(1+'数据-取费表'!C42),0)</f>
        <v>116059</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1831</v>
      </c>
      <c r="B104" s="348" t="s">
        <v>440</v>
      </c>
      <c r="C104" s="385">
        <f ca="1">IF(H106="仅含出让金",C105+C108+C109+C110+C111+C112,C105+C109+C110+C111+C112)</f>
        <v>9721</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1832</v>
      </c>
      <c r="B105" s="376" t="s">
        <v>455</v>
      </c>
      <c r="C105" s="405">
        <f>C106+C107</f>
        <v>8310</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1833</v>
      </c>
      <c r="B106" s="376" t="s">
        <v>456</v>
      </c>
      <c r="C106" s="416">
        <v>7987</v>
      </c>
      <c r="D106" s="406"/>
      <c r="E106" s="417" t="s">
        <v>457</v>
      </c>
      <c r="F106" s="985"/>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1834</v>
      </c>
      <c r="B107" s="376" t="s">
        <v>448</v>
      </c>
      <c r="C107" s="405">
        <f>ROUND(C106*D107,0)</f>
        <v>323</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1836</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6" t="s">
        <v>461</v>
      </c>
      <c r="C109" s="405">
        <f>IF(H109="——",IF(F1="现房",'剩余法-现房'!C18,'剩余法-待开发'!C18),I109)</f>
        <v>0</v>
      </c>
      <c r="D109" s="406"/>
      <c r="E109" s="3616" t="s">
        <v>462</v>
      </c>
      <c r="F109" s="3614"/>
      <c r="G109" s="3614"/>
      <c r="H109" s="1942" t="s">
        <v>2283</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6" t="s">
        <v>463</v>
      </c>
      <c r="C110" s="405">
        <f>ROUND((C105+C108+C109)*D110,0)</f>
        <v>831</v>
      </c>
      <c r="D110" s="406">
        <v>0.1</v>
      </c>
      <c r="E110" s="3616" t="s">
        <v>464</v>
      </c>
      <c r="F110" s="3614"/>
      <c r="G110" s="3614"/>
      <c r="H110" s="3615"/>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6" t="s">
        <v>450</v>
      </c>
      <c r="C111" s="405">
        <f ca="1">ROUND(D63*D111/(1+'数据-取费表'!C42),0)</f>
        <v>580</v>
      </c>
      <c r="D111" s="406">
        <f>'数据-取费表'!B43</f>
        <v>5.000000000000001E-3</v>
      </c>
      <c r="E111" s="3613" t="s">
        <v>2433</v>
      </c>
      <c r="F111" s="3614"/>
      <c r="G111" s="3614"/>
      <c r="H111" s="3615"/>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6" t="s">
        <v>465</v>
      </c>
      <c r="C112" s="405">
        <f>ROUND(C108*D112,0)</f>
        <v>0</v>
      </c>
      <c r="D112" s="406">
        <v>0.2</v>
      </c>
      <c r="E112" s="3616" t="s">
        <v>2458</v>
      </c>
      <c r="F112" s="3614"/>
      <c r="G112" s="3614"/>
      <c r="H112" s="3615"/>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1837</v>
      </c>
      <c r="B113" s="382" t="s">
        <v>451</v>
      </c>
      <c r="C113" s="385">
        <f ca="1">ROUND(C103-C104,0)</f>
        <v>106338</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2" t="s">
        <v>452</v>
      </c>
      <c r="C114" s="407">
        <f ca="1">IF(C113&lt;=0,0,C113/C104)</f>
        <v>10.938998045468573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1839</v>
      </c>
      <c r="B115" s="387" t="s">
        <v>453</v>
      </c>
      <c r="C115" s="408">
        <f ca="1">ROUND(IF(C113&lt;=0,0,IF(C114&gt;=200%,C113*60%-C104*35%,IF(C114&gt;=100%,C113*50%-C104*15%,IF(C114&gt;=50%,C113*40%-C104*5%,IF(C114&lt;50%,C113*30%,0))))),0)</f>
        <v>60400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Normal="95" zoomScaleSheetLayoutView="100" workbookViewId="0">
      <selection activeCell="C29" sqref="C29:K3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71266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10">
        <f>ROUND(B2*10000/'数据-汇总表'!E3,0)</f>
        <v>2884</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521</v>
      </c>
      <c r="B4" s="427">
        <f>IF(B48="单位面积地价",C50,ROUND(B2*10000/'数据-汇总表'!D3,0))</f>
        <v>7210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481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667" t="s">
        <v>523</v>
      </c>
      <c r="D6" s="3668"/>
      <c r="E6" s="3667" t="s">
        <v>524</v>
      </c>
      <c r="F6" s="3668"/>
      <c r="G6" s="3667" t="s">
        <v>525</v>
      </c>
      <c r="H6" s="3668"/>
      <c r="I6" s="3667" t="s">
        <v>526</v>
      </c>
      <c r="J6" s="3668"/>
      <c r="K6" s="514" t="s">
        <v>527</v>
      </c>
      <c r="L6" s="2134"/>
      <c r="M6" s="2133"/>
      <c r="N6" s="2133"/>
      <c r="O6" s="2135"/>
      <c r="P6" s="3669" t="s">
        <v>528</v>
      </c>
      <c r="Q6" s="3670"/>
      <c r="R6" s="3675" t="s">
        <v>524</v>
      </c>
      <c r="S6" s="3676"/>
      <c r="T6" s="3675" t="s">
        <v>525</v>
      </c>
      <c r="U6" s="3676"/>
      <c r="V6" s="3662" t="s">
        <v>526</v>
      </c>
      <c r="W6" s="3662"/>
      <c r="X6" s="1567"/>
      <c r="Y6" s="3675" t="s">
        <v>528</v>
      </c>
      <c r="Z6" s="3676"/>
      <c r="AA6" s="3664" t="s">
        <v>524</v>
      </c>
      <c r="AB6" s="3665" t="s">
        <v>525</v>
      </c>
      <c r="AC6" s="3664" t="s">
        <v>526</v>
      </c>
    </row>
    <row r="7" spans="1:30" ht="20.25">
      <c r="A7" s="515"/>
      <c r="B7" s="516"/>
      <c r="C7" s="3685" t="s">
        <v>3529</v>
      </c>
      <c r="D7" s="3684"/>
      <c r="E7" s="3683" t="str">
        <f>土地案例!$A$5</f>
        <v>兴旺街南侧、家和路东侧</v>
      </c>
      <c r="F7" s="3684"/>
      <c r="G7" s="3683" t="str">
        <f>土地案例!$A$11</f>
        <v>兴旺街南侧、家和路东侧</v>
      </c>
      <c r="H7" s="3684"/>
      <c r="I7" s="3683" t="str">
        <f>土地案例!$A$20</f>
        <v>孔雀环路内侧</v>
      </c>
      <c r="J7" s="3684"/>
      <c r="K7" s="514"/>
      <c r="L7" s="2134"/>
      <c r="M7" s="2133"/>
      <c r="N7" s="2133"/>
      <c r="O7" s="2135"/>
      <c r="P7" s="3671"/>
      <c r="Q7" s="3672"/>
      <c r="R7" s="3677"/>
      <c r="S7" s="3678"/>
      <c r="T7" s="3677"/>
      <c r="U7" s="3678"/>
      <c r="V7" s="3662"/>
      <c r="W7" s="3662"/>
      <c r="X7" s="1567"/>
      <c r="Y7" s="3677"/>
      <c r="Z7" s="3678"/>
      <c r="AA7" s="3665"/>
      <c r="AB7" s="3665"/>
      <c r="AC7" s="3665"/>
    </row>
    <row r="8" spans="1:30" ht="21" thickBot="1">
      <c r="A8" s="515"/>
      <c r="B8" s="516"/>
      <c r="C8" s="3681" t="s">
        <v>3530</v>
      </c>
      <c r="D8" s="3682"/>
      <c r="E8" s="3681" t="s">
        <v>3530</v>
      </c>
      <c r="F8" s="3682"/>
      <c r="G8" s="3681" t="s">
        <v>3530</v>
      </c>
      <c r="H8" s="3682"/>
      <c r="I8" s="3681" t="s">
        <v>3530</v>
      </c>
      <c r="J8" s="3682"/>
      <c r="K8" s="514" t="s">
        <v>529</v>
      </c>
      <c r="L8" s="2134"/>
      <c r="M8" s="2133"/>
      <c r="N8" s="2133"/>
      <c r="O8" s="2135"/>
      <c r="P8" s="3673"/>
      <c r="Q8" s="3674"/>
      <c r="R8" s="3677"/>
      <c r="S8" s="3678"/>
      <c r="T8" s="3679"/>
      <c r="U8" s="3680"/>
      <c r="V8" s="3662"/>
      <c r="W8" s="3662"/>
      <c r="X8" s="1567"/>
      <c r="Y8" s="3679"/>
      <c r="Z8" s="3680"/>
      <c r="AA8" s="3666"/>
      <c r="AB8" s="3666"/>
      <c r="AC8" s="3666"/>
    </row>
    <row r="9" spans="1:30" s="1219" customFormat="1" ht="21" thickBot="1">
      <c r="A9" s="2938"/>
      <c r="B9" s="2945" t="s">
        <v>530</v>
      </c>
      <c r="C9" s="2937">
        <f>'数据-取费表'!B2</f>
        <v>43242</v>
      </c>
      <c r="D9" s="520">
        <v>100</v>
      </c>
      <c r="E9" s="521" t="str">
        <f>土地案例!$AA$5</f>
        <v>2017-11-13</v>
      </c>
      <c r="F9" s="522">
        <f>SUMIF(72:72,YEAR(E9)&amp;"-"&amp;INT((MONTH(E9)+2)/3),73:73)</f>
        <v>98</v>
      </c>
      <c r="G9" s="521" t="str">
        <f>土地案例!$AA$11</f>
        <v>2017-09-20</v>
      </c>
      <c r="H9" s="520">
        <f>SUMIF(72:72,YEAR(G9)&amp;"-"&amp;INT((MONTH(G9)+2)/3),73:73)</f>
        <v>97</v>
      </c>
      <c r="I9" s="521" t="str">
        <f>土地案例!$AA$20</f>
        <v>2017-09-19</v>
      </c>
      <c r="J9" s="520">
        <f>SUMIF(72:72,YEAR(I9)&amp;"-"&amp;INT((MONTH(I9)+2)/3),73:73)</f>
        <v>97</v>
      </c>
      <c r="K9" s="524"/>
      <c r="L9" s="2136"/>
      <c r="M9" s="2133"/>
      <c r="N9" s="2133"/>
      <c r="O9" s="2137"/>
      <c r="P9" s="3691" t="s">
        <v>531</v>
      </c>
      <c r="Q9" s="3693"/>
      <c r="R9" s="1568" t="s">
        <v>8</v>
      </c>
      <c r="S9" s="1569">
        <f t="shared" ref="S9:S17" si="0">F9</f>
        <v>98</v>
      </c>
      <c r="T9" s="1568" t="s">
        <v>8</v>
      </c>
      <c r="U9" s="1569">
        <f t="shared" ref="U9:U17" si="1">H9</f>
        <v>97</v>
      </c>
      <c r="V9" s="1568" t="s">
        <v>8</v>
      </c>
      <c r="W9" s="1569">
        <f t="shared" ref="W9:W17" si="2">J9</f>
        <v>97</v>
      </c>
      <c r="X9" s="1570"/>
      <c r="Y9" s="3691" t="s">
        <v>531</v>
      </c>
      <c r="Z9" s="3692"/>
      <c r="AA9" s="1571">
        <f>D9/F9</f>
        <v>1.0204081632653061</v>
      </c>
      <c r="AB9" s="1571">
        <f>D9/H9</f>
        <v>1.0309278350515463</v>
      </c>
      <c r="AC9" s="1571">
        <f>D9/J9</f>
        <v>1.0309278350515463</v>
      </c>
    </row>
    <row r="10" spans="1:30" s="1219" customFormat="1" ht="21" thickBot="1">
      <c r="A10" s="2939"/>
      <c r="B10" s="2946"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691" t="s">
        <v>534</v>
      </c>
      <c r="Q10" s="3692"/>
      <c r="R10" s="1568" t="s">
        <v>8</v>
      </c>
      <c r="S10" s="1569">
        <f t="shared" si="0"/>
        <v>100</v>
      </c>
      <c r="T10" s="1568" t="s">
        <v>8</v>
      </c>
      <c r="U10" s="1569">
        <f t="shared" si="1"/>
        <v>100</v>
      </c>
      <c r="V10" s="1568" t="s">
        <v>8</v>
      </c>
      <c r="W10" s="1569">
        <f t="shared" si="2"/>
        <v>100</v>
      </c>
      <c r="X10" s="1570"/>
      <c r="Y10" s="3691" t="s">
        <v>534</v>
      </c>
      <c r="Z10" s="3692"/>
      <c r="AA10" s="1571">
        <f t="shared" ref="AA10:AA47" si="3">D10/F10</f>
        <v>1</v>
      </c>
      <c r="AB10" s="1571">
        <f t="shared" ref="AB10:AB47" si="4">D10/H10</f>
        <v>1</v>
      </c>
      <c r="AC10" s="1571">
        <f t="shared" ref="AC10:AC47" si="5">D10/J10</f>
        <v>1</v>
      </c>
    </row>
    <row r="11" spans="1:30" s="1219" customFormat="1" ht="20.25">
      <c r="A11" s="2940"/>
      <c r="B11" s="2947" t="s">
        <v>2761</v>
      </c>
      <c r="C11" s="2934" t="s">
        <v>924</v>
      </c>
      <c r="D11" s="254">
        <v>100</v>
      </c>
      <c r="E11" s="2934" t="s">
        <v>924</v>
      </c>
      <c r="F11" s="254">
        <f>SUMIF(77:77,E11,78:78)-SUMIF(77:77,C11,78:78)+100</f>
        <v>100</v>
      </c>
      <c r="G11" s="2934" t="s">
        <v>924</v>
      </c>
      <c r="H11" s="254">
        <f>SUMIF(77:77,G11,78:78)-SUMIF(77:77,C11,78:78)+100</f>
        <v>100</v>
      </c>
      <c r="I11" s="2934" t="s">
        <v>924</v>
      </c>
      <c r="J11" s="254">
        <f>SUMIF(77:77,I11,78:78)-SUMIF(77:77,C11,78:78)+100</f>
        <v>100</v>
      </c>
      <c r="K11" s="524"/>
      <c r="L11" s="2136"/>
      <c r="M11" s="2133"/>
      <c r="N11" s="2133"/>
      <c r="O11" s="2138"/>
      <c r="P11" s="3661" t="s">
        <v>536</v>
      </c>
      <c r="Q11" s="1150" t="str">
        <f t="shared" ref="Q11:Q17" si="6">B11</f>
        <v>用途</v>
      </c>
      <c r="R11" s="1568" t="s">
        <v>8</v>
      </c>
      <c r="S11" s="1569">
        <f t="shared" si="0"/>
        <v>100</v>
      </c>
      <c r="T11" s="1568" t="s">
        <v>8</v>
      </c>
      <c r="U11" s="1569">
        <f t="shared" si="1"/>
        <v>100</v>
      </c>
      <c r="V11" s="1568" t="s">
        <v>8</v>
      </c>
      <c r="W11" s="1569">
        <f t="shared" si="2"/>
        <v>100</v>
      </c>
      <c r="X11" s="1570"/>
      <c r="Y11" s="3607" t="s">
        <v>537</v>
      </c>
      <c r="Z11" s="1149" t="str">
        <f t="shared" ref="Z11:Z17" si="7">Q11</f>
        <v>用途</v>
      </c>
      <c r="AA11" s="1571">
        <f t="shared" si="3"/>
        <v>1</v>
      </c>
      <c r="AB11" s="1571">
        <f t="shared" si="4"/>
        <v>1</v>
      </c>
      <c r="AC11" s="1571">
        <f t="shared" si="5"/>
        <v>1</v>
      </c>
    </row>
    <row r="12" spans="1:30" s="1337" customFormat="1" ht="27">
      <c r="A12" s="2941"/>
      <c r="B12" s="2946" t="s">
        <v>2762</v>
      </c>
      <c r="C12" s="909" t="s">
        <v>3559</v>
      </c>
      <c r="D12" s="255">
        <v>100</v>
      </c>
      <c r="E12" s="529" t="s">
        <v>3558</v>
      </c>
      <c r="F12" s="255">
        <f>ROUND(100/'数据-取费表'!G16,0)</f>
        <v>103</v>
      </c>
      <c r="G12" s="529" t="s">
        <v>3558</v>
      </c>
      <c r="H12" s="255">
        <f>ROUND(100/'数据-取费表'!G16,0)</f>
        <v>103</v>
      </c>
      <c r="I12" s="529" t="s">
        <v>3558</v>
      </c>
      <c r="J12" s="255">
        <f>ROUND(100/'数据-取费表'!G16,0)</f>
        <v>103</v>
      </c>
      <c r="K12" s="531"/>
      <c r="L12" s="2139"/>
      <c r="M12" s="2133"/>
      <c r="N12" s="2133"/>
      <c r="O12" s="2140"/>
      <c r="P12" s="3661"/>
      <c r="Q12" s="1150" t="str">
        <f t="shared" si="6"/>
        <v>土地使用年限（年）</v>
      </c>
      <c r="R12" s="1568" t="s">
        <v>8</v>
      </c>
      <c r="S12" s="1569">
        <f t="shared" si="0"/>
        <v>103</v>
      </c>
      <c r="T12" s="1568" t="s">
        <v>8</v>
      </c>
      <c r="U12" s="1569">
        <f t="shared" si="1"/>
        <v>103</v>
      </c>
      <c r="V12" s="1568" t="s">
        <v>8</v>
      </c>
      <c r="W12" s="1569">
        <f t="shared" si="2"/>
        <v>103</v>
      </c>
      <c r="X12" s="1570"/>
      <c r="Y12" s="3607"/>
      <c r="Z12" s="1149" t="str">
        <f t="shared" si="7"/>
        <v>土地使用年限（年）</v>
      </c>
      <c r="AA12" s="1571">
        <f t="shared" si="3"/>
        <v>0.970873786407767</v>
      </c>
      <c r="AB12" s="1571">
        <f t="shared" si="4"/>
        <v>0.970873786407767</v>
      </c>
      <c r="AC12" s="1571">
        <f t="shared" si="5"/>
        <v>0.970873786407767</v>
      </c>
    </row>
    <row r="13" spans="1:30" ht="20.25">
      <c r="A13" s="2942"/>
      <c r="B13" s="2946" t="s">
        <v>2763</v>
      </c>
      <c r="C13" s="534">
        <f>'数据-汇总表'!I6</f>
        <v>2.5</v>
      </c>
      <c r="D13" s="255">
        <v>100</v>
      </c>
      <c r="E13" s="533">
        <v>2</v>
      </c>
      <c r="F13" s="255">
        <f>LOOKUP(E13,82:82,83:83)-LOOKUP(C13,82:82,83:83)+100</f>
        <v>100</v>
      </c>
      <c r="G13" s="534">
        <v>2</v>
      </c>
      <c r="H13" s="255">
        <f>LOOKUP(G13,82:82,83:83)-LOOKUP(C13,82:82,83:83)+100</f>
        <v>100</v>
      </c>
      <c r="I13" s="533">
        <v>2</v>
      </c>
      <c r="J13" s="255">
        <f>LOOKUP(I13,82:82,83:83)-LOOKUP(C13,82:82,83:83)+100</f>
        <v>100</v>
      </c>
      <c r="K13" s="535">
        <v>1</v>
      </c>
      <c r="L13" s="2141"/>
      <c r="M13" s="2133"/>
      <c r="N13" s="2133"/>
      <c r="O13" s="2142"/>
      <c r="P13" s="3661"/>
      <c r="Q13" s="1150" t="str">
        <f t="shared" si="6"/>
        <v>容积率</v>
      </c>
      <c r="R13" s="1568" t="s">
        <v>8</v>
      </c>
      <c r="S13" s="1569">
        <f t="shared" si="0"/>
        <v>100</v>
      </c>
      <c r="T13" s="1568" t="s">
        <v>8</v>
      </c>
      <c r="U13" s="1569">
        <f t="shared" si="1"/>
        <v>100</v>
      </c>
      <c r="V13" s="1568" t="s">
        <v>8</v>
      </c>
      <c r="W13" s="1569">
        <f t="shared" si="2"/>
        <v>100</v>
      </c>
      <c r="X13" s="1570"/>
      <c r="Y13" s="3607"/>
      <c r="Z13" s="1149" t="str">
        <f t="shared" si="7"/>
        <v>容积率</v>
      </c>
      <c r="AA13" s="1571">
        <f t="shared" si="3"/>
        <v>1</v>
      </c>
      <c r="AB13" s="1571">
        <f t="shared" si="4"/>
        <v>1</v>
      </c>
      <c r="AC13" s="1571">
        <f t="shared" si="5"/>
        <v>1</v>
      </c>
    </row>
    <row r="14" spans="1:30" s="1219" customFormat="1" ht="20.25">
      <c r="A14" s="2939"/>
      <c r="B14" s="2948" t="s">
        <v>2764</v>
      </c>
      <c r="C14" s="2935" t="s">
        <v>3531</v>
      </c>
      <c r="D14" s="538">
        <v>100</v>
      </c>
      <c r="E14" s="1374" t="s">
        <v>3532</v>
      </c>
      <c r="F14" s="255">
        <f>SUMIF(84:84,E14,85:85)-SUMIF(84:84,C14,85:85)+100</f>
        <v>105</v>
      </c>
      <c r="G14" s="1374" t="s">
        <v>3532</v>
      </c>
      <c r="H14" s="255">
        <f>SUMIF(84:84,G14,85:85)-SUMIF(84:84,C14,85:85)+100</f>
        <v>105</v>
      </c>
      <c r="I14" s="1374" t="s">
        <v>3532</v>
      </c>
      <c r="J14" s="255">
        <f>SUMIF(84:84,I14,85:85)-SUMIF(84:84,C14,85:85)+100</f>
        <v>105</v>
      </c>
      <c r="K14" s="531"/>
      <c r="L14" s="2136"/>
      <c r="M14" s="2133"/>
      <c r="N14" s="2133"/>
      <c r="O14" s="2138"/>
      <c r="P14" s="3661"/>
      <c r="Q14" s="1150" t="str">
        <f t="shared" si="6"/>
        <v>配建</v>
      </c>
      <c r="R14" s="1568" t="s">
        <v>8</v>
      </c>
      <c r="S14" s="1569">
        <f t="shared" si="0"/>
        <v>105</v>
      </c>
      <c r="T14" s="1568" t="s">
        <v>8</v>
      </c>
      <c r="U14" s="1569">
        <f t="shared" si="1"/>
        <v>105</v>
      </c>
      <c r="V14" s="1568" t="s">
        <v>8</v>
      </c>
      <c r="W14" s="1569">
        <f t="shared" si="2"/>
        <v>105</v>
      </c>
      <c r="X14" s="1570"/>
      <c r="Y14" s="3607"/>
      <c r="Z14" s="1149" t="str">
        <f t="shared" si="7"/>
        <v>配建</v>
      </c>
      <c r="AA14" s="1571">
        <f>D14/F14</f>
        <v>0.95238095238095233</v>
      </c>
      <c r="AB14" s="1571">
        <f>D14/H14</f>
        <v>0.95238095238095233</v>
      </c>
      <c r="AC14" s="1571">
        <f>D14/J14</f>
        <v>0.95238095238095233</v>
      </c>
    </row>
    <row r="15" spans="1:30" ht="20.25">
      <c r="A15" s="2943"/>
      <c r="B15" s="2949">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61"/>
      <c r="Q15" s="1150">
        <f t="shared" si="6"/>
        <v>111</v>
      </c>
      <c r="R15" s="1568" t="s">
        <v>8</v>
      </c>
      <c r="S15" s="1569">
        <f t="shared" si="0"/>
        <v>100</v>
      </c>
      <c r="T15" s="1568" t="s">
        <v>8</v>
      </c>
      <c r="U15" s="1569">
        <f t="shared" si="1"/>
        <v>100</v>
      </c>
      <c r="V15" s="1568" t="s">
        <v>8</v>
      </c>
      <c r="W15" s="1569">
        <f t="shared" si="2"/>
        <v>100</v>
      </c>
      <c r="X15" s="1570"/>
      <c r="Y15" s="3607"/>
      <c r="Z15" s="1149">
        <f t="shared" si="7"/>
        <v>111</v>
      </c>
      <c r="AA15" s="1571">
        <f>D15/F15</f>
        <v>1</v>
      </c>
      <c r="AB15" s="1571">
        <f>D15/H15</f>
        <v>1</v>
      </c>
      <c r="AC15" s="1571">
        <f>D15/J15</f>
        <v>1</v>
      </c>
    </row>
    <row r="16" spans="1:30" ht="21" thickBot="1">
      <c r="A16" s="2944"/>
      <c r="B16" s="2950">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61"/>
      <c r="Q16" s="1150">
        <f t="shared" si="6"/>
        <v>111</v>
      </c>
      <c r="R16" s="1568" t="s">
        <v>8</v>
      </c>
      <c r="S16" s="1569">
        <f t="shared" si="0"/>
        <v>100</v>
      </c>
      <c r="T16" s="1568" t="s">
        <v>8</v>
      </c>
      <c r="U16" s="1569">
        <f t="shared" si="1"/>
        <v>100</v>
      </c>
      <c r="V16" s="1568" t="s">
        <v>8</v>
      </c>
      <c r="W16" s="1569">
        <f t="shared" si="2"/>
        <v>100</v>
      </c>
      <c r="X16" s="1570"/>
      <c r="Y16" s="3607"/>
      <c r="Z16" s="1149">
        <f t="shared" si="7"/>
        <v>111</v>
      </c>
      <c r="AA16" s="1571">
        <f>D16/F16</f>
        <v>1</v>
      </c>
      <c r="AB16" s="1571">
        <f>D16/H16</f>
        <v>1</v>
      </c>
      <c r="AC16" s="1571">
        <f>D16/J16</f>
        <v>1</v>
      </c>
    </row>
    <row r="17" spans="1:29" ht="99.75">
      <c r="A17" s="2936" t="s">
        <v>2759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0"/>
      <c r="H17" s="549">
        <f>SUMIF(90:90,G18,91:91)-SUMIF(90:90,C18,91:91)+100</f>
        <v>95</v>
      </c>
      <c r="I17" s="552"/>
      <c r="J17" s="549">
        <f>SUMIF(90:90,I18,91:91)-SUMIF(90:90,C18,91:91)+100</f>
        <v>100</v>
      </c>
      <c r="K17" s="535">
        <v>5</v>
      </c>
      <c r="L17" s="2143"/>
      <c r="M17" s="2133"/>
      <c r="N17" s="2133"/>
      <c r="O17" s="2142"/>
      <c r="P17" s="3694" t="s">
        <v>541</v>
      </c>
      <c r="Q17" s="1572" t="str">
        <f t="shared" si="6"/>
        <v>居住社区成熟度</v>
      </c>
      <c r="R17" s="1573" t="s">
        <v>8</v>
      </c>
      <c r="S17" s="1574">
        <f t="shared" si="0"/>
        <v>95</v>
      </c>
      <c r="T17" s="1573" t="s">
        <v>8</v>
      </c>
      <c r="U17" s="1574">
        <f t="shared" si="1"/>
        <v>95</v>
      </c>
      <c r="V17" s="1573" t="s">
        <v>8</v>
      </c>
      <c r="W17" s="1574">
        <f t="shared" si="2"/>
        <v>100</v>
      </c>
      <c r="X17" s="1567"/>
      <c r="Y17" s="3694" t="s">
        <v>541</v>
      </c>
      <c r="Z17" s="1575" t="str">
        <f t="shared" si="7"/>
        <v>居住社区成熟度</v>
      </c>
      <c r="AA17" s="1576">
        <f t="shared" si="3"/>
        <v>1.0526315789473684</v>
      </c>
      <c r="AB17" s="1576">
        <f t="shared" si="4"/>
        <v>1.0526315789473684</v>
      </c>
      <c r="AC17" s="1576">
        <f t="shared" si="5"/>
        <v>1</v>
      </c>
    </row>
    <row r="18" spans="1:29" ht="20.25">
      <c r="A18" s="532"/>
      <c r="B18" s="553"/>
      <c r="C18" s="554" t="s">
        <v>3224</v>
      </c>
      <c r="D18" s="557"/>
      <c r="E18" s="554" t="s">
        <v>3223</v>
      </c>
      <c r="F18" s="555"/>
      <c r="G18" s="554" t="s">
        <v>3223</v>
      </c>
      <c r="H18" s="559"/>
      <c r="I18" s="554" t="s">
        <v>3224</v>
      </c>
      <c r="J18" s="555"/>
      <c r="K18" s="531"/>
      <c r="L18" s="2143"/>
      <c r="M18" s="2133"/>
      <c r="N18" s="2133"/>
      <c r="O18" s="2142"/>
      <c r="P18" s="3695"/>
      <c r="Q18" s="1572"/>
      <c r="R18" s="1573"/>
      <c r="S18" s="1574"/>
      <c r="T18" s="1573"/>
      <c r="U18" s="1574"/>
      <c r="V18" s="1573"/>
      <c r="W18" s="1574"/>
      <c r="X18" s="1567"/>
      <c r="Y18" s="3695"/>
      <c r="Z18" s="1575"/>
      <c r="AA18" s="1576">
        <v>1</v>
      </c>
      <c r="AB18" s="1576">
        <v>1</v>
      </c>
      <c r="AC18" s="1576">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95"/>
      <c r="Q19" s="1572" t="str">
        <f>B19</f>
        <v>商业繁华度</v>
      </c>
      <c r="R19" s="1573" t="s">
        <v>8</v>
      </c>
      <c r="S19" s="1574">
        <f>F19</f>
        <v>100</v>
      </c>
      <c r="T19" s="1573" t="s">
        <v>8</v>
      </c>
      <c r="U19" s="1574">
        <f>H19</f>
        <v>100</v>
      </c>
      <c r="V19" s="1573" t="s">
        <v>8</v>
      </c>
      <c r="W19" s="1574">
        <f>J19</f>
        <v>100</v>
      </c>
      <c r="X19" s="1567"/>
      <c r="Y19" s="3695"/>
      <c r="Z19" s="1575" t="str">
        <f>Q19</f>
        <v>商业繁华度</v>
      </c>
      <c r="AA19" s="1576">
        <f t="shared" si="3"/>
        <v>1</v>
      </c>
      <c r="AB19" s="1576">
        <f t="shared" si="4"/>
        <v>1</v>
      </c>
      <c r="AC19" s="1576">
        <f t="shared" si="5"/>
        <v>1</v>
      </c>
    </row>
    <row r="20" spans="1:29" ht="20.25">
      <c r="A20" s="532"/>
      <c r="B20" s="566"/>
      <c r="C20" s="567"/>
      <c r="D20" s="563"/>
      <c r="E20" s="567"/>
      <c r="F20" s="559"/>
      <c r="G20" s="567"/>
      <c r="H20" s="555"/>
      <c r="I20" s="567"/>
      <c r="J20" s="555"/>
      <c r="K20" s="531"/>
      <c r="L20" s="2143"/>
      <c r="M20" s="2133"/>
      <c r="N20" s="2133"/>
      <c r="O20" s="2142"/>
      <c r="P20" s="3695"/>
      <c r="Q20" s="1572"/>
      <c r="R20" s="1573"/>
      <c r="S20" s="1574"/>
      <c r="T20" s="1573"/>
      <c r="U20" s="1574"/>
      <c r="V20" s="1573"/>
      <c r="W20" s="1574"/>
      <c r="X20" s="1567"/>
      <c r="Y20" s="3695"/>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95"/>
      <c r="Q21" s="1572" t="str">
        <f>B21</f>
        <v>办公集聚程度</v>
      </c>
      <c r="R21" s="1573" t="s">
        <v>8</v>
      </c>
      <c r="S21" s="1574">
        <f>F21</f>
        <v>100</v>
      </c>
      <c r="T21" s="1573" t="s">
        <v>8</v>
      </c>
      <c r="U21" s="1574">
        <f>H21</f>
        <v>100</v>
      </c>
      <c r="V21" s="1573" t="s">
        <v>8</v>
      </c>
      <c r="W21" s="1574">
        <f>J21</f>
        <v>100</v>
      </c>
      <c r="X21" s="1567"/>
      <c r="Y21" s="3695"/>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695"/>
      <c r="Q22" s="1572"/>
      <c r="R22" s="1573"/>
      <c r="S22" s="1574"/>
      <c r="T22" s="1573"/>
      <c r="U22" s="1574"/>
      <c r="V22" s="1573"/>
      <c r="W22" s="1574"/>
      <c r="X22" s="1567"/>
      <c r="Y22" s="3695"/>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695"/>
      <c r="Q23" s="1572" t="str">
        <f>B23</f>
        <v>交通便捷度</v>
      </c>
      <c r="R23" s="1573" t="s">
        <v>8</v>
      </c>
      <c r="S23" s="1574">
        <f>F23</f>
        <v>100</v>
      </c>
      <c r="T23" s="1573" t="s">
        <v>8</v>
      </c>
      <c r="U23" s="1574">
        <f>H23</f>
        <v>100</v>
      </c>
      <c r="V23" s="1573" t="s">
        <v>8</v>
      </c>
      <c r="W23" s="1574">
        <f>J23</f>
        <v>100</v>
      </c>
      <c r="X23" s="1567"/>
      <c r="Y23" s="3695"/>
      <c r="Z23" s="1575" t="str">
        <f>Q23</f>
        <v>交通便捷度</v>
      </c>
      <c r="AA23" s="1576">
        <f t="shared" si="3"/>
        <v>1</v>
      </c>
      <c r="AB23" s="1576">
        <f t="shared" si="4"/>
        <v>1</v>
      </c>
      <c r="AC23" s="1576">
        <f t="shared" si="5"/>
        <v>1</v>
      </c>
    </row>
    <row r="24" spans="1:29" ht="20.25">
      <c r="A24" s="532"/>
      <c r="B24" s="578"/>
      <c r="C24" s="554" t="s">
        <v>3223</v>
      </c>
      <c r="D24" s="557"/>
      <c r="E24" s="554" t="s">
        <v>3223</v>
      </c>
      <c r="F24" s="555"/>
      <c r="G24" s="554" t="s">
        <v>3223</v>
      </c>
      <c r="H24" s="555"/>
      <c r="I24" s="554" t="s">
        <v>3223</v>
      </c>
      <c r="J24" s="555"/>
      <c r="K24" s="531"/>
      <c r="L24" s="2143"/>
      <c r="M24" s="2133"/>
      <c r="N24" s="2133"/>
      <c r="O24" s="2142"/>
      <c r="P24" s="3695"/>
      <c r="Q24" s="1572"/>
      <c r="R24" s="1573"/>
      <c r="S24" s="1574"/>
      <c r="T24" s="1573"/>
      <c r="U24" s="1574"/>
      <c r="V24" s="1573"/>
      <c r="W24" s="1574"/>
      <c r="X24" s="1567"/>
      <c r="Y24" s="3695"/>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695"/>
      <c r="Q25" s="1572" t="str">
        <f t="shared" ref="Q25:Q39" si="8">B25</f>
        <v>区域土地利用方向</v>
      </c>
      <c r="R25" s="1573" t="s">
        <v>8</v>
      </c>
      <c r="S25" s="1574">
        <f>F25</f>
        <v>100</v>
      </c>
      <c r="T25" s="1573" t="s">
        <v>8</v>
      </c>
      <c r="U25" s="1574">
        <f>H25</f>
        <v>100</v>
      </c>
      <c r="V25" s="1573" t="s">
        <v>8</v>
      </c>
      <c r="W25" s="1574">
        <f>J25</f>
        <v>100</v>
      </c>
      <c r="X25" s="1567"/>
      <c r="Y25" s="3695"/>
      <c r="Z25" s="1575" t="str">
        <f>Q25</f>
        <v>区域土地利用方向</v>
      </c>
      <c r="AA25" s="1576">
        <f t="shared" si="3"/>
        <v>1</v>
      </c>
      <c r="AB25" s="1576">
        <f t="shared" si="4"/>
        <v>1</v>
      </c>
      <c r="AC25" s="1576">
        <f t="shared" si="5"/>
        <v>1</v>
      </c>
    </row>
    <row r="26" spans="1:29" ht="20.25">
      <c r="A26" s="515"/>
      <c r="B26" s="1006"/>
      <c r="C26" s="554" t="s">
        <v>3224</v>
      </c>
      <c r="D26" s="557"/>
      <c r="E26" s="554" t="s">
        <v>3224</v>
      </c>
      <c r="F26" s="555"/>
      <c r="G26" s="554" t="s">
        <v>3224</v>
      </c>
      <c r="H26" s="555"/>
      <c r="I26" s="554" t="s">
        <v>3224</v>
      </c>
      <c r="J26" s="555"/>
      <c r="K26" s="531"/>
      <c r="L26" s="2143"/>
      <c r="M26" s="2133"/>
      <c r="N26" s="2133"/>
      <c r="O26" s="2142"/>
      <c r="P26" s="3695"/>
      <c r="Q26" s="1572"/>
      <c r="R26" s="1573"/>
      <c r="S26" s="1574"/>
      <c r="T26" s="1573"/>
      <c r="U26" s="1574"/>
      <c r="V26" s="1573"/>
      <c r="W26" s="1574"/>
      <c r="X26" s="1567"/>
      <c r="Y26" s="3695"/>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43"/>
      <c r="M27" s="2133"/>
      <c r="N27" s="2133"/>
      <c r="O27" s="2142"/>
      <c r="P27" s="3695"/>
      <c r="Q27" s="1572" t="str">
        <f t="shared" si="8"/>
        <v>自然及人文环境状况</v>
      </c>
      <c r="R27" s="1573" t="s">
        <v>8</v>
      </c>
      <c r="S27" s="1574">
        <f>F27</f>
        <v>98</v>
      </c>
      <c r="T27" s="1573" t="s">
        <v>8</v>
      </c>
      <c r="U27" s="1574">
        <f>H27</f>
        <v>98</v>
      </c>
      <c r="V27" s="1573" t="s">
        <v>8</v>
      </c>
      <c r="W27" s="1574">
        <f>J27</f>
        <v>98</v>
      </c>
      <c r="X27" s="1567"/>
      <c r="Y27" s="3695"/>
      <c r="Z27" s="1575" t="str">
        <f>Q27</f>
        <v>自然及人文环境状况</v>
      </c>
      <c r="AA27" s="1576">
        <f t="shared" si="3"/>
        <v>1.0204081632653061</v>
      </c>
      <c r="AB27" s="1576">
        <f t="shared" si="4"/>
        <v>1.0204081632653061</v>
      </c>
      <c r="AC27" s="1576">
        <f t="shared" si="5"/>
        <v>1.0204081632653061</v>
      </c>
    </row>
    <row r="28" spans="1:29" ht="20.25">
      <c r="A28" s="515"/>
      <c r="B28" s="566"/>
      <c r="C28" s="554" t="s">
        <v>3224</v>
      </c>
      <c r="D28" s="557"/>
      <c r="E28" s="554" t="s">
        <v>3223</v>
      </c>
      <c r="F28" s="555"/>
      <c r="G28" s="554" t="s">
        <v>3223</v>
      </c>
      <c r="H28" s="555"/>
      <c r="I28" s="554" t="s">
        <v>3223</v>
      </c>
      <c r="J28" s="555"/>
      <c r="K28" s="531"/>
      <c r="L28" s="2143"/>
      <c r="M28" s="2133"/>
      <c r="N28" s="2133"/>
      <c r="O28" s="2142"/>
      <c r="P28" s="3695"/>
      <c r="Q28" s="1572"/>
      <c r="R28" s="1573"/>
      <c r="S28" s="1574"/>
      <c r="T28" s="1573"/>
      <c r="U28" s="1574"/>
      <c r="V28" s="1573"/>
      <c r="W28" s="1574"/>
      <c r="X28" s="1567"/>
      <c r="Y28" s="3695"/>
      <c r="Z28" s="1575"/>
      <c r="AA28" s="1576">
        <v>1</v>
      </c>
      <c r="AB28" s="1576">
        <v>1</v>
      </c>
      <c r="AC28" s="1576">
        <v>1</v>
      </c>
    </row>
    <row r="29" spans="1:29" s="1219" customFormat="1" ht="42.75">
      <c r="A29" s="577"/>
      <c r="B29" s="2616" t="s">
        <v>2554</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36"/>
      <c r="M29" s="2133"/>
      <c r="N29" s="2133"/>
      <c r="O29" s="2138"/>
      <c r="P29" s="3695"/>
      <c r="Q29" s="1150" t="str">
        <f t="shared" si="8"/>
        <v>公共配套设施</v>
      </c>
      <c r="R29" s="1568" t="s">
        <v>8</v>
      </c>
      <c r="S29" s="1569">
        <f>F29</f>
        <v>98</v>
      </c>
      <c r="T29" s="1568" t="s">
        <v>8</v>
      </c>
      <c r="U29" s="1569">
        <f>H29</f>
        <v>98</v>
      </c>
      <c r="V29" s="1568" t="s">
        <v>8</v>
      </c>
      <c r="W29" s="1569">
        <f>J29</f>
        <v>100</v>
      </c>
      <c r="X29" s="1570"/>
      <c r="Y29" s="3695"/>
      <c r="Z29" s="1149" t="str">
        <f>Q29</f>
        <v>公共配套设施</v>
      </c>
      <c r="AA29" s="1576">
        <f>D29/F29</f>
        <v>1.0204081632653061</v>
      </c>
      <c r="AB29" s="1576">
        <f>D29/H29</f>
        <v>1.0204081632653061</v>
      </c>
      <c r="AC29" s="1576">
        <f>D29/J29</f>
        <v>1</v>
      </c>
    </row>
    <row r="30" spans="1:29" s="1219" customFormat="1" ht="20.25">
      <c r="A30" s="577"/>
      <c r="B30" s="566"/>
      <c r="C30" s="579" t="s">
        <v>3223</v>
      </c>
      <c r="D30" s="557"/>
      <c r="E30" s="579" t="s">
        <v>3563</v>
      </c>
      <c r="F30" s="555"/>
      <c r="G30" s="579" t="s">
        <v>3563</v>
      </c>
      <c r="H30" s="555"/>
      <c r="I30" s="579" t="s">
        <v>3223</v>
      </c>
      <c r="J30" s="555"/>
      <c r="K30" s="531"/>
      <c r="L30" s="2136"/>
      <c r="M30" s="2133"/>
      <c r="N30" s="2133"/>
      <c r="O30" s="2138"/>
      <c r="P30" s="3695"/>
      <c r="Q30" s="1150"/>
      <c r="R30" s="1568"/>
      <c r="S30" s="1569"/>
      <c r="T30" s="1568"/>
      <c r="U30" s="1569"/>
      <c r="V30" s="1568"/>
      <c r="W30" s="1569"/>
      <c r="X30" s="1570"/>
      <c r="Y30" s="3695"/>
      <c r="Z30" s="1149"/>
      <c r="AA30" s="1576">
        <v>1</v>
      </c>
      <c r="AB30" s="1576">
        <v>1</v>
      </c>
      <c r="AC30" s="1576">
        <v>1</v>
      </c>
    </row>
    <row r="31" spans="1:29" s="1219" customFormat="1" ht="28.5">
      <c r="A31" s="577"/>
      <c r="B31" s="2616" t="s">
        <v>2555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695"/>
      <c r="Q31" s="2603" t="str">
        <f t="shared" ref="Q31" si="9">B31</f>
        <v>基础设施水平</v>
      </c>
      <c r="R31" s="1568" t="s">
        <v>8</v>
      </c>
      <c r="S31" s="1569">
        <f>F31</f>
        <v>100</v>
      </c>
      <c r="T31" s="1568" t="s">
        <v>8</v>
      </c>
      <c r="U31" s="1569">
        <f>H31</f>
        <v>100</v>
      </c>
      <c r="V31" s="1568" t="s">
        <v>8</v>
      </c>
      <c r="W31" s="1569">
        <f>J31</f>
        <v>100</v>
      </c>
      <c r="X31" s="1570"/>
      <c r="Y31" s="3695"/>
      <c r="Z31" s="2600" t="str">
        <f>Q31</f>
        <v>基础设施水平</v>
      </c>
      <c r="AA31" s="1576">
        <f>D31/F31</f>
        <v>1</v>
      </c>
      <c r="AB31" s="1576">
        <f>D31/H31</f>
        <v>1</v>
      </c>
      <c r="AC31" s="1576">
        <f>D31/J31</f>
        <v>1</v>
      </c>
    </row>
    <row r="32" spans="1:29" s="1219" customFormat="1" ht="20.25">
      <c r="A32" s="577"/>
      <c r="B32" s="566"/>
      <c r="C32" s="579" t="s">
        <v>3562</v>
      </c>
      <c r="D32" s="557"/>
      <c r="E32" s="579" t="s">
        <v>3562</v>
      </c>
      <c r="F32" s="555"/>
      <c r="G32" s="579" t="s">
        <v>3562</v>
      </c>
      <c r="H32" s="555"/>
      <c r="I32" s="579" t="s">
        <v>3562</v>
      </c>
      <c r="J32" s="555"/>
      <c r="K32" s="531"/>
      <c r="L32" s="2136"/>
      <c r="M32" s="2133"/>
      <c r="N32" s="2133"/>
      <c r="O32" s="2138"/>
      <c r="P32" s="3695"/>
      <c r="Q32" s="2603"/>
      <c r="R32" s="1568"/>
      <c r="S32" s="1569"/>
      <c r="T32" s="1568"/>
      <c r="U32" s="1569"/>
      <c r="V32" s="1568"/>
      <c r="W32" s="1569"/>
      <c r="X32" s="1570"/>
      <c r="Y32" s="3695"/>
      <c r="Z32" s="2600"/>
      <c r="AA32" s="1576">
        <v>1</v>
      </c>
      <c r="AB32" s="1576">
        <v>1</v>
      </c>
      <c r="AC32" s="1576">
        <v>1</v>
      </c>
    </row>
    <row r="33" spans="1:29" ht="20.25">
      <c r="A33" s="532"/>
      <c r="B33" s="566" t="s">
        <v>548</v>
      </c>
      <c r="C33" s="580" t="s">
        <v>3564</v>
      </c>
      <c r="D33" s="575">
        <v>100</v>
      </c>
      <c r="E33" s="580" t="s">
        <v>3564</v>
      </c>
      <c r="F33" s="540">
        <f>SUMIF(106:106,E33,107:107)-SUMIF(106:106,C33,107:107)+100</f>
        <v>100</v>
      </c>
      <c r="G33" s="580" t="s">
        <v>3564</v>
      </c>
      <c r="H33" s="540">
        <f>SUMIF(106:106,G33,107:107)-SUMIF(106:106,C33,107:107)+100</f>
        <v>100</v>
      </c>
      <c r="I33" s="580" t="s">
        <v>3564</v>
      </c>
      <c r="J33" s="540">
        <f>SUMIF(106:106,I33,107:107)-SUMIF(106:106,C33,107:107)+100</f>
        <v>100</v>
      </c>
      <c r="K33" s="535">
        <v>1</v>
      </c>
      <c r="L33" s="2143"/>
      <c r="M33" s="2133"/>
      <c r="N33" s="2133"/>
      <c r="O33" s="2142"/>
      <c r="P33" s="369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95"/>
      <c r="Z33" s="1575" t="str">
        <f t="shared" ref="Z33:Z47" si="13">Q33</f>
        <v>临街状况</v>
      </c>
      <c r="AA33" s="1576">
        <f t="shared" si="3"/>
        <v>1</v>
      </c>
      <c r="AB33" s="1576">
        <f t="shared" si="4"/>
        <v>1</v>
      </c>
      <c r="AC33" s="1576">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695"/>
      <c r="Q34" s="1572" t="str">
        <f t="shared" si="8"/>
        <v>毗邻道路的类型与等级</v>
      </c>
      <c r="R34" s="1573" t="s">
        <v>8</v>
      </c>
      <c r="S34" s="1574">
        <f t="shared" si="10"/>
        <v>100</v>
      </c>
      <c r="T34" s="1573" t="s">
        <v>8</v>
      </c>
      <c r="U34" s="1574">
        <f t="shared" si="11"/>
        <v>100</v>
      </c>
      <c r="V34" s="1573" t="s">
        <v>8</v>
      </c>
      <c r="W34" s="1574">
        <f t="shared" si="12"/>
        <v>100</v>
      </c>
      <c r="X34" s="1567"/>
      <c r="Y34" s="3695"/>
      <c r="Z34" s="1575" t="str">
        <f t="shared" si="13"/>
        <v>毗邻道路的类型与等级</v>
      </c>
      <c r="AA34" s="1576">
        <f t="shared" si="3"/>
        <v>1</v>
      </c>
      <c r="AB34" s="1576">
        <f t="shared" si="4"/>
        <v>1</v>
      </c>
      <c r="AC34" s="1576">
        <f t="shared" si="5"/>
        <v>1</v>
      </c>
    </row>
    <row r="35" spans="1:29" ht="20.25">
      <c r="A35" s="532"/>
      <c r="B35" s="566"/>
      <c r="C35" s="554" t="s">
        <v>3565</v>
      </c>
      <c r="D35" s="557"/>
      <c r="E35" s="554" t="s">
        <v>3565</v>
      </c>
      <c r="F35" s="555"/>
      <c r="G35" s="554" t="s">
        <v>3565</v>
      </c>
      <c r="H35" s="555"/>
      <c r="I35" s="554" t="s">
        <v>3565</v>
      </c>
      <c r="J35" s="555"/>
      <c r="K35" s="581"/>
      <c r="L35" s="2143"/>
      <c r="M35" s="2133"/>
      <c r="N35" s="2133"/>
      <c r="O35" s="2142"/>
      <c r="P35" s="3695"/>
      <c r="Q35" s="1572"/>
      <c r="R35" s="1573"/>
      <c r="S35" s="1574"/>
      <c r="T35" s="1573"/>
      <c r="U35" s="1574"/>
      <c r="V35" s="1573"/>
      <c r="W35" s="1574"/>
      <c r="X35" s="1567"/>
      <c r="Y35" s="3695"/>
      <c r="Z35" s="1575"/>
      <c r="AA35" s="1576">
        <v>1</v>
      </c>
      <c r="AB35" s="1576">
        <v>1</v>
      </c>
      <c r="AC35" s="1576">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95"/>
      <c r="Q36" s="1572" t="str">
        <f t="shared" si="8"/>
        <v>土地级别</v>
      </c>
      <c r="R36" s="1573" t="s">
        <v>8</v>
      </c>
      <c r="S36" s="1574">
        <f t="shared" si="10"/>
        <v>100</v>
      </c>
      <c r="T36" s="1573" t="s">
        <v>8</v>
      </c>
      <c r="U36" s="1574">
        <f t="shared" si="11"/>
        <v>100</v>
      </c>
      <c r="V36" s="1573" t="s">
        <v>8</v>
      </c>
      <c r="W36" s="1574">
        <f t="shared" si="12"/>
        <v>100</v>
      </c>
      <c r="X36" s="1567"/>
      <c r="Y36" s="3695"/>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95"/>
      <c r="Q37" s="1572">
        <f t="shared" si="8"/>
        <v>111</v>
      </c>
      <c r="R37" s="1573" t="s">
        <v>8</v>
      </c>
      <c r="S37" s="1574">
        <f t="shared" si="10"/>
        <v>100</v>
      </c>
      <c r="T37" s="1573" t="s">
        <v>8</v>
      </c>
      <c r="U37" s="1574">
        <f t="shared" si="11"/>
        <v>100</v>
      </c>
      <c r="V37" s="1573" t="s">
        <v>8</v>
      </c>
      <c r="W37" s="1574">
        <f t="shared" si="12"/>
        <v>100</v>
      </c>
      <c r="X37" s="1567"/>
      <c r="Y37" s="369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96" t="s">
        <v>551</v>
      </c>
      <c r="Q38" s="1572">
        <f t="shared" si="8"/>
        <v>111</v>
      </c>
      <c r="R38" s="1573" t="s">
        <v>8</v>
      </c>
      <c r="S38" s="1574">
        <f t="shared" si="10"/>
        <v>100</v>
      </c>
      <c r="T38" s="1573" t="s">
        <v>8</v>
      </c>
      <c r="U38" s="1574">
        <f t="shared" si="11"/>
        <v>100</v>
      </c>
      <c r="V38" s="1573" t="s">
        <v>8</v>
      </c>
      <c r="W38" s="1574">
        <f t="shared" si="12"/>
        <v>100</v>
      </c>
      <c r="X38" s="1567"/>
      <c r="Y38" s="3697" t="s">
        <v>551</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97"/>
      <c r="Q39" s="1572">
        <f t="shared" si="8"/>
        <v>111</v>
      </c>
      <c r="R39" s="1577" t="s">
        <v>8</v>
      </c>
      <c r="S39" s="1578">
        <f t="shared" si="10"/>
        <v>100</v>
      </c>
      <c r="T39" s="1577" t="s">
        <v>8</v>
      </c>
      <c r="U39" s="1578">
        <f t="shared" si="11"/>
        <v>100</v>
      </c>
      <c r="V39" s="1577" t="s">
        <v>8</v>
      </c>
      <c r="W39" s="1578">
        <f t="shared" si="12"/>
        <v>100</v>
      </c>
      <c r="X39" s="1579"/>
      <c r="Y39" s="3697"/>
      <c r="Z39" s="1580">
        <f t="shared" si="13"/>
        <v>111</v>
      </c>
      <c r="AA39" s="1576">
        <f t="shared" si="3"/>
        <v>1</v>
      </c>
      <c r="AB39" s="1576">
        <f t="shared" si="4"/>
        <v>1</v>
      </c>
      <c r="AC39" s="1576">
        <f t="shared" si="5"/>
        <v>1</v>
      </c>
    </row>
    <row r="40" spans="1:29" ht="20.25">
      <c r="A40" s="2933" t="s">
        <v>2760</v>
      </c>
      <c r="B40" s="595" t="s">
        <v>553</v>
      </c>
      <c r="C40" s="596">
        <f>'数据-基础表'!A3</f>
        <v>98842.6</v>
      </c>
      <c r="D40" s="597">
        <v>100</v>
      </c>
      <c r="E40" s="596">
        <f>土地案例!$J$5</f>
        <v>20183.84</v>
      </c>
      <c r="F40" s="597">
        <f>LOOKUP(E40,119:119,120:120)-LOOKUP(C40,119:119,120:120)+100</f>
        <v>98.5</v>
      </c>
      <c r="G40" s="596">
        <f>土地案例!$J$11</f>
        <v>28841.38</v>
      </c>
      <c r="H40" s="597">
        <f>LOOKUP(G40,119:119,120:120)-LOOKUP(C40,119:119,120:120)+100</f>
        <v>98.5</v>
      </c>
      <c r="I40" s="598">
        <f>土地案例!$J$20</f>
        <v>2110.6799999999998</v>
      </c>
      <c r="J40" s="597">
        <f>LOOKUP(I40,119:119,120:120)-LOOKUP(C40,119:119,120:120)+100</f>
        <v>98</v>
      </c>
      <c r="K40" s="581"/>
      <c r="L40" s="2143"/>
      <c r="M40" s="2133"/>
      <c r="N40" s="2133"/>
      <c r="O40" s="2142"/>
      <c r="P40" s="3697"/>
      <c r="Q40" s="1572" t="str">
        <f>B40</f>
        <v>宗地面积</v>
      </c>
      <c r="R40" s="1573" t="s">
        <v>8</v>
      </c>
      <c r="S40" s="1574">
        <f t="shared" si="10"/>
        <v>98.5</v>
      </c>
      <c r="T40" s="1573" t="s">
        <v>8</v>
      </c>
      <c r="U40" s="1574">
        <f t="shared" si="11"/>
        <v>98.5</v>
      </c>
      <c r="V40" s="1573" t="s">
        <v>8</v>
      </c>
      <c r="W40" s="1574">
        <f t="shared" si="12"/>
        <v>98</v>
      </c>
      <c r="X40" s="1567"/>
      <c r="Y40" s="3697"/>
      <c r="Z40" s="1575" t="str">
        <f t="shared" si="13"/>
        <v>宗地面积</v>
      </c>
      <c r="AA40" s="1576">
        <f t="shared" si="3"/>
        <v>1.015228426395939</v>
      </c>
      <c r="AB40" s="1576">
        <f t="shared" si="4"/>
        <v>1.015228426395939</v>
      </c>
      <c r="AC40" s="1576">
        <f t="shared" si="5"/>
        <v>1.0204081632653061</v>
      </c>
    </row>
    <row r="41" spans="1:29" ht="20.25">
      <c r="A41" s="594"/>
      <c r="B41" s="527" t="s">
        <v>554</v>
      </c>
      <c r="C41" s="599" t="s">
        <v>3540</v>
      </c>
      <c r="D41" s="540">
        <v>100</v>
      </c>
      <c r="E41" s="599" t="s">
        <v>3540</v>
      </c>
      <c r="F41" s="540">
        <f>SUMIF(121:121,E41,122:122)-SUMIF(121:121,C41,122:122)+100</f>
        <v>100</v>
      </c>
      <c r="G41" s="599" t="s">
        <v>3540</v>
      </c>
      <c r="H41" s="540">
        <f>SUMIF(121:121,G41,122:122)-SUMIF(121:121,C41,122:122)+100</f>
        <v>100</v>
      </c>
      <c r="I41" s="599" t="s">
        <v>3540</v>
      </c>
      <c r="J41" s="540">
        <f>SUMIF(121:121,I41,122:122)-SUMIF(121:121,C41,122:122)+100</f>
        <v>100</v>
      </c>
      <c r="K41" s="584">
        <v>1</v>
      </c>
      <c r="L41" s="2143"/>
      <c r="M41" s="2133"/>
      <c r="N41" s="2133"/>
      <c r="O41" s="2142"/>
      <c r="P41" s="3697"/>
      <c r="Q41" s="1572" t="str">
        <f t="shared" ref="Q41:Q47" si="14">B41</f>
        <v>宗地形状</v>
      </c>
      <c r="R41" s="1573" t="s">
        <v>8</v>
      </c>
      <c r="S41" s="1574">
        <f t="shared" si="10"/>
        <v>100</v>
      </c>
      <c r="T41" s="1573" t="s">
        <v>8</v>
      </c>
      <c r="U41" s="1574">
        <f t="shared" si="11"/>
        <v>100</v>
      </c>
      <c r="V41" s="1573" t="s">
        <v>8</v>
      </c>
      <c r="W41" s="1574">
        <f t="shared" si="12"/>
        <v>100</v>
      </c>
      <c r="X41" s="1567"/>
      <c r="Y41" s="3697"/>
      <c r="Z41" s="1575" t="str">
        <f t="shared" si="13"/>
        <v>宗地形状</v>
      </c>
      <c r="AA41" s="1576">
        <f t="shared" si="3"/>
        <v>1</v>
      </c>
      <c r="AB41" s="1576">
        <f t="shared" si="4"/>
        <v>1</v>
      </c>
      <c r="AC41" s="1576">
        <f t="shared" si="5"/>
        <v>1</v>
      </c>
    </row>
    <row r="42" spans="1:29" ht="57">
      <c r="A42" s="594"/>
      <c r="B42" s="527" t="s">
        <v>555</v>
      </c>
      <c r="C42" s="599" t="s">
        <v>3561</v>
      </c>
      <c r="D42" s="540">
        <v>100</v>
      </c>
      <c r="E42" s="599" t="s">
        <v>3561</v>
      </c>
      <c r="F42" s="540">
        <f>SUMIF(123:123,E42,124:124)-SUMIF(123:123,C42,124:124)+100</f>
        <v>100</v>
      </c>
      <c r="G42" s="599" t="s">
        <v>3561</v>
      </c>
      <c r="H42" s="540">
        <f>SUMIF(123:123,G42,124:124)-SUMIF(123:123,C42,124:124)+100</f>
        <v>100</v>
      </c>
      <c r="I42" s="599" t="s">
        <v>3561</v>
      </c>
      <c r="J42" s="540">
        <f>SUMIF(123:123,I42,124:124)-SUMIF(123:123,C42,124:124)+100</f>
        <v>100</v>
      </c>
      <c r="K42" s="584">
        <v>1</v>
      </c>
      <c r="L42" s="2143"/>
      <c r="M42" s="2133"/>
      <c r="N42" s="2133"/>
      <c r="O42" s="2142"/>
      <c r="P42" s="3697"/>
      <c r="Q42" s="1572" t="str">
        <f t="shared" si="14"/>
        <v>临街宽度及深度</v>
      </c>
      <c r="R42" s="1573" t="s">
        <v>8</v>
      </c>
      <c r="S42" s="1574">
        <f t="shared" si="10"/>
        <v>100</v>
      </c>
      <c r="T42" s="1573" t="s">
        <v>8</v>
      </c>
      <c r="U42" s="1574">
        <f t="shared" si="11"/>
        <v>100</v>
      </c>
      <c r="V42" s="1573" t="s">
        <v>8</v>
      </c>
      <c r="W42" s="1574">
        <f t="shared" si="12"/>
        <v>100</v>
      </c>
      <c r="X42" s="1567"/>
      <c r="Y42" s="3697"/>
      <c r="Z42" s="1575" t="str">
        <f t="shared" si="13"/>
        <v>临街宽度及深度</v>
      </c>
      <c r="AA42" s="1576">
        <f t="shared" si="3"/>
        <v>1</v>
      </c>
      <c r="AB42" s="1576">
        <f t="shared" si="4"/>
        <v>1</v>
      </c>
      <c r="AC42" s="1576">
        <f t="shared" si="5"/>
        <v>1</v>
      </c>
    </row>
    <row r="43" spans="1:29" s="1219" customFormat="1" ht="20.25">
      <c r="A43" s="600"/>
      <c r="B43" s="1896" t="s">
        <v>2429</v>
      </c>
      <c r="C43" s="601" t="s">
        <v>3560</v>
      </c>
      <c r="D43" s="255">
        <v>100</v>
      </c>
      <c r="E43" s="601" t="s">
        <v>3560</v>
      </c>
      <c r="F43" s="540">
        <f>SUMIF(125:125,E43,126:126)-SUMIF(125:125,C43,126:126)+100</f>
        <v>100</v>
      </c>
      <c r="G43" s="601" t="s">
        <v>3560</v>
      </c>
      <c r="H43" s="540">
        <f>SUMIF(125:125,G43,126:126)-SUMIF(125:125,C43,126:126)+100</f>
        <v>100</v>
      </c>
      <c r="I43" s="601" t="s">
        <v>3560</v>
      </c>
      <c r="J43" s="540">
        <f>SUMIF(125:125,I43,126:126)-SUMIF(125:125,C43,126:126)+100</f>
        <v>100</v>
      </c>
      <c r="K43" s="584">
        <v>1</v>
      </c>
      <c r="L43" s="2136"/>
      <c r="M43" s="2133"/>
      <c r="N43" s="2133"/>
      <c r="O43" s="2138"/>
      <c r="P43" s="3697"/>
      <c r="Q43" s="1572" t="str">
        <f t="shared" si="14"/>
        <v>宗地开发程度</v>
      </c>
      <c r="R43" s="1568" t="s">
        <v>8</v>
      </c>
      <c r="S43" s="1569">
        <f t="shared" si="10"/>
        <v>100</v>
      </c>
      <c r="T43" s="1568" t="s">
        <v>8</v>
      </c>
      <c r="U43" s="1569">
        <f t="shared" si="11"/>
        <v>100</v>
      </c>
      <c r="V43" s="1568" t="s">
        <v>8</v>
      </c>
      <c r="W43" s="1569">
        <f t="shared" si="12"/>
        <v>100</v>
      </c>
      <c r="X43" s="1570"/>
      <c r="Y43" s="3697"/>
      <c r="Z43" s="1149" t="str">
        <f t="shared" si="13"/>
        <v>宗地开发程度</v>
      </c>
      <c r="AA43" s="1571">
        <f t="shared" si="3"/>
        <v>1</v>
      </c>
      <c r="AB43" s="1571">
        <f t="shared" si="4"/>
        <v>1</v>
      </c>
      <c r="AC43" s="1571">
        <f t="shared" si="5"/>
        <v>1</v>
      </c>
    </row>
    <row r="44" spans="1:29" ht="20.25">
      <c r="A44" s="594"/>
      <c r="B44" s="527" t="s">
        <v>556</v>
      </c>
      <c r="C44" s="599" t="s">
        <v>3224</v>
      </c>
      <c r="D44" s="540">
        <v>100</v>
      </c>
      <c r="E44" s="599" t="s">
        <v>3224</v>
      </c>
      <c r="F44" s="540">
        <f>SUMIF(127:127,E44,128:128)-SUMIF(127:127,C44,128:128)+100</f>
        <v>100</v>
      </c>
      <c r="G44" s="599" t="s">
        <v>3224</v>
      </c>
      <c r="H44" s="540">
        <f>SUMIF(127:127,G44,128:128)-SUMIF(127:127,C44,128:128)+100</f>
        <v>100</v>
      </c>
      <c r="I44" s="599" t="s">
        <v>3224</v>
      </c>
      <c r="J44" s="540">
        <f>SUMIF(127:127,I44,128:128)-SUMIF(127:127,C44,128:128)+100</f>
        <v>100</v>
      </c>
      <c r="K44" s="584">
        <v>1</v>
      </c>
      <c r="L44" s="2143"/>
      <c r="M44" s="2133"/>
      <c r="N44" s="2133"/>
      <c r="O44" s="2142"/>
      <c r="P44" s="3697" t="s">
        <v>551</v>
      </c>
      <c r="Q44" s="1572" t="str">
        <f t="shared" si="14"/>
        <v>工程地质条件</v>
      </c>
      <c r="R44" s="1573" t="s">
        <v>8</v>
      </c>
      <c r="S44" s="1574">
        <f t="shared" si="10"/>
        <v>100</v>
      </c>
      <c r="T44" s="1573" t="s">
        <v>8</v>
      </c>
      <c r="U44" s="1574">
        <f t="shared" si="11"/>
        <v>100</v>
      </c>
      <c r="V44" s="1573" t="s">
        <v>8</v>
      </c>
      <c r="W44" s="1574">
        <f t="shared" si="12"/>
        <v>100</v>
      </c>
      <c r="X44" s="1567"/>
      <c r="Y44" s="3697"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97"/>
      <c r="Q45" s="1572">
        <f t="shared" si="14"/>
        <v>111</v>
      </c>
      <c r="R45" s="1573" t="s">
        <v>8</v>
      </c>
      <c r="S45" s="1574">
        <f t="shared" si="10"/>
        <v>100</v>
      </c>
      <c r="T45" s="1573" t="s">
        <v>8</v>
      </c>
      <c r="U45" s="1574">
        <f t="shared" si="11"/>
        <v>100</v>
      </c>
      <c r="V45" s="1573" t="s">
        <v>8</v>
      </c>
      <c r="W45" s="1574">
        <f t="shared" si="12"/>
        <v>100</v>
      </c>
      <c r="X45" s="1567"/>
      <c r="Y45" s="369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97"/>
      <c r="Q46" s="1572">
        <f t="shared" si="14"/>
        <v>111</v>
      </c>
      <c r="R46" s="1573" t="s">
        <v>8</v>
      </c>
      <c r="S46" s="1574">
        <f t="shared" si="10"/>
        <v>100</v>
      </c>
      <c r="T46" s="1573" t="s">
        <v>8</v>
      </c>
      <c r="U46" s="1574">
        <f t="shared" si="11"/>
        <v>100</v>
      </c>
      <c r="V46" s="1573" t="s">
        <v>8</v>
      </c>
      <c r="W46" s="1574">
        <f t="shared" si="12"/>
        <v>100</v>
      </c>
      <c r="X46" s="1567"/>
      <c r="Y46" s="3697"/>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97"/>
      <c r="Q47" s="1572">
        <f t="shared" si="14"/>
        <v>111</v>
      </c>
      <c r="R47" s="1577" t="s">
        <v>8</v>
      </c>
      <c r="S47" s="1578">
        <f t="shared" si="10"/>
        <v>100</v>
      </c>
      <c r="T47" s="1577" t="s">
        <v>8</v>
      </c>
      <c r="U47" s="1578">
        <f t="shared" si="11"/>
        <v>100</v>
      </c>
      <c r="V47" s="1577" t="s">
        <v>8</v>
      </c>
      <c r="W47" s="1578">
        <f t="shared" si="12"/>
        <v>100</v>
      </c>
      <c r="X47" s="1579"/>
      <c r="Y47" s="3697"/>
      <c r="Z47" s="1580">
        <f t="shared" si="13"/>
        <v>111</v>
      </c>
      <c r="AA47" s="1576">
        <f t="shared" si="3"/>
        <v>1</v>
      </c>
      <c r="AB47" s="1576">
        <f t="shared" si="4"/>
        <v>1</v>
      </c>
      <c r="AC47" s="1576">
        <f t="shared" si="5"/>
        <v>1</v>
      </c>
    </row>
    <row r="48" spans="1:29" ht="20.25">
      <c r="A48" s="607" t="s">
        <v>557</v>
      </c>
      <c r="B48" s="608" t="s">
        <v>3222</v>
      </c>
      <c r="C48" s="609" t="s">
        <v>1</v>
      </c>
      <c r="D48" s="610"/>
      <c r="E48" s="611">
        <f>ROUND(土地案例!AK5,0)</f>
        <v>2675</v>
      </c>
      <c r="F48" s="612"/>
      <c r="G48" s="613">
        <f>ROUND(土地案例!$AK$11,0)</f>
        <v>2687</v>
      </c>
      <c r="H48" s="614"/>
      <c r="I48" s="611">
        <f>ROUND(土地案例!$AK$20,0)</f>
        <v>3018</v>
      </c>
      <c r="J48" s="614"/>
      <c r="K48" s="1339"/>
      <c r="L48" s="2145"/>
      <c r="M48" s="2133"/>
      <c r="N48" s="2133"/>
      <c r="O48" s="2146"/>
      <c r="P48" s="3661" t="str">
        <f>A48</f>
        <v>成交单价</v>
      </c>
      <c r="Q48" s="3661"/>
      <c r="R48" s="3662">
        <f>E48</f>
        <v>2675</v>
      </c>
      <c r="S48" s="3662"/>
      <c r="T48" s="3662">
        <f>G48</f>
        <v>2687</v>
      </c>
      <c r="U48" s="3662"/>
      <c r="V48" s="3662">
        <f>I48</f>
        <v>3018</v>
      </c>
      <c r="W48" s="3662"/>
      <c r="X48" s="1559"/>
      <c r="Y48" s="1581"/>
      <c r="Z48" s="1559"/>
      <c r="AA48" s="1559"/>
      <c r="AB48" s="1559"/>
      <c r="AC48" s="1559"/>
    </row>
    <row r="49" spans="1:29" ht="21" thickBot="1">
      <c r="A49" s="615" t="s">
        <v>2698</v>
      </c>
      <c r="B49" s="616"/>
      <c r="C49" s="617">
        <f>R50</f>
        <v>2884</v>
      </c>
      <c r="D49" s="618"/>
      <c r="E49" s="617">
        <f>R49</f>
        <v>2808</v>
      </c>
      <c r="F49" s="619"/>
      <c r="G49" s="620">
        <f>T49</f>
        <v>2850</v>
      </c>
      <c r="H49" s="618"/>
      <c r="I49" s="617">
        <f>V49</f>
        <v>2995</v>
      </c>
      <c r="J49" s="618"/>
      <c r="K49" s="1340"/>
      <c r="L49" s="2145"/>
      <c r="M49" s="2133"/>
      <c r="N49" s="2133"/>
      <c r="O49" s="2146"/>
      <c r="P49" s="3661" t="str">
        <f>A49</f>
        <v>比较价格（元/平方米）</v>
      </c>
      <c r="Q49" s="3661"/>
      <c r="R49" s="3663">
        <f>ROUND(PRODUCT(R48,AA9:AA47),0)</f>
        <v>2808</v>
      </c>
      <c r="S49" s="3663"/>
      <c r="T49" s="3663">
        <f>ROUND(PRODUCT(T48,AB9:AB47),0)</f>
        <v>2850</v>
      </c>
      <c r="U49" s="3663"/>
      <c r="V49" s="3663">
        <f>ROUND(PRODUCT(V48,AC9:AC47),0)</f>
        <v>2995</v>
      </c>
      <c r="W49" s="3663"/>
      <c r="X49" s="1559"/>
      <c r="Y49" s="1559"/>
      <c r="Z49" s="1559"/>
      <c r="AA49" s="1559"/>
      <c r="AB49" s="1559"/>
      <c r="AC49" s="1559"/>
    </row>
    <row r="50" spans="1:29" ht="21" thickBot="1">
      <c r="A50" s="621" t="s">
        <v>2941</v>
      </c>
      <c r="B50" s="622"/>
      <c r="C50" s="623">
        <f>R50</f>
        <v>2884</v>
      </c>
      <c r="D50" s="623"/>
      <c r="E50" s="623"/>
      <c r="F50" s="623"/>
      <c r="G50" s="623"/>
      <c r="H50" s="623"/>
      <c r="I50" s="623"/>
      <c r="J50" s="623"/>
      <c r="K50" s="1341"/>
      <c r="L50" s="2145"/>
      <c r="M50" s="2133"/>
      <c r="N50" s="2133"/>
      <c r="O50" s="2146"/>
      <c r="P50" s="3658" t="str">
        <f>A50</f>
        <v>估价对象XX用房的比较价格（楼面单价，元/平方米）</v>
      </c>
      <c r="Q50" s="3659"/>
      <c r="R50" s="3660">
        <f>ROUND(AVERAGE(R49:V49),0)</f>
        <v>2884</v>
      </c>
      <c r="S50" s="3660"/>
      <c r="T50" s="3660"/>
      <c r="U50" s="3660"/>
      <c r="V50" s="3660"/>
      <c r="W50" s="366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4.9719626168224229E-2</v>
      </c>
      <c r="F53" s="627" t="str">
        <f>IF(OR(E53&gt;=0.3,E53&lt;=-0.3),"超过30%","")</f>
        <v/>
      </c>
      <c r="G53" s="626">
        <f>IF(G48&lt;G49,G49/G48-1,G48/G49-1)</f>
        <v>6.0662448827688786E-2</v>
      </c>
      <c r="H53" s="627" t="str">
        <f>IF(OR(G53&gt;=0.3,G53&lt;=-0.3),"超过30%","")</f>
        <v/>
      </c>
      <c r="I53" s="626">
        <f>IF(I48&lt;I49,I49/I48-1,I48/I49-1)</f>
        <v>7.6794657762937479E-3</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1.4957264957264904E-2</v>
      </c>
      <c r="F54" s="627" t="str">
        <f>IF(OR(E54&gt;=0.2,E54&lt;=-0.2),"超过20%","")</f>
        <v/>
      </c>
      <c r="G54" s="626">
        <f>IF(G49&lt;I49,I49/G49-1,G49/I49-1)</f>
        <v>5.0877192982456076E-2</v>
      </c>
      <c r="H54" s="627" t="str">
        <f>IF(OR(G54&gt;=0.2,G54&lt;=-0.2),"超过20%","")</f>
        <v/>
      </c>
      <c r="I54" s="626">
        <f>IF(I49&lt;E49,E49/I49-1,I49/E49-1)</f>
        <v>6.6595441595441507E-2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f>IF(E48&lt;G48,G48/E48-1,E48/G48-1)</f>
        <v>4.4859813084112687E-3</v>
      </c>
      <c r="F55" s="627" t="str">
        <f>IF(OR(E55&gt;=0.3,E55&lt;=-0.3),"超过30%","")</f>
        <v/>
      </c>
      <c r="G55" s="626">
        <f>IF(G48&lt;I48,I48/G48-1,G48/I48-1)</f>
        <v>0.12318570896911063</v>
      </c>
      <c r="H55" s="627" t="str">
        <f>IF(OR(G55&gt;=0.3,G55&lt;=-0.3),"超过30%","")</f>
        <v/>
      </c>
      <c r="I55" s="626">
        <f>IF(I48&lt;E48,E48/I48-1,I48/E48-1)</f>
        <v>0.12822429906542054</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2297</v>
      </c>
      <c r="E57" s="631" t="s">
        <v>563</v>
      </c>
      <c r="F57" s="632" t="s">
        <v>564</v>
      </c>
      <c r="G57" s="3686" t="s">
        <v>2285</v>
      </c>
      <c r="H57" s="3687"/>
      <c r="I57" s="1555" t="s">
        <v>1724</v>
      </c>
      <c r="J57" s="1555" t="str">
        <f>项目基本情况!F41</f>
        <v>河北省廊坊市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565</v>
      </c>
      <c r="B58" s="634">
        <f>C50</f>
        <v>2884</v>
      </c>
      <c r="C58" s="635">
        <v>1</v>
      </c>
      <c r="D58" s="2229">
        <v>1</v>
      </c>
      <c r="E58" s="635">
        <f>'数据-汇总表'!E8+'数据-汇总表'!E9</f>
        <v>247106.5</v>
      </c>
      <c r="F58" s="636">
        <f t="shared" ref="F58:F67" si="15">ROUND(B58*E58/10000,0)</f>
        <v>71266</v>
      </c>
      <c r="G58" s="3688"/>
      <c r="H58" s="368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566</v>
      </c>
      <c r="B59" s="638">
        <f>ROUND($C$50*C59*D59,0)</f>
        <v>0</v>
      </c>
      <c r="C59" s="378">
        <f t="shared" ref="C59:C67" si="16">IF($C$57="北京市系数",I59,J59)</f>
        <v>0</v>
      </c>
      <c r="D59" s="2230">
        <v>0.25</v>
      </c>
      <c r="E59" s="639">
        <v>0</v>
      </c>
      <c r="F59" s="636">
        <f t="shared" si="15"/>
        <v>0</v>
      </c>
      <c r="G59" s="3690"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567</v>
      </c>
      <c r="B60" s="638">
        <f t="shared" ref="B60:B67" si="17">ROUND($C$50*C60*D60,0)</f>
        <v>0</v>
      </c>
      <c r="C60" s="378">
        <f t="shared" si="16"/>
        <v>0</v>
      </c>
      <c r="D60" s="2230">
        <v>0.25</v>
      </c>
      <c r="E60" s="639">
        <v>0</v>
      </c>
      <c r="F60" s="636">
        <f t="shared" si="15"/>
        <v>0</v>
      </c>
      <c r="G60" s="369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568</v>
      </c>
      <c r="B61" s="638">
        <f t="shared" si="17"/>
        <v>0</v>
      </c>
      <c r="C61" s="378">
        <f t="shared" si="16"/>
        <v>0</v>
      </c>
      <c r="D61" s="2230">
        <v>0.25</v>
      </c>
      <c r="E61" s="639">
        <v>0</v>
      </c>
      <c r="F61" s="636">
        <f t="shared" si="15"/>
        <v>0</v>
      </c>
      <c r="G61" s="369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569</v>
      </c>
      <c r="B62" s="638">
        <f t="shared" si="17"/>
        <v>0</v>
      </c>
      <c r="C62" s="378">
        <f t="shared" si="16"/>
        <v>0</v>
      </c>
      <c r="D62" s="2230">
        <v>0.25</v>
      </c>
      <c r="E62" s="639">
        <v>0</v>
      </c>
      <c r="F62" s="636">
        <f t="shared" si="15"/>
        <v>0</v>
      </c>
      <c r="G62" s="369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2332</v>
      </c>
      <c r="B63" s="638">
        <f t="shared" si="17"/>
        <v>0</v>
      </c>
      <c r="C63" s="378">
        <f t="shared" si="16"/>
        <v>0</v>
      </c>
      <c r="D63" s="2230">
        <v>0.25</v>
      </c>
      <c r="E63" s="641">
        <f>'数据-汇总表'!E11</f>
        <v>0</v>
      </c>
      <c r="F63" s="636">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572</v>
      </c>
      <c r="B66" s="638">
        <f t="shared" si="17"/>
        <v>0</v>
      </c>
      <c r="C66" s="378">
        <f t="shared" si="16"/>
        <v>0</v>
      </c>
      <c r="D66" s="2230">
        <v>0.25</v>
      </c>
      <c r="E66" s="641">
        <f>'数据-汇总表'!E14</f>
        <v>0</v>
      </c>
      <c r="F66" s="636">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573</v>
      </c>
      <c r="B67" s="638">
        <f t="shared" si="17"/>
        <v>0</v>
      </c>
      <c r="C67" s="378">
        <f t="shared" si="16"/>
        <v>0</v>
      </c>
      <c r="D67" s="2230">
        <v>0.25</v>
      </c>
      <c r="E67" s="641">
        <f>'数据-汇总表'!E15</f>
        <v>0</v>
      </c>
      <c r="F67" s="636">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574</v>
      </c>
      <c r="B68" s="643" t="s">
        <v>17</v>
      </c>
      <c r="C68" s="643" t="s">
        <v>18</v>
      </c>
      <c r="D68" s="643" t="s">
        <v>2298</v>
      </c>
      <c r="E68" s="643">
        <f>IF(B48="楼面地价",SUM(E58:E67),'数据-汇总表'!D3)</f>
        <v>247106.5</v>
      </c>
      <c r="F68" s="644">
        <f>IF(B48="楼面地价",SUM(F58:F67),ROUND(C50*E68/10000,0))</f>
        <v>71266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2538</v>
      </c>
      <c r="B72" s="2594"/>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2" t="s">
        <v>924</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2" t="s">
        <v>2652</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19"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81" t="s">
        <v>3533</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6（含）-8</v>
      </c>
      <c r="J81" s="682" t="str">
        <f t="shared" si="20"/>
        <v>8（含）-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8</v>
      </c>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3482" t="s">
        <v>3531</v>
      </c>
      <c r="D84" s="1375" t="s">
        <v>3532</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v>95</v>
      </c>
      <c r="D85" s="671">
        <v>100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2554</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2556</v>
      </c>
      <c r="C104" s="2623" t="s">
        <v>2557</v>
      </c>
      <c r="D104" s="2623" t="s">
        <v>2558</v>
      </c>
      <c r="E104" s="2623" t="s">
        <v>2559</v>
      </c>
      <c r="F104" s="2623" t="s">
        <v>2560</v>
      </c>
      <c r="G104" s="2623" t="s">
        <v>2561</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82" t="s">
        <v>3534</v>
      </c>
      <c r="D108" s="3482" t="s">
        <v>3535</v>
      </c>
      <c r="E108" s="3482" t="s">
        <v>3536</v>
      </c>
      <c r="F108" s="3482" t="s">
        <v>3537</v>
      </c>
      <c r="G108" s="3482" t="s">
        <v>3538</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100.5</v>
      </c>
      <c r="E120" s="726">
        <v>101</v>
      </c>
      <c r="F120" s="726">
        <v>101.5</v>
      </c>
      <c r="G120" s="726">
        <v>102</v>
      </c>
      <c r="H120" s="726">
        <v>102.5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39.75" thickTop="1" thickBot="1">
      <c r="A121" s="735"/>
      <c r="B121" s="673" t="s">
        <v>595</v>
      </c>
      <c r="C121" s="3483" t="s">
        <v>3539</v>
      </c>
      <c r="D121" s="3484" t="s">
        <v>3540</v>
      </c>
      <c r="E121" s="3484" t="s">
        <v>2944</v>
      </c>
      <c r="F121" s="3484" t="s">
        <v>3541</v>
      </c>
      <c r="G121" s="3484" t="s">
        <v>3542</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68.25" thickTop="1">
      <c r="A123" s="735"/>
      <c r="B123" s="673" t="s">
        <v>596</v>
      </c>
      <c r="C123" s="3482" t="s">
        <v>3543</v>
      </c>
      <c r="D123" s="3482" t="s">
        <v>3544</v>
      </c>
      <c r="E123" s="3482" t="s">
        <v>3545</v>
      </c>
      <c r="F123" s="3485" t="s">
        <v>3546</v>
      </c>
      <c r="G123" s="3485" t="s">
        <v>3547</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2430</v>
      </c>
      <c r="C125" s="1375" t="s">
        <v>3548</v>
      </c>
      <c r="D125" s="1375" t="s">
        <v>3549</v>
      </c>
      <c r="E125" s="1375" t="s">
        <v>3550</v>
      </c>
      <c r="F125" s="1375" t="s">
        <v>3551</v>
      </c>
      <c r="G125" s="1375" t="s">
        <v>3552</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82" t="s">
        <v>3553</v>
      </c>
      <c r="D127" s="3482" t="s">
        <v>3554</v>
      </c>
      <c r="E127" s="3485" t="s">
        <v>3555</v>
      </c>
      <c r="F127" s="3485" t="s">
        <v>3556</v>
      </c>
      <c r="G127" s="3485" t="s">
        <v>3557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河北省廊坊市固安县工业园区五号路北、六号路西出让国有建设用地使用权抵押价格预评估</v>
      </c>
      <c r="AX2" s="2922"/>
      <c r="AZ2" s="2922"/>
      <c r="BA2" s="2923"/>
      <c r="BC2" s="2923"/>
    </row>
    <row r="3" spans="1:55" s="2924" customFormat="1">
      <c r="A3" s="2903" t="s">
        <v>2666</v>
      </c>
      <c r="B3" s="2906" t="str">
        <f>'预评函-封皮'!B40</f>
        <v>廊坊京御房地产开发有限公司</v>
      </c>
    </row>
    <row r="4" spans="1:55" s="2905" customFormat="1">
      <c r="A4" s="2903" t="s">
        <v>2667</v>
      </c>
      <c r="B4" s="2904" t="str">
        <f>'预评函-封皮'!B46</f>
        <v>欧红伟、崔锴</v>
      </c>
      <c r="N4" s="2905" t="str">
        <f>'预评函-1'!A28</f>
        <v/>
      </c>
    </row>
    <row r="5" spans="1:55" s="2918" customFormat="1" ht="15" thickBot="1">
      <c r="A5" s="2925" t="s">
        <v>2668</v>
      </c>
      <c r="B5" s="2926" t="str">
        <f>'预评函-封皮'!B49</f>
        <v>康正预评字2018-1-0348-P01DYGJ1号</v>
      </c>
    </row>
    <row r="6" spans="1:55" s="2927" customFormat="1" ht="15" thickTop="1">
      <c r="A6" s="2919" t="s">
        <v>2710</v>
      </c>
      <c r="B6" s="2920" t="str">
        <f>'预评函-1'!A4</f>
        <v>受贵公司委托，我公司对河北省廊坊市固安县工业园区五号路北、六号路西出让国有建设用地使用权抵押价格进行了预评估。</v>
      </c>
      <c r="AM6" s="2928"/>
    </row>
    <row r="7" spans="1:55" s="2902" customFormat="1">
      <c r="A7" s="2903" t="s">
        <v>2662</v>
      </c>
      <c r="B7" s="2904" t="str">
        <f>'预评函-1'!A6</f>
        <v>估价对象为廊坊京御房地产开发有限公司使用的、位于河北省廊坊市固安县工业园区五号路北、六号路西出让国有建设用地使用权。根据《国有土地使用证》[]，估价对象（分摊）出让国有建设用地使用权面积为98842.6平方米。根据《建设工程规划许可证》[]、《出让合同》[]，估价对象规划建筑面积为247106.5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2664</v>
      </c>
      <c r="B10" s="2904" t="str">
        <f>'预评函-1'!A11</f>
        <v>2018年5月22日（评估专业人员勘察现场之日）</v>
      </c>
    </row>
    <row r="11" spans="1:55" s="2902" customFormat="1">
      <c r="A11" s="2903" t="s">
        <v>2670</v>
      </c>
      <c r="B11" s="2904" t="str">
        <f>'预评函-1'!A14</f>
        <v>根据《国有土地使用证》[]，本次评估估价对象证载（地类）用途为城镇住宅用地。</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根据《国有土地使用证》[]，估价对象（分摊）出让国有建设用地使用权面积为98842.6平方米。根据《建设工程规划许可证》[]、《出让合同》[]，估价对象规划建筑面积为247106.5平方米。</v>
      </c>
    </row>
    <row r="16" spans="1:55" s="2902" customFormat="1">
      <c r="A16" s="2903" t="s">
        <v>2674</v>
      </c>
      <c r="B16" s="2904" t="str">
        <f>'预评函-1'!A22</f>
        <v>本次估价对象为出让国有建设用地使用权，《国有土地使用证》[]证载土地终止日期为住宅2079年11月24日。截至估价期日，出让国有建设用地使用权剩余土地使用年限为。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2018年5月22日，在规划利用条件下、设定土地开发程度为红线外“七通”、宗地内场地，设定用途为，剩余土地使用年限为的出让国有建设用地使用权价格。</v>
      </c>
    </row>
    <row r="19" spans="1:48" s="2902" customFormat="1">
      <c r="A19" s="2903" t="s">
        <v>2677</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2678</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2679</v>
      </c>
      <c r="B21" s="2926" t="str">
        <f>'预评函-1'!A28</f>
        <v/>
      </c>
    </row>
    <row r="22" spans="1:48" ht="15" thickTop="1">
      <c r="A22" s="2914" t="s">
        <v>2680</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估价期日：2018年5月22日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t="str">
        <f>'预评函-2'!E5</f>
        <v>城镇住宅用地</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98842.6</v>
      </c>
    </row>
    <row r="44" spans="1:2">
      <c r="A44" s="2903" t="s">
        <v>2745</v>
      </c>
      <c r="B44" s="2904" t="str">
        <f>'预评函-2'!O3</f>
        <v>规划建筑面积/㎡</v>
      </c>
    </row>
    <row r="45" spans="1:2">
      <c r="A45" s="2903" t="s">
        <v>2727</v>
      </c>
      <c r="B45" s="2904">
        <f>'预评函-2'!O5</f>
        <v>247106.5</v>
      </c>
    </row>
    <row r="46" spans="1:2">
      <c r="A46" s="2903" t="s">
        <v>2728</v>
      </c>
      <c r="B46" s="2904">
        <f ca="1">'预评函-2'!P5</f>
        <v>12329</v>
      </c>
    </row>
    <row r="47" spans="1:2">
      <c r="A47" s="2903" t="s">
        <v>2729</v>
      </c>
      <c r="B47" s="2904">
        <f ca="1">'预评函-2'!Q5</f>
        <v>4932</v>
      </c>
    </row>
    <row r="48" spans="1:2">
      <c r="A48" s="2903" t="s">
        <v>2730</v>
      </c>
      <c r="B48" s="2904">
        <f ca="1">'预评函-2'!R5</f>
        <v>121862</v>
      </c>
    </row>
    <row r="49" spans="1:2">
      <c r="A49" s="2903" t="s">
        <v>2746</v>
      </c>
      <c r="B49" s="2904" t="str">
        <f>'预评函-2'!A6</f>
        <v>抵押价格</v>
      </c>
    </row>
    <row r="50" spans="1:2">
      <c r="A50" s="2903" t="s">
        <v>2731</v>
      </c>
      <c r="B50" s="2904">
        <f ca="1">'预评函-2'!R6</f>
        <v>121862</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1.权利限制：根据估价对象《不动产权证书》原件、《国有土地使用权》复印件，截至估价期日，估价对象抵押权未见登记。未设定租赁等其他他项权利。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崔锴</v>
      </c>
    </row>
    <row r="72" spans="1:2" s="2918" customFormat="1" ht="15" thickBot="1">
      <c r="A72" s="2925" t="s">
        <v>2696</v>
      </c>
      <c r="B72" s="2931">
        <f ca="1">'预评函-3'!B21</f>
        <v>2010110070</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7" workbookViewId="0">
      <selection activeCell="C30" sqref="C3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8</v>
      </c>
    </row>
    <row r="2" spans="1:31" s="2042" customFormat="1" ht="18" customHeight="1">
      <c r="A2" s="2102" t="s">
        <v>467</v>
      </c>
      <c r="B2" s="2106">
        <f ca="1">C36</f>
        <v>197756</v>
      </c>
      <c r="C2" s="2105"/>
      <c r="D2" s="2105"/>
      <c r="E2" s="2105"/>
      <c r="F2" s="2105"/>
      <c r="G2" s="2105"/>
      <c r="H2" s="2105"/>
      <c r="I2" s="2105"/>
      <c r="J2" s="2105"/>
      <c r="K2" s="2105"/>
    </row>
    <row r="3" spans="1:31" s="2042" customFormat="1" ht="18" customHeight="1">
      <c r="A3" s="2107" t="s">
        <v>1686</v>
      </c>
      <c r="B3" s="2108">
        <f ca="1">ROUND(B2*10000/IF(B1="",'数据-汇总表'!E3,INDIRECT("'数据-取费表'!K"&amp;$K$1)),0)</f>
        <v>8003</v>
      </c>
      <c r="C3" s="2105"/>
      <c r="D3" s="2105"/>
      <c r="E3" s="2105"/>
      <c r="F3" s="2105"/>
      <c r="G3" s="2105"/>
      <c r="H3" s="2105"/>
      <c r="I3" s="2105"/>
      <c r="J3" s="2105"/>
      <c r="K3" s="2105"/>
    </row>
    <row r="4" spans="1:31" s="2042" customFormat="1" ht="18" customHeight="1">
      <c r="A4" s="426" t="s">
        <v>468</v>
      </c>
      <c r="B4" s="427">
        <f ca="1">ROUND(B2*10000/IF(B1="",'数据-汇总表'!D3,INDIRECT("'数据-取费表'!R"&amp;$K$1)),0)</f>
        <v>20007</v>
      </c>
      <c r="C4" s="428"/>
      <c r="D4" s="422"/>
      <c r="E4" s="422"/>
      <c r="F4" s="422"/>
      <c r="G4" s="422"/>
      <c r="H4" s="422"/>
      <c r="I4" s="422"/>
      <c r="J4" s="422"/>
      <c r="K4" s="422"/>
    </row>
    <row r="5" spans="1:31" s="2042" customFormat="1" ht="18" customHeight="1" thickBot="1">
      <c r="A5" s="429"/>
      <c r="B5" s="430">
        <f ca="1">ROUND(B2/(IF(B1="",'数据-汇总表'!D3,INDIRECT("'数据-取费表'!R"&amp;$K$1))/666.67),0)</f>
        <v>1334</v>
      </c>
      <c r="C5" s="431" t="s">
        <v>469</v>
      </c>
      <c r="D5" s="422"/>
      <c r="E5" s="422"/>
      <c r="F5" s="422"/>
      <c r="G5" s="422"/>
      <c r="H5" s="422"/>
      <c r="I5" s="422"/>
      <c r="J5" s="422"/>
      <c r="K5" s="422"/>
    </row>
    <row r="6" spans="1:31" s="2112" customFormat="1" ht="16.5" customHeight="1">
      <c r="A6" s="2854" t="s">
        <v>1844</v>
      </c>
      <c r="B6" s="2855"/>
      <c r="C6" s="2856">
        <f>SUM(C10:K10)</f>
        <v>383124</v>
      </c>
      <c r="D6" s="2855"/>
      <c r="E6" s="2855"/>
      <c r="F6" s="2855"/>
      <c r="G6" s="2855"/>
      <c r="H6" s="2855"/>
      <c r="I6" s="2855"/>
      <c r="J6" s="2855"/>
      <c r="K6" s="2857"/>
    </row>
    <row r="7" spans="1:31" s="2114" customFormat="1" ht="15">
      <c r="A7" s="2858" t="s">
        <v>470</v>
      </c>
      <c r="B7" s="2859" t="s">
        <v>471</v>
      </c>
      <c r="C7" s="436" t="s">
        <v>924</v>
      </c>
      <c r="D7" s="436" t="s">
        <v>3229</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f>'不动产比较法-住宅'!B3</f>
        <v>15661</v>
      </c>
      <c r="D8" s="2860"/>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244635.43</v>
      </c>
      <c r="D9" s="441">
        <f>SUMIF('数据-汇总表'!$C19:$C33,'剩余法-待开发'!D7,'数据-汇总表'!$E19:$E33)</f>
        <v>2471.0700000000002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'不动产比较法-住宅'!B2</f>
        <v>383124</v>
      </c>
      <c r="D10" s="3055">
        <v>0</v>
      </c>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69190</v>
      </c>
      <c r="D13" s="2870"/>
      <c r="E13" s="2871"/>
      <c r="F13" s="2872"/>
      <c r="G13" s="2838"/>
      <c r="H13" s="2839"/>
      <c r="I13" s="2839"/>
      <c r="J13" s="2839"/>
      <c r="K13" s="2840"/>
    </row>
    <row r="14" spans="1:31" s="2117" customFormat="1" ht="13.5" customHeight="1">
      <c r="A14" s="2868" t="s">
        <v>1851</v>
      </c>
      <c r="B14" s="2869" t="s">
        <v>480</v>
      </c>
      <c r="C14" s="53">
        <f ca="1">ROUND(C13*F14,0)</f>
        <v>2076</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3460</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4942</v>
      </c>
      <c r="D16" s="2870">
        <f ca="1">IF(B1="",'数据-汇总表'!E3,INDIRECT("'数据-取费表'!K"&amp;$K$1)+INDIRECT("'数据-取费表'!S"&amp;$K$1))</f>
        <v>247106.5</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1038</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80706</v>
      </c>
      <c r="D18" s="2879"/>
      <c r="E18" s="468"/>
      <c r="F18" s="468"/>
      <c r="G18" s="2842" t="s">
        <v>2435</v>
      </c>
      <c r="H18" s="2843"/>
      <c r="I18" s="2843"/>
      <c r="J18" s="2843"/>
      <c r="K18" s="2844"/>
    </row>
    <row r="19" spans="1:14" s="2117" customFormat="1" ht="13.5" customHeight="1">
      <c r="A19" s="2876" t="s">
        <v>1856</v>
      </c>
      <c r="B19" s="2877" t="s">
        <v>488</v>
      </c>
      <c r="C19" s="2834">
        <f ca="1">ROUND(D19*E19/10000,0)</f>
        <v>0</v>
      </c>
      <c r="D19" s="2880">
        <f ca="1">D16</f>
        <v>247106.5</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820</v>
      </c>
      <c r="D20" s="2880"/>
      <c r="E20" s="2834"/>
      <c r="F20" s="2881"/>
      <c r="G20" s="3114" t="s">
        <v>3519</v>
      </c>
      <c r="H20" s="2836">
        <v>0</v>
      </c>
      <c r="I20" s="2837" t="s">
        <v>2656</v>
      </c>
      <c r="J20" s="2843"/>
      <c r="K20" s="2844"/>
    </row>
    <row r="21" spans="1:14" s="2117" customFormat="1" ht="13.5" customHeight="1">
      <c r="A21" s="2868" t="s">
        <v>1858</v>
      </c>
      <c r="B21" s="2869" t="s">
        <v>491</v>
      </c>
      <c r="C21" s="53">
        <f ca="1">ROUND(D21*E21/10000,0)</f>
        <v>820</v>
      </c>
      <c r="D21" s="2870">
        <f ca="1">IF(B1="",'数据-汇总表'!E5,IF(INDIRECT("'数据-取费表'!c"&amp;$K$1)="住宅",INDIRECT("'数据-取费表'!k"&amp;$K$1),0))</f>
        <v>247106.5</v>
      </c>
      <c r="E21" s="53">
        <f>'数据-取费表'!B27</f>
        <v>33.200000000000003</v>
      </c>
      <c r="F21" s="2873"/>
      <c r="G21" s="26"/>
      <c r="H21" s="51"/>
      <c r="I21" s="51"/>
      <c r="J21" s="51"/>
      <c r="K21" s="2845"/>
    </row>
    <row r="22" spans="1:14" s="2117" customFormat="1" ht="13.5" customHeight="1">
      <c r="A22" s="2868" t="s">
        <v>1859</v>
      </c>
      <c r="B22" s="2869" t="s">
        <v>492</v>
      </c>
      <c r="C22" s="53">
        <f ca="1">ROUND(D22*E22/10000,0)</f>
        <v>0</v>
      </c>
      <c r="D22" s="2870">
        <f ca="1">IF(B1="",'数据-汇总表'!E6,IF(INDIRECT("'数据-取费表'!c"&amp;$K$1)="住宅",INDIRECT("'数据-取费表'!s"&amp;$K$1),INDIRECT("'数据-取费表'!k"&amp;$K$1)+INDIRECT("'数据-取费表'!s"&amp;$K$1)))</f>
        <v>0</v>
      </c>
      <c r="E22" s="53">
        <f>'数据-取费表'!B28</f>
        <v>21.6</v>
      </c>
      <c r="F22" s="2873"/>
      <c r="G22" s="26"/>
      <c r="H22" s="51"/>
      <c r="I22" s="51"/>
      <c r="J22" s="51"/>
      <c r="K22" s="2845"/>
    </row>
    <row r="23" spans="1:14" s="2117" customFormat="1" ht="13.5" customHeight="1">
      <c r="A23" s="2876" t="s">
        <v>1860</v>
      </c>
      <c r="B23" s="3061" t="s">
        <v>2839</v>
      </c>
      <c r="C23" s="2878">
        <f ca="1">ROUND((C18+C19+C20)*F23,0)</f>
        <v>1631</v>
      </c>
      <c r="D23" s="468"/>
      <c r="E23" s="468"/>
      <c r="F23" s="2882">
        <f>'数据-取费表'!B37</f>
        <v>0.02</v>
      </c>
      <c r="G23" s="2838" t="s">
        <v>2436</v>
      </c>
      <c r="H23" s="2839"/>
      <c r="I23" s="2839"/>
      <c r="J23" s="2839"/>
      <c r="K23" s="2840"/>
      <c r="L23" s="2119"/>
      <c r="M23" s="2119"/>
      <c r="N23" s="2119"/>
    </row>
    <row r="24" spans="1:14" s="2117" customFormat="1" ht="13.5" customHeight="1">
      <c r="A24" s="2876" t="s">
        <v>1861</v>
      </c>
      <c r="B24" s="3061" t="s">
        <v>2842</v>
      </c>
      <c r="C24" s="2878">
        <f>ROUND(C6*F24,0)</f>
        <v>7662</v>
      </c>
      <c r="D24" s="475"/>
      <c r="E24" s="473"/>
      <c r="F24" s="2882">
        <f>'数据-取费表'!B38</f>
        <v>0.02</v>
      </c>
      <c r="G24" s="2847" t="s">
        <v>499</v>
      </c>
      <c r="H24" s="2841"/>
      <c r="I24" s="2841"/>
      <c r="J24" s="2841"/>
      <c r="K24" s="279"/>
      <c r="L24" s="2119"/>
      <c r="M24" s="2119"/>
      <c r="N24" s="2119"/>
    </row>
    <row r="25" spans="1:14" s="2120" customFormat="1" ht="13.5" customHeight="1">
      <c r="A25" s="2876" t="s">
        <v>1862</v>
      </c>
      <c r="B25" s="3061" t="s">
        <v>2840</v>
      </c>
      <c r="C25" s="467">
        <f>ROUND(F25/(1+'数据-取费表'!C42),4)</f>
        <v>3.8600000000000002E-2</v>
      </c>
      <c r="D25" s="462" t="s">
        <v>2834</v>
      </c>
      <c r="E25" s="469"/>
      <c r="F25" s="2882">
        <f>'数据-取费表'!B48+'数据-取费表'!B49</f>
        <v>4.0500000000000001E-2</v>
      </c>
      <c r="G25" s="2846" t="s">
        <v>2293</v>
      </c>
      <c r="H25" s="2839"/>
      <c r="I25" s="2839"/>
      <c r="J25" s="2839"/>
      <c r="K25" s="2840"/>
    </row>
    <row r="26" spans="1:14" s="2119" customFormat="1" ht="13.5" customHeight="1">
      <c r="A26" s="2876" t="s">
        <v>1863</v>
      </c>
      <c r="B26" s="3062" t="s">
        <v>2841</v>
      </c>
      <c r="C26" s="2883">
        <f ca="1">C28</f>
        <v>6547</v>
      </c>
      <c r="D26" s="467">
        <f ca="1">C27</f>
        <v>0.15509999999999999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0.15509999999999999</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2843</v>
      </c>
      <c r="C28" s="2886">
        <f ca="1">ROUND(IF('数据-取费表'!B22&lt;=1,(C18+C19+C20+C23+C24)*F26*'数据-取费表'!B24/2,(C18+C19+C20+C23+C24)*(POWER((1+F26),'数据-取费表'!B24/2)-1)),0)</f>
        <v>6547</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ROUND(C6*F29/(1+'数据-取费表'!C42),0)</f>
        <v>20068</v>
      </c>
      <c r="D29" s="468"/>
      <c r="E29" s="468"/>
      <c r="F29" s="3063">
        <f>'数据-取费表'!B41</f>
        <v>5.5000000000000007E-2</v>
      </c>
      <c r="G29" s="2847" t="s">
        <v>498</v>
      </c>
      <c r="H29" s="2839"/>
      <c r="I29" s="2839"/>
      <c r="J29" s="2839"/>
      <c r="K29" s="2840"/>
    </row>
    <row r="30" spans="1:14" s="2122" customFormat="1" ht="13.5" customHeight="1">
      <c r="A30" s="1635" t="s">
        <v>1865</v>
      </c>
      <c r="B30" s="2888" t="s">
        <v>500</v>
      </c>
      <c r="C30" s="2883">
        <f ca="1">C31</f>
        <v>117434</v>
      </c>
      <c r="D30" s="477">
        <f ca="1">C32</f>
        <v>0.19370000000000001</v>
      </c>
      <c r="E30" s="469" t="s">
        <v>495</v>
      </c>
      <c r="F30" s="471"/>
      <c r="G30" s="2838" t="s">
        <v>501</v>
      </c>
      <c r="H30" s="2839"/>
      <c r="I30" s="2839"/>
      <c r="J30" s="2839"/>
      <c r="K30" s="2840"/>
    </row>
    <row r="31" spans="1:14" s="2121" customFormat="1" ht="13.5" customHeight="1">
      <c r="A31" s="803" t="s">
        <v>1858</v>
      </c>
      <c r="B31" s="2884"/>
      <c r="C31" s="450">
        <f ca="1">C18+C19+C20+C23+C24+C26+C29</f>
        <v>117434</v>
      </c>
      <c r="D31" s="472"/>
      <c r="E31" s="473"/>
      <c r="F31" s="474"/>
      <c r="G31" s="261"/>
      <c r="H31" s="2841"/>
      <c r="I31" s="2841"/>
      <c r="J31" s="2841"/>
      <c r="K31" s="279"/>
    </row>
    <row r="32" spans="1:14" s="2121" customFormat="1" ht="13.5" customHeight="1">
      <c r="A32" s="803" t="s">
        <v>1859</v>
      </c>
      <c r="B32" s="2884"/>
      <c r="C32" s="53">
        <f ca="1">ROUND(C25+D26,4)</f>
        <v>0.19370000000000001</v>
      </c>
      <c r="D32" s="472"/>
      <c r="E32" s="473"/>
      <c r="F32" s="474"/>
      <c r="G32" s="261"/>
      <c r="H32" s="2841"/>
      <c r="I32" s="2841"/>
      <c r="J32" s="2841"/>
      <c r="K32" s="279"/>
    </row>
    <row r="33" spans="1:11" s="2123" customFormat="1" ht="13.5" customHeight="1">
      <c r="A33" s="3060" t="s">
        <v>2838</v>
      </c>
      <c r="B33" s="3058" t="s">
        <v>2836</v>
      </c>
      <c r="C33" s="478">
        <f ca="1">C35</f>
        <v>9082</v>
      </c>
      <c r="D33" s="467">
        <f ca="1">C34</f>
        <v>0.10390000000000001</v>
      </c>
      <c r="E33" s="469" t="s">
        <v>495</v>
      </c>
      <c r="F33" s="479">
        <f ca="1">IF(B1="",'数据-取费表'!Q16,INDIRECT("'数据-取费表'!q"&amp;$K$1))</f>
        <v>0.1</v>
      </c>
      <c r="G33" s="2842"/>
      <c r="H33" s="2843"/>
      <c r="I33" s="2843"/>
      <c r="J33" s="2843"/>
      <c r="K33" s="2844"/>
    </row>
    <row r="34" spans="1:11" s="2124" customFormat="1" ht="13.5" customHeight="1">
      <c r="A34" s="375" t="s">
        <v>1858</v>
      </c>
      <c r="B34" s="2889" t="s">
        <v>502</v>
      </c>
      <c r="C34" s="472">
        <f ca="1">ROUND((1+C25)*F33,4)</f>
        <v>0.10390000000000001</v>
      </c>
      <c r="D34" s="472"/>
      <c r="E34" s="473"/>
      <c r="F34" s="480"/>
      <c r="G34" s="261" t="s">
        <v>2294</v>
      </c>
      <c r="H34" s="2841"/>
      <c r="I34" s="2841"/>
      <c r="J34" s="2841"/>
      <c r="K34" s="279"/>
    </row>
    <row r="35" spans="1:11" s="2124" customFormat="1" ht="13.5" customHeight="1" thickBot="1">
      <c r="A35" s="1636" t="s">
        <v>1859</v>
      </c>
      <c r="B35" s="3059" t="s">
        <v>2844</v>
      </c>
      <c r="C35" s="1628">
        <f ca="1">ROUND((C18+C19+C20+C23+C24)*F33,0)</f>
        <v>9082</v>
      </c>
      <c r="D35" s="1629"/>
      <c r="E35" s="2890"/>
      <c r="F35" s="1630"/>
      <c r="G35" s="2848"/>
      <c r="H35" s="2849"/>
      <c r="I35" s="2849"/>
      <c r="J35" s="2849"/>
      <c r="K35" s="2850"/>
    </row>
    <row r="36" spans="1:11" s="2086" customFormat="1" ht="13.5" customHeight="1" thickBot="1">
      <c r="A36" s="284" t="s">
        <v>1846</v>
      </c>
      <c r="B36" s="2852"/>
      <c r="C36" s="2891">
        <f ca="1">ROUND((C6-C30-C33)/(1+D30+D33),0)</f>
        <v>197756</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2657</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69190</v>
      </c>
      <c r="D13" s="451"/>
      <c r="E13" s="365"/>
      <c r="F13" s="452"/>
      <c r="G13" s="444"/>
      <c r="H13" s="447"/>
      <c r="I13" s="447"/>
      <c r="J13" s="447"/>
      <c r="K13" s="448"/>
    </row>
    <row r="14" spans="1:41" s="2117" customFormat="1" ht="13.5" customHeight="1">
      <c r="A14" s="1633" t="s">
        <v>1851</v>
      </c>
      <c r="B14" s="449" t="s">
        <v>480</v>
      </c>
      <c r="C14" s="53">
        <f ca="1">ROUND(C13*F14,0)</f>
        <v>2076</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3460</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4942</v>
      </c>
      <c r="D16" s="451">
        <f ca="1">IF(B1="",'数据-汇总表'!E3,INDIRECT("'数据-取费表'!K"&amp;$K$1)+INDIRECT("'数据-取费表'!S"&amp;$K$1))</f>
        <v>247106.5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1038</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80706</v>
      </c>
      <c r="D18" s="461"/>
      <c r="E18" s="462"/>
      <c r="F18" s="462"/>
      <c r="G18" s="1326" t="s">
        <v>2437</v>
      </c>
      <c r="H18" s="447"/>
      <c r="I18" s="447"/>
      <c r="J18" s="447"/>
      <c r="K18" s="448"/>
    </row>
    <row r="19" spans="1:14" s="2120" customFormat="1" ht="13.5" customHeight="1">
      <c r="A19" s="1634" t="s">
        <v>1856</v>
      </c>
      <c r="B19" s="459" t="s">
        <v>493</v>
      </c>
      <c r="C19" s="460">
        <f ca="1">ROUND(C18*F19,0)</f>
        <v>1614</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6">
        <f>F20</f>
        <v>0.02</v>
      </c>
      <c r="D20" s="469" t="s">
        <v>506</v>
      </c>
      <c r="E20" s="469"/>
      <c r="F20" s="486">
        <f>'数据-取费表'!B38</f>
        <v>0.02</v>
      </c>
      <c r="G20" s="1326" t="s">
        <v>507</v>
      </c>
      <c r="H20" s="447"/>
      <c r="I20" s="447"/>
      <c r="J20" s="447"/>
      <c r="K20" s="448"/>
      <c r="L20" s="2122"/>
      <c r="M20" s="2122"/>
      <c r="N20" s="2122"/>
    </row>
    <row r="21" spans="1:14" s="2122" customFormat="1" ht="13.5" customHeight="1">
      <c r="A21" s="1634" t="s">
        <v>1860</v>
      </c>
      <c r="B21" s="461" t="s">
        <v>494</v>
      </c>
      <c r="C21" s="470">
        <f ca="1">C22</f>
        <v>5934</v>
      </c>
      <c r="D21" s="467">
        <f ca="1">C23</f>
        <v>1.4E-3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2459</v>
      </c>
    </row>
    <row r="22" spans="1:14" s="2121" customFormat="1" ht="13.5" customHeight="1">
      <c r="A22" s="1633" t="s">
        <v>1850</v>
      </c>
      <c r="B22" s="1327" t="s">
        <v>2440</v>
      </c>
      <c r="C22" s="487">
        <f ca="1">ROUND(IF('数据-取费表'!B22&lt;=1,(C18+C19)*F21*'数据-取费表'!B20/2,(C18+C19)*(POWER((1+F21),'数据-取费表'!B20/2)-1)),0)</f>
        <v>5934</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7" t="s">
        <v>509</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8" t="s">
        <v>2837</v>
      </c>
      <c r="C24" s="478">
        <f ca="1">C25</f>
        <v>8232</v>
      </c>
      <c r="D24" s="489">
        <f ca="1">C26</f>
        <v>2E-3</v>
      </c>
      <c r="E24" s="469" t="s">
        <v>508</v>
      </c>
      <c r="F24" s="479">
        <f ca="1">IF(B1="",'数据-取费表'!Q16,INDIRECT("'数据-取费表'!q"&amp;$K$1))</f>
        <v>0.1</v>
      </c>
      <c r="G24" s="444"/>
      <c r="H24" s="447"/>
      <c r="I24" s="447"/>
      <c r="J24" s="447"/>
      <c r="K24" s="448"/>
    </row>
    <row r="25" spans="1:14" s="2121" customFormat="1" ht="13.5" customHeight="1">
      <c r="A25" s="1633" t="s">
        <v>1850</v>
      </c>
      <c r="B25" s="1327" t="s">
        <v>2441</v>
      </c>
      <c r="C25" s="490">
        <f ca="1">ROUND((C18+C19)*F24,0)</f>
        <v>8232</v>
      </c>
      <c r="D25" s="472"/>
      <c r="E25" s="473"/>
      <c r="F25" s="480"/>
      <c r="G25" s="1325" t="s">
        <v>2438</v>
      </c>
      <c r="H25" s="457"/>
      <c r="I25" s="457"/>
      <c r="J25" s="457"/>
      <c r="K25" s="458"/>
    </row>
    <row r="26" spans="1:14" s="2121" customFormat="1" ht="13.5" customHeight="1">
      <c r="A26" s="1633" t="s">
        <v>1851</v>
      </c>
      <c r="B26" s="1327" t="s">
        <v>510</v>
      </c>
      <c r="C26" s="491">
        <f ca="1">ROUND(F20*F24,4)</f>
        <v>2E-3</v>
      </c>
      <c r="D26" s="472"/>
      <c r="E26" s="481"/>
      <c r="F26" s="480"/>
      <c r="G26" s="1325" t="s">
        <v>511</v>
      </c>
      <c r="H26" s="457"/>
      <c r="I26" s="457"/>
      <c r="J26" s="457"/>
      <c r="K26" s="458"/>
    </row>
    <row r="27" spans="1:14" s="2121" customFormat="1" ht="13.5" customHeight="1">
      <c r="A27" s="1637" t="s">
        <v>1869</v>
      </c>
      <c r="B27" s="459" t="s">
        <v>512</v>
      </c>
      <c r="C27" s="3057">
        <f>ROUND(F27/(1+'数据-取费表'!C42),4)</f>
        <v>5.2400000000000002E-2</v>
      </c>
      <c r="D27" s="462" t="s">
        <v>2835</v>
      </c>
      <c r="E27" s="462"/>
      <c r="F27" s="466">
        <f>'数据-取费表'!B41</f>
        <v>5.5000000000000007E-2</v>
      </c>
      <c r="G27" s="1961" t="s">
        <v>2295</v>
      </c>
      <c r="H27" s="447"/>
      <c r="I27" s="447"/>
      <c r="J27" s="447"/>
      <c r="K27" s="448"/>
    </row>
    <row r="28" spans="1:14" s="2122" customFormat="1" ht="13.5" customHeight="1">
      <c r="A28" s="1637" t="s">
        <v>1870</v>
      </c>
      <c r="B28" s="476" t="s">
        <v>513</v>
      </c>
      <c r="C28" s="470">
        <f ca="1">ROUND((C18+C19+C21+C24)/(1-C20-D21-D24-C27),0)</f>
        <v>104399</v>
      </c>
      <c r="D28" s="477"/>
      <c r="E28" s="469"/>
      <c r="F28" s="471"/>
      <c r="G28" s="1326" t="s">
        <v>2439</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8" t="s">
        <v>516</v>
      </c>
      <c r="H30" s="496"/>
      <c r="I30" s="496"/>
      <c r="J30" s="447"/>
      <c r="K30" s="448"/>
    </row>
    <row r="31" spans="1:14" s="2127" customFormat="1" ht="13.5" customHeight="1">
      <c r="A31" s="2507" t="s">
        <v>1867</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667" t="s">
        <v>523</v>
      </c>
      <c r="D6" s="3668"/>
      <c r="E6" s="3702" t="s">
        <v>524</v>
      </c>
      <c r="F6" s="3703"/>
      <c r="G6" s="3667" t="s">
        <v>525</v>
      </c>
      <c r="H6" s="3668"/>
      <c r="I6" s="3667" t="s">
        <v>526</v>
      </c>
      <c r="J6" s="3668"/>
      <c r="K6" s="514" t="s">
        <v>527</v>
      </c>
      <c r="L6" s="2134"/>
      <c r="M6" s="2135"/>
      <c r="N6" s="2135"/>
      <c r="O6" s="2135"/>
      <c r="P6" s="3669" t="s">
        <v>528</v>
      </c>
      <c r="Q6" s="3670"/>
      <c r="R6" s="3675" t="s">
        <v>524</v>
      </c>
      <c r="S6" s="3676"/>
      <c r="T6" s="3675" t="s">
        <v>525</v>
      </c>
      <c r="U6" s="3676"/>
      <c r="V6" s="3662" t="s">
        <v>526</v>
      </c>
      <c r="W6" s="3662"/>
      <c r="X6" s="1567"/>
      <c r="Y6" s="3675" t="s">
        <v>528</v>
      </c>
      <c r="Z6" s="3676"/>
      <c r="AA6" s="3664" t="s">
        <v>524</v>
      </c>
      <c r="AB6" s="3665" t="s">
        <v>525</v>
      </c>
      <c r="AC6" s="3664" t="s">
        <v>526</v>
      </c>
    </row>
    <row r="7" spans="1:29" ht="15">
      <c r="A7" s="515"/>
      <c r="B7" s="516"/>
      <c r="C7" s="3683" t="s">
        <v>2935</v>
      </c>
      <c r="D7" s="3684"/>
      <c r="E7" s="3704" t="s">
        <v>2936</v>
      </c>
      <c r="F7" s="3705"/>
      <c r="G7" s="3683" t="s">
        <v>2937</v>
      </c>
      <c r="H7" s="3684"/>
      <c r="I7" s="3683" t="s">
        <v>2938</v>
      </c>
      <c r="J7" s="3684"/>
      <c r="K7" s="514"/>
      <c r="L7" s="2134"/>
      <c r="M7" s="2135"/>
      <c r="N7" s="2135"/>
      <c r="O7" s="2135"/>
      <c r="P7" s="3671"/>
      <c r="Q7" s="3672"/>
      <c r="R7" s="3677"/>
      <c r="S7" s="3678"/>
      <c r="T7" s="3677"/>
      <c r="U7" s="3678"/>
      <c r="V7" s="3662"/>
      <c r="W7" s="3662"/>
      <c r="X7" s="1567"/>
      <c r="Y7" s="3677"/>
      <c r="Z7" s="3678"/>
      <c r="AA7" s="3665"/>
      <c r="AB7" s="3665"/>
      <c r="AC7" s="3665"/>
    </row>
    <row r="8" spans="1:29" ht="15.75" thickBot="1">
      <c r="A8" s="517"/>
      <c r="B8" s="518"/>
      <c r="C8" s="3698" t="s">
        <v>2939</v>
      </c>
      <c r="D8" s="3699"/>
      <c r="E8" s="3700" t="s">
        <v>2939</v>
      </c>
      <c r="F8" s="3701"/>
      <c r="G8" s="3698" t="s">
        <v>2939</v>
      </c>
      <c r="H8" s="3699"/>
      <c r="I8" s="3698" t="s">
        <v>2939</v>
      </c>
      <c r="J8" s="3699"/>
      <c r="K8" s="514" t="s">
        <v>529</v>
      </c>
      <c r="L8" s="2134"/>
      <c r="M8" s="2135"/>
      <c r="N8" s="2135"/>
      <c r="O8" s="2135"/>
      <c r="P8" s="3673"/>
      <c r="Q8" s="3674"/>
      <c r="R8" s="3677"/>
      <c r="S8" s="3678"/>
      <c r="T8" s="3679"/>
      <c r="U8" s="3680"/>
      <c r="V8" s="3662"/>
      <c r="W8" s="3662"/>
      <c r="X8" s="1567"/>
      <c r="Y8" s="3679"/>
      <c r="Z8" s="3680"/>
      <c r="AA8" s="3666"/>
      <c r="AB8" s="3666"/>
      <c r="AC8" s="3666"/>
    </row>
    <row r="9" spans="1:29" s="1219" customFormat="1" ht="15.75" thickBot="1">
      <c r="A9" s="2938"/>
      <c r="B9" s="2945" t="s">
        <v>530</v>
      </c>
      <c r="C9" s="519">
        <f>'数据-取费表'!B2</f>
        <v>43242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91" t="s">
        <v>531</v>
      </c>
      <c r="Q9" s="3693"/>
      <c r="R9" s="1568" t="s">
        <v>8</v>
      </c>
      <c r="S9" s="1569">
        <f t="shared" ref="S9:S17" si="0">F9</f>
        <v>0</v>
      </c>
      <c r="T9" s="1568" t="s">
        <v>8</v>
      </c>
      <c r="U9" s="1569">
        <f t="shared" ref="U9:U17" si="1">H9</f>
        <v>0</v>
      </c>
      <c r="V9" s="1568" t="s">
        <v>8</v>
      </c>
      <c r="W9" s="1569">
        <f t="shared" ref="W9:W17" si="2">J9</f>
        <v>0</v>
      </c>
      <c r="X9" s="1570"/>
      <c r="Y9" s="3691" t="s">
        <v>531</v>
      </c>
      <c r="Z9" s="3692"/>
      <c r="AA9" s="1571" t="e">
        <f>D9/F9</f>
        <v>#DIV/0!</v>
      </c>
      <c r="AB9" s="1571" t="e">
        <f>D9/H9</f>
        <v>#DIV/0!</v>
      </c>
      <c r="AC9" s="1571" t="e">
        <f>D9/J9</f>
        <v>#DIV/0!</v>
      </c>
    </row>
    <row r="10" spans="1:29" s="1219"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91" t="s">
        <v>534</v>
      </c>
      <c r="Q10" s="3692"/>
      <c r="R10" s="1568" t="s">
        <v>8</v>
      </c>
      <c r="S10" s="1569">
        <f t="shared" si="0"/>
        <v>0</v>
      </c>
      <c r="T10" s="1568" t="s">
        <v>8</v>
      </c>
      <c r="U10" s="1569">
        <f t="shared" si="1"/>
        <v>0</v>
      </c>
      <c r="V10" s="1568" t="s">
        <v>8</v>
      </c>
      <c r="W10" s="1569">
        <f t="shared" si="2"/>
        <v>0</v>
      </c>
      <c r="X10" s="1570"/>
      <c r="Y10" s="3691" t="s">
        <v>534</v>
      </c>
      <c r="Z10" s="3692"/>
      <c r="AA10" s="1571" t="e">
        <f t="shared" ref="AA10:AA42" si="3">D10/F10</f>
        <v>#DIV/0!</v>
      </c>
      <c r="AB10" s="1571" t="e">
        <f t="shared" ref="AB10:AB42" si="4">D10/H10</f>
        <v>#DIV/0!</v>
      </c>
      <c r="AC10" s="1571" t="e">
        <f t="shared" ref="AC10:AC42" si="5">D10/J10</f>
        <v>#DIV/0!</v>
      </c>
    </row>
    <row r="11" spans="1:29" s="1219" customFormat="1" ht="15">
      <c r="A11" s="2940"/>
      <c r="B11" s="2947" t="s">
        <v>2761</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61" t="s">
        <v>536</v>
      </c>
      <c r="Q11" s="1150" t="str">
        <f t="shared" ref="Q11:Q17" si="6">B11</f>
        <v>用途</v>
      </c>
      <c r="R11" s="1568" t="s">
        <v>8</v>
      </c>
      <c r="S11" s="1569">
        <f t="shared" si="0"/>
        <v>100</v>
      </c>
      <c r="T11" s="1568" t="s">
        <v>8</v>
      </c>
      <c r="U11" s="1569">
        <f t="shared" si="1"/>
        <v>100</v>
      </c>
      <c r="V11" s="1568" t="s">
        <v>8</v>
      </c>
      <c r="W11" s="1569">
        <f t="shared" si="2"/>
        <v>100</v>
      </c>
      <c r="X11" s="1570"/>
      <c r="Y11" s="3607" t="s">
        <v>537</v>
      </c>
      <c r="Z11" s="1149" t="str">
        <f t="shared" ref="Z11:Z17" si="7">Q11</f>
        <v>用途</v>
      </c>
      <c r="AA11" s="1571">
        <f t="shared" si="3"/>
        <v>1</v>
      </c>
      <c r="AB11" s="1571">
        <f t="shared" si="4"/>
        <v>1</v>
      </c>
      <c r="AC11" s="1571">
        <f t="shared" si="5"/>
        <v>1</v>
      </c>
    </row>
    <row r="12" spans="1:29" s="1337" customFormat="1" ht="27">
      <c r="A12" s="2941"/>
      <c r="B12" s="2946" t="s">
        <v>2762</v>
      </c>
      <c r="C12" s="528"/>
      <c r="D12" s="255">
        <v>100</v>
      </c>
      <c r="E12" s="528"/>
      <c r="F12" s="255">
        <f>ROUND(100/'数据-取费表'!G16,0)</f>
        <v>103</v>
      </c>
      <c r="G12" s="528"/>
      <c r="H12" s="255">
        <f>ROUND(100/'数据-取费表'!G16,0)</f>
        <v>103</v>
      </c>
      <c r="I12" s="528"/>
      <c r="J12" s="255">
        <f>ROUND(100/'数据-取费表'!G16,0)</f>
        <v>103</v>
      </c>
      <c r="K12" s="531"/>
      <c r="L12" s="2139"/>
      <c r="M12" s="2179"/>
      <c r="N12" s="2179"/>
      <c r="O12" s="2140"/>
      <c r="P12" s="3661"/>
      <c r="Q12" s="1150" t="str">
        <f t="shared" si="6"/>
        <v>土地使用年限（年）</v>
      </c>
      <c r="R12" s="1568" t="s">
        <v>8</v>
      </c>
      <c r="S12" s="1569">
        <f t="shared" si="0"/>
        <v>103</v>
      </c>
      <c r="T12" s="1568" t="s">
        <v>8</v>
      </c>
      <c r="U12" s="1569">
        <f t="shared" si="1"/>
        <v>103</v>
      </c>
      <c r="V12" s="1568" t="s">
        <v>8</v>
      </c>
      <c r="W12" s="1569">
        <f t="shared" si="2"/>
        <v>103</v>
      </c>
      <c r="X12" s="1570"/>
      <c r="Y12" s="3607"/>
      <c r="Z12" s="1149" t="str">
        <f t="shared" si="7"/>
        <v>土地使用年限（年）</v>
      </c>
      <c r="AA12" s="1571">
        <f t="shared" si="3"/>
        <v>0.970873786407767</v>
      </c>
      <c r="AB12" s="1571">
        <f t="shared" si="4"/>
        <v>0.970873786407767</v>
      </c>
      <c r="AC12" s="1571">
        <f t="shared" si="5"/>
        <v>0.970873786407767</v>
      </c>
    </row>
    <row r="13" spans="1:29" ht="15">
      <c r="A13" s="2942"/>
      <c r="B13" s="2946" t="s">
        <v>2763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61"/>
      <c r="Q13" s="1150" t="str">
        <f t="shared" si="6"/>
        <v>容积率</v>
      </c>
      <c r="R13" s="1568" t="s">
        <v>8</v>
      </c>
      <c r="S13" s="1569" t="e">
        <f t="shared" si="0"/>
        <v>#N/A</v>
      </c>
      <c r="T13" s="1568" t="s">
        <v>8</v>
      </c>
      <c r="U13" s="1569" t="e">
        <f t="shared" si="1"/>
        <v>#N/A</v>
      </c>
      <c r="V13" s="1568" t="s">
        <v>8</v>
      </c>
      <c r="W13" s="1569" t="e">
        <f t="shared" si="2"/>
        <v>#N/A</v>
      </c>
      <c r="X13" s="1570"/>
      <c r="Y13" s="3607"/>
      <c r="Z13" s="1149" t="str">
        <f t="shared" si="7"/>
        <v>容积率</v>
      </c>
      <c r="AA13" s="1571" t="e">
        <f t="shared" si="3"/>
        <v>#N/A</v>
      </c>
      <c r="AB13" s="1571" t="e">
        <f t="shared" si="4"/>
        <v>#N/A</v>
      </c>
      <c r="AC13" s="1571" t="e">
        <f t="shared" si="5"/>
        <v>#N/A</v>
      </c>
    </row>
    <row r="14" spans="1:29" s="1219"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61"/>
      <c r="Q15" s="1150">
        <f t="shared" si="6"/>
        <v>111</v>
      </c>
      <c r="R15" s="1568" t="s">
        <v>8</v>
      </c>
      <c r="S15" s="1569">
        <f t="shared" si="0"/>
        <v>100</v>
      </c>
      <c r="T15" s="1568" t="s">
        <v>8</v>
      </c>
      <c r="U15" s="1569">
        <f t="shared" si="1"/>
        <v>100</v>
      </c>
      <c r="V15" s="1568" t="s">
        <v>8</v>
      </c>
      <c r="W15" s="1569">
        <f t="shared" si="2"/>
        <v>100</v>
      </c>
      <c r="X15" s="1570"/>
      <c r="Y15" s="3607"/>
      <c r="Z15" s="1149">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61"/>
      <c r="Q16" s="1150">
        <f t="shared" si="6"/>
        <v>111</v>
      </c>
      <c r="R16" s="1568" t="s">
        <v>8</v>
      </c>
      <c r="S16" s="1569">
        <f t="shared" si="0"/>
        <v>100</v>
      </c>
      <c r="T16" s="1568" t="s">
        <v>8</v>
      </c>
      <c r="U16" s="1569">
        <f t="shared" si="1"/>
        <v>100</v>
      </c>
      <c r="V16" s="1568" t="s">
        <v>8</v>
      </c>
      <c r="W16" s="1569">
        <f t="shared" si="2"/>
        <v>100</v>
      </c>
      <c r="X16" s="1570"/>
      <c r="Y16" s="3607"/>
      <c r="Z16" s="1149">
        <f t="shared" si="7"/>
        <v>111</v>
      </c>
      <c r="AA16" s="1571">
        <f t="shared" si="3"/>
        <v>1</v>
      </c>
      <c r="AB16" s="1571">
        <f t="shared" si="4"/>
        <v>1</v>
      </c>
      <c r="AC16" s="1571">
        <f t="shared" si="5"/>
        <v>1</v>
      </c>
    </row>
    <row r="17" spans="1:29" ht="57">
      <c r="A17" s="2936" t="s">
        <v>2759</v>
      </c>
      <c r="B17" s="166"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94" t="s">
        <v>541</v>
      </c>
      <c r="Q17" s="1572" t="str">
        <f t="shared" si="6"/>
        <v>产业集聚程度</v>
      </c>
      <c r="R17" s="1573" t="s">
        <v>8</v>
      </c>
      <c r="S17" s="1574">
        <f t="shared" si="0"/>
        <v>100</v>
      </c>
      <c r="T17" s="1573" t="s">
        <v>8</v>
      </c>
      <c r="U17" s="1574">
        <f t="shared" si="1"/>
        <v>100</v>
      </c>
      <c r="V17" s="1573" t="s">
        <v>8</v>
      </c>
      <c r="W17" s="1574">
        <f t="shared" si="2"/>
        <v>100</v>
      </c>
      <c r="X17" s="1567"/>
      <c r="Y17" s="3694"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695"/>
      <c r="Q18" s="1572"/>
      <c r="R18" s="1573"/>
      <c r="S18" s="1574"/>
      <c r="T18" s="1573"/>
      <c r="U18" s="1574"/>
      <c r="V18" s="1573"/>
      <c r="W18" s="1574"/>
      <c r="X18" s="1567"/>
      <c r="Y18" s="3695"/>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95"/>
      <c r="Q19" s="1572" t="str">
        <f>B19</f>
        <v>交通便捷度</v>
      </c>
      <c r="R19" s="1573" t="s">
        <v>8</v>
      </c>
      <c r="S19" s="1574">
        <f>F19</f>
        <v>100</v>
      </c>
      <c r="T19" s="1573" t="s">
        <v>8</v>
      </c>
      <c r="U19" s="1574">
        <f>H19</f>
        <v>100</v>
      </c>
      <c r="V19" s="1573" t="s">
        <v>8</v>
      </c>
      <c r="W19" s="1574">
        <f>J19</f>
        <v>100</v>
      </c>
      <c r="X19" s="1567"/>
      <c r="Y19" s="3695"/>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695"/>
      <c r="Q21" s="1572" t="str">
        <f t="shared" ref="Q21:Q35" si="8">B21</f>
        <v>区域土地利用方向</v>
      </c>
      <c r="R21" s="1573" t="s">
        <v>8</v>
      </c>
      <c r="S21" s="1574">
        <f>F21</f>
        <v>100</v>
      </c>
      <c r="T21" s="1573" t="s">
        <v>8</v>
      </c>
      <c r="U21" s="1574">
        <f>H21</f>
        <v>100</v>
      </c>
      <c r="V21" s="1573" t="s">
        <v>8</v>
      </c>
      <c r="W21" s="1574">
        <f>J21</f>
        <v>100</v>
      </c>
      <c r="X21" s="1567"/>
      <c r="Y21" s="369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695"/>
      <c r="Q22" s="1572"/>
      <c r="R22" s="1573"/>
      <c r="S22" s="1574"/>
      <c r="T22" s="1573"/>
      <c r="U22" s="1574"/>
      <c r="V22" s="1573"/>
      <c r="W22" s="1574"/>
      <c r="X22" s="1567"/>
      <c r="Y22" s="3695"/>
      <c r="Z22" s="1575"/>
      <c r="AA22" s="1576"/>
      <c r="AB22" s="1576"/>
      <c r="AC22" s="1576"/>
    </row>
    <row r="23" spans="1:29" ht="71.25">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95"/>
      <c r="Q23" s="1572" t="str">
        <f t="shared" si="8"/>
        <v>环境状况</v>
      </c>
      <c r="R23" s="1573" t="s">
        <v>8</v>
      </c>
      <c r="S23" s="1574">
        <f>F23</f>
        <v>100</v>
      </c>
      <c r="T23" s="1573" t="s">
        <v>8</v>
      </c>
      <c r="U23" s="1574">
        <f>H23</f>
        <v>100</v>
      </c>
      <c r="V23" s="1573" t="s">
        <v>8</v>
      </c>
      <c r="W23" s="1574">
        <f>J23</f>
        <v>100</v>
      </c>
      <c r="X23" s="1567"/>
      <c r="Y23" s="369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695"/>
      <c r="Q24" s="1572"/>
      <c r="R24" s="1573"/>
      <c r="S24" s="1574"/>
      <c r="T24" s="1573"/>
      <c r="U24" s="1574"/>
      <c r="V24" s="1573"/>
      <c r="W24" s="1574"/>
      <c r="X24" s="1567"/>
      <c r="Y24" s="3695"/>
      <c r="Z24" s="1575"/>
      <c r="AA24" s="1576">
        <v>1</v>
      </c>
      <c r="AB24" s="1576">
        <v>1</v>
      </c>
      <c r="AC24" s="1576">
        <v>1</v>
      </c>
    </row>
    <row r="25" spans="1:29" s="1219" customFormat="1" ht="42.75">
      <c r="A25" s="577"/>
      <c r="B25" s="2618" t="s">
        <v>2554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95"/>
      <c r="Q25" s="1150" t="str">
        <f t="shared" si="8"/>
        <v>公共配套设施</v>
      </c>
      <c r="R25" s="1568" t="s">
        <v>8</v>
      </c>
      <c r="S25" s="1569">
        <f>F25</f>
        <v>100</v>
      </c>
      <c r="T25" s="1568" t="s">
        <v>8</v>
      </c>
      <c r="U25" s="1569">
        <f>H25</f>
        <v>100</v>
      </c>
      <c r="V25" s="1568" t="s">
        <v>8</v>
      </c>
      <c r="W25" s="1569">
        <f>J25</f>
        <v>100</v>
      </c>
      <c r="X25" s="1570"/>
      <c r="Y25" s="3695"/>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695"/>
      <c r="Q26" s="1150"/>
      <c r="R26" s="1568"/>
      <c r="S26" s="1569"/>
      <c r="T26" s="1568"/>
      <c r="U26" s="1569"/>
      <c r="V26" s="1568"/>
      <c r="W26" s="1569"/>
      <c r="X26" s="1570"/>
      <c r="Y26" s="3695"/>
      <c r="Z26" s="1149"/>
      <c r="AA26" s="1571">
        <v>1</v>
      </c>
      <c r="AB26" s="1571">
        <v>1</v>
      </c>
      <c r="AC26" s="1571">
        <v>1</v>
      </c>
    </row>
    <row r="27" spans="1:29" s="1219" customFormat="1" ht="28.5">
      <c r="A27" s="577"/>
      <c r="B27" s="2618" t="s">
        <v>2555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95"/>
      <c r="Q27" s="2603" t="str">
        <f t="shared" ref="Q27" si="9">B27</f>
        <v>基础设施水平</v>
      </c>
      <c r="R27" s="1568" t="s">
        <v>8</v>
      </c>
      <c r="S27" s="1569">
        <f>F27</f>
        <v>100</v>
      </c>
      <c r="T27" s="1568" t="s">
        <v>8</v>
      </c>
      <c r="U27" s="1569">
        <f>H27</f>
        <v>100</v>
      </c>
      <c r="V27" s="1568" t="s">
        <v>8</v>
      </c>
      <c r="W27" s="1569">
        <f>J27</f>
        <v>100</v>
      </c>
      <c r="X27" s="1570"/>
      <c r="Y27" s="3695"/>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695"/>
      <c r="Q28" s="2603"/>
      <c r="R28" s="1568"/>
      <c r="S28" s="1569"/>
      <c r="T28" s="1568"/>
      <c r="U28" s="1569"/>
      <c r="V28" s="1568"/>
      <c r="W28" s="1569"/>
      <c r="X28" s="1570"/>
      <c r="Y28" s="3695"/>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9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95"/>
      <c r="Z29" s="1575" t="str">
        <f t="shared" ref="Z29:Z42" si="13">Q29</f>
        <v>临街状况</v>
      </c>
      <c r="AA29" s="1576">
        <f t="shared" si="3"/>
        <v>1</v>
      </c>
      <c r="AB29" s="1576">
        <f t="shared" si="4"/>
        <v>1</v>
      </c>
      <c r="AC29" s="1576">
        <f t="shared" si="5"/>
        <v>1</v>
      </c>
    </row>
    <row r="30" spans="1:29" ht="27">
      <c r="A30" s="532"/>
      <c r="B30" s="921"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95"/>
      <c r="Q30" s="1572" t="str">
        <f t="shared" si="8"/>
        <v>毗邻道路的类型与等级</v>
      </c>
      <c r="R30" s="1573" t="s">
        <v>8</v>
      </c>
      <c r="S30" s="1574">
        <f t="shared" si="10"/>
        <v>100</v>
      </c>
      <c r="T30" s="1573" t="s">
        <v>8</v>
      </c>
      <c r="U30" s="1574">
        <f t="shared" si="11"/>
        <v>100</v>
      </c>
      <c r="V30" s="1573" t="s">
        <v>8</v>
      </c>
      <c r="W30" s="1574">
        <f t="shared" si="12"/>
        <v>100</v>
      </c>
      <c r="X30" s="1567"/>
      <c r="Y30" s="3695"/>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695"/>
      <c r="Q31" s="1572"/>
      <c r="R31" s="1573"/>
      <c r="S31" s="1574"/>
      <c r="T31" s="1573"/>
      <c r="U31" s="1574"/>
      <c r="V31" s="1573"/>
      <c r="W31" s="1574"/>
      <c r="X31" s="1567"/>
      <c r="Y31" s="3695"/>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95"/>
      <c r="Q32" s="1572" t="str">
        <f t="shared" si="8"/>
        <v>土地级别</v>
      </c>
      <c r="R32" s="1573" t="s">
        <v>8</v>
      </c>
      <c r="S32" s="1574">
        <f t="shared" si="10"/>
        <v>100</v>
      </c>
      <c r="T32" s="1573" t="s">
        <v>8</v>
      </c>
      <c r="U32" s="1574">
        <f t="shared" si="11"/>
        <v>100</v>
      </c>
      <c r="V32" s="1573" t="s">
        <v>8</v>
      </c>
      <c r="W32" s="1574">
        <f t="shared" si="12"/>
        <v>100</v>
      </c>
      <c r="X32" s="1567"/>
      <c r="Y32" s="369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95"/>
      <c r="Q33" s="1572">
        <f t="shared" si="8"/>
        <v>111</v>
      </c>
      <c r="R33" s="1573" t="s">
        <v>8</v>
      </c>
      <c r="S33" s="1574">
        <f t="shared" si="10"/>
        <v>100</v>
      </c>
      <c r="T33" s="1573" t="s">
        <v>8</v>
      </c>
      <c r="U33" s="1574">
        <f t="shared" si="11"/>
        <v>100</v>
      </c>
      <c r="V33" s="1573" t="s">
        <v>8</v>
      </c>
      <c r="W33" s="1574">
        <f t="shared" si="12"/>
        <v>100</v>
      </c>
      <c r="X33" s="1567"/>
      <c r="Y33" s="369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96" t="s">
        <v>551</v>
      </c>
      <c r="Q34" s="1572">
        <f t="shared" si="8"/>
        <v>111</v>
      </c>
      <c r="R34" s="1573" t="s">
        <v>8</v>
      </c>
      <c r="S34" s="1574">
        <f t="shared" si="10"/>
        <v>100</v>
      </c>
      <c r="T34" s="1573" t="s">
        <v>8</v>
      </c>
      <c r="U34" s="1574">
        <f t="shared" si="11"/>
        <v>100</v>
      </c>
      <c r="V34" s="1573" t="s">
        <v>8</v>
      </c>
      <c r="W34" s="1574">
        <f t="shared" si="12"/>
        <v>100</v>
      </c>
      <c r="X34" s="1567"/>
      <c r="Y34" s="3697" t="s">
        <v>551</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97"/>
      <c r="Q35" s="1572">
        <f t="shared" si="8"/>
        <v>111</v>
      </c>
      <c r="R35" s="1577" t="s">
        <v>8</v>
      </c>
      <c r="S35" s="1578">
        <f t="shared" si="10"/>
        <v>100</v>
      </c>
      <c r="T35" s="1577" t="s">
        <v>8</v>
      </c>
      <c r="U35" s="1578">
        <f t="shared" si="11"/>
        <v>100</v>
      </c>
      <c r="V35" s="1577" t="s">
        <v>8</v>
      </c>
      <c r="W35" s="1578">
        <f t="shared" si="12"/>
        <v>100</v>
      </c>
      <c r="X35" s="1579"/>
      <c r="Y35" s="3697"/>
      <c r="Z35" s="1580">
        <f t="shared" si="13"/>
        <v>111</v>
      </c>
      <c r="AA35" s="1576">
        <f t="shared" si="3"/>
        <v>1</v>
      </c>
      <c r="AB35" s="1576">
        <f t="shared" si="4"/>
        <v>1</v>
      </c>
      <c r="AC35" s="1576">
        <f t="shared" si="5"/>
        <v>1</v>
      </c>
    </row>
    <row r="36" spans="1:29" ht="15">
      <c r="A36" s="2933"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97"/>
      <c r="Q36" s="1572" t="str">
        <f>B36</f>
        <v>宗地面积</v>
      </c>
      <c r="R36" s="1573" t="s">
        <v>8</v>
      </c>
      <c r="S36" s="1574" t="e">
        <f t="shared" si="10"/>
        <v>#N/A</v>
      </c>
      <c r="T36" s="1573" t="s">
        <v>8</v>
      </c>
      <c r="U36" s="1574" t="e">
        <f t="shared" si="11"/>
        <v>#N/A</v>
      </c>
      <c r="V36" s="1573" t="s">
        <v>8</v>
      </c>
      <c r="W36" s="1574" t="e">
        <f t="shared" si="12"/>
        <v>#N/A</v>
      </c>
      <c r="X36" s="1567"/>
      <c r="Y36" s="3697"/>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97"/>
      <c r="Q37" s="1572" t="str">
        <f t="shared" ref="Q37:Q42" si="14">B37</f>
        <v>宗地形状</v>
      </c>
      <c r="R37" s="1573" t="s">
        <v>8</v>
      </c>
      <c r="S37" s="1574">
        <f t="shared" si="10"/>
        <v>100</v>
      </c>
      <c r="T37" s="1573" t="s">
        <v>8</v>
      </c>
      <c r="U37" s="1574">
        <f t="shared" si="11"/>
        <v>100</v>
      </c>
      <c r="V37" s="1573" t="s">
        <v>8</v>
      </c>
      <c r="W37" s="1574">
        <f t="shared" si="12"/>
        <v>100</v>
      </c>
      <c r="X37" s="1567"/>
      <c r="Y37" s="3697"/>
      <c r="Z37" s="1575" t="str">
        <f t="shared" si="13"/>
        <v>宗地形状</v>
      </c>
      <c r="AA37" s="1576">
        <f t="shared" si="3"/>
        <v>1</v>
      </c>
      <c r="AB37" s="1576">
        <f t="shared" si="4"/>
        <v>1</v>
      </c>
      <c r="AC37" s="1576">
        <f t="shared" si="5"/>
        <v>1</v>
      </c>
    </row>
    <row r="38" spans="1:29" s="1219" customFormat="1" ht="15">
      <c r="A38" s="600"/>
      <c r="B38" s="1896"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97"/>
      <c r="Q38" s="1572" t="str">
        <f t="shared" si="14"/>
        <v>宗地开发程度</v>
      </c>
      <c r="R38" s="1568" t="s">
        <v>8</v>
      </c>
      <c r="S38" s="1569">
        <f t="shared" si="10"/>
        <v>100</v>
      </c>
      <c r="T38" s="1568" t="s">
        <v>8</v>
      </c>
      <c r="U38" s="1569">
        <f t="shared" si="11"/>
        <v>100</v>
      </c>
      <c r="V38" s="1568" t="s">
        <v>8</v>
      </c>
      <c r="W38" s="1569">
        <f t="shared" si="12"/>
        <v>100</v>
      </c>
      <c r="X38" s="1570"/>
      <c r="Y38" s="3697"/>
      <c r="Z38" s="1149"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7" t="s">
        <v>602</v>
      </c>
      <c r="Q39" s="1572" t="str">
        <f t="shared" si="14"/>
        <v>工程地质条件</v>
      </c>
      <c r="R39" s="1573" t="s">
        <v>8</v>
      </c>
      <c r="S39" s="1574">
        <f t="shared" si="10"/>
        <v>100</v>
      </c>
      <c r="T39" s="1573" t="s">
        <v>8</v>
      </c>
      <c r="U39" s="1574">
        <f t="shared" si="11"/>
        <v>100</v>
      </c>
      <c r="V39" s="1573" t="s">
        <v>8</v>
      </c>
      <c r="W39" s="1574">
        <f t="shared" si="12"/>
        <v>100</v>
      </c>
      <c r="X39" s="1567"/>
      <c r="Y39" s="3697"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97"/>
      <c r="Q40" s="1572">
        <f t="shared" si="14"/>
        <v>111</v>
      </c>
      <c r="R40" s="1573" t="s">
        <v>8</v>
      </c>
      <c r="S40" s="1574">
        <f t="shared" si="10"/>
        <v>100</v>
      </c>
      <c r="T40" s="1573" t="s">
        <v>8</v>
      </c>
      <c r="U40" s="1574">
        <f t="shared" si="11"/>
        <v>100</v>
      </c>
      <c r="V40" s="1573" t="s">
        <v>8</v>
      </c>
      <c r="W40" s="1574">
        <f t="shared" si="12"/>
        <v>100</v>
      </c>
      <c r="X40" s="1567"/>
      <c r="Y40" s="369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97"/>
      <c r="Q41" s="1572">
        <f t="shared" si="14"/>
        <v>111</v>
      </c>
      <c r="R41" s="1573" t="s">
        <v>8</v>
      </c>
      <c r="S41" s="1574">
        <f t="shared" si="10"/>
        <v>100</v>
      </c>
      <c r="T41" s="1573" t="s">
        <v>8</v>
      </c>
      <c r="U41" s="1574">
        <f t="shared" si="11"/>
        <v>100</v>
      </c>
      <c r="V41" s="1573" t="s">
        <v>8</v>
      </c>
      <c r="W41" s="1574">
        <f t="shared" si="12"/>
        <v>100</v>
      </c>
      <c r="X41" s="1567"/>
      <c r="Y41" s="3697"/>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97"/>
      <c r="Q42" s="1572">
        <f t="shared" si="14"/>
        <v>111</v>
      </c>
      <c r="R42" s="1577" t="s">
        <v>8</v>
      </c>
      <c r="S42" s="1578">
        <f t="shared" si="10"/>
        <v>100</v>
      </c>
      <c r="T42" s="1577" t="s">
        <v>8</v>
      </c>
      <c r="U42" s="1578">
        <f t="shared" si="11"/>
        <v>100</v>
      </c>
      <c r="V42" s="1577" t="s">
        <v>8</v>
      </c>
      <c r="W42" s="1578">
        <f t="shared" si="12"/>
        <v>100</v>
      </c>
      <c r="X42" s="1579"/>
      <c r="Y42" s="3697"/>
      <c r="Z42" s="1580">
        <f t="shared" si="13"/>
        <v>111</v>
      </c>
      <c r="AA42" s="1576">
        <f t="shared" si="3"/>
        <v>1</v>
      </c>
      <c r="AB42" s="1576">
        <f t="shared" si="4"/>
        <v>1</v>
      </c>
      <c r="AC42" s="1576">
        <f t="shared" si="5"/>
        <v>1</v>
      </c>
    </row>
    <row r="43" spans="1:29" ht="15">
      <c r="A43" s="607" t="s">
        <v>557</v>
      </c>
      <c r="B43" s="608" t="s">
        <v>2940</v>
      </c>
      <c r="C43" s="609" t="s">
        <v>1</v>
      </c>
      <c r="D43" s="610"/>
      <c r="E43" s="611"/>
      <c r="F43" s="612"/>
      <c r="G43" s="613"/>
      <c r="H43" s="614"/>
      <c r="I43" s="611"/>
      <c r="J43" s="614"/>
      <c r="K43" s="1339"/>
      <c r="L43" s="2145"/>
      <c r="M43" s="2135"/>
      <c r="N43" s="2135"/>
      <c r="O43" s="2146"/>
      <c r="P43" s="3661" t="str">
        <f>A43</f>
        <v>成交单价</v>
      </c>
      <c r="Q43" s="3661"/>
      <c r="R43" s="3662">
        <f>E43</f>
        <v>0</v>
      </c>
      <c r="S43" s="3662"/>
      <c r="T43" s="3662">
        <f>G43</f>
        <v>0</v>
      </c>
      <c r="U43" s="3662"/>
      <c r="V43" s="3662">
        <f>I43</f>
        <v>0</v>
      </c>
      <c r="W43" s="3662"/>
      <c r="X43" s="1559"/>
      <c r="Y43" s="1581"/>
      <c r="Z43" s="1559"/>
      <c r="AA43" s="1559"/>
      <c r="AB43" s="1559"/>
      <c r="AC43" s="1559"/>
    </row>
    <row r="44" spans="1:29" ht="15.75" thickBot="1">
      <c r="A44" s="615" t="s">
        <v>2698</v>
      </c>
      <c r="B44" s="616"/>
      <c r="C44" s="617" t="e">
        <f>R45</f>
        <v>#DIV/0!</v>
      </c>
      <c r="D44" s="618"/>
      <c r="E44" s="617" t="e">
        <f>R44</f>
        <v>#DIV/0!</v>
      </c>
      <c r="F44" s="619"/>
      <c r="G44" s="620" t="e">
        <f>T44</f>
        <v>#DIV/0!</v>
      </c>
      <c r="H44" s="618"/>
      <c r="I44" s="617" t="e">
        <f>V44</f>
        <v>#DIV/0!</v>
      </c>
      <c r="J44" s="618"/>
      <c r="K44" s="1340"/>
      <c r="L44" s="2145"/>
      <c r="M44" s="2135"/>
      <c r="N44" s="2135"/>
      <c r="O44" s="2146"/>
      <c r="P44" s="3661" t="str">
        <f>A44</f>
        <v>比较价格（元/平方米）</v>
      </c>
      <c r="Q44" s="3661"/>
      <c r="R44" s="3663" t="e">
        <f>ROUND(PRODUCT(R43,AA9:AA42),0)</f>
        <v>#DIV/0!</v>
      </c>
      <c r="S44" s="3663"/>
      <c r="T44" s="3663" t="e">
        <f>ROUND(PRODUCT(T43,AB9:AB42),0)</f>
        <v>#DIV/0!</v>
      </c>
      <c r="U44" s="3663"/>
      <c r="V44" s="3663" t="e">
        <f>ROUND(PRODUCT(V43,AC9:AC42),0)</f>
        <v>#DIV/0!</v>
      </c>
      <c r="W44" s="3663"/>
      <c r="X44" s="1559"/>
      <c r="Y44" s="1559"/>
      <c r="Z44" s="1559"/>
      <c r="AA44" s="1559"/>
      <c r="AB44" s="1559"/>
      <c r="AC44" s="1559"/>
    </row>
    <row r="45" spans="1:29" ht="15.75" thickBot="1">
      <c r="A45" s="621" t="s">
        <v>2941</v>
      </c>
      <c r="B45" s="622"/>
      <c r="C45" s="623" t="e">
        <f>R45</f>
        <v>#DIV/0!</v>
      </c>
      <c r="D45" s="623"/>
      <c r="E45" s="623"/>
      <c r="F45" s="623"/>
      <c r="G45" s="623"/>
      <c r="H45" s="623"/>
      <c r="I45" s="623"/>
      <c r="J45" s="623"/>
      <c r="K45" s="1341"/>
      <c r="L45" s="2145"/>
      <c r="M45" s="2135"/>
      <c r="N45" s="2135"/>
      <c r="O45" s="2146"/>
      <c r="P45" s="3658" t="str">
        <f>A45</f>
        <v>估价对象XX用房的比较价格（楼面单价，元/平方米）</v>
      </c>
      <c r="Q45" s="3659"/>
      <c r="R45" s="3660" t="e">
        <f>ROUND(AVERAGE(R44:V44),0)</f>
        <v>#DIV/0!</v>
      </c>
      <c r="S45" s="3660"/>
      <c r="T45" s="3660"/>
      <c r="U45" s="3660"/>
      <c r="V45" s="3660"/>
      <c r="W45" s="366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2297</v>
      </c>
      <c r="E52" s="631" t="s">
        <v>563</v>
      </c>
      <c r="F52" s="1952" t="s">
        <v>564</v>
      </c>
      <c r="G52" s="3706" t="s">
        <v>2288</v>
      </c>
      <c r="H52" s="3707"/>
      <c r="I52" s="1953" t="s">
        <v>1949</v>
      </c>
      <c r="J52" s="1555" t="str">
        <f>项目基本情况!F41</f>
        <v>河北省廊坊市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565</v>
      </c>
      <c r="B53" s="634" t="e">
        <f>C45</f>
        <v>#DIV/0!</v>
      </c>
      <c r="C53" s="635">
        <v>1</v>
      </c>
      <c r="D53" s="2229">
        <v>1</v>
      </c>
      <c r="E53" s="635">
        <f>'数据-汇总表'!E8+'数据-汇总表'!E9</f>
        <v>247106.5</v>
      </c>
      <c r="F53" s="1951" t="e">
        <f t="shared" ref="F53:F62" si="15">ROUND(B53*E53/10000,0)</f>
        <v>#DIV/0!</v>
      </c>
      <c r="G53" s="3708"/>
      <c r="H53" s="370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566</v>
      </c>
      <c r="B54" s="638" t="e">
        <f>ROUND($C$45*C54*D54,0)</f>
        <v>#DIV/0!</v>
      </c>
      <c r="C54" s="378">
        <f t="shared" ref="C54:C62" si="16">IF($C$52="北京市系数",I54,J54)</f>
        <v>0</v>
      </c>
      <c r="D54" s="2230">
        <v>0.25</v>
      </c>
      <c r="E54" s="639"/>
      <c r="F54" s="1951" t="e">
        <f t="shared" si="15"/>
        <v>#DIV/0!</v>
      </c>
      <c r="G54" s="3710"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567</v>
      </c>
      <c r="B55" s="638" t="e">
        <f t="shared" ref="B55:B62" si="17">ROUND($C$45*C55*D55,0)</f>
        <v>#DIV/0!</v>
      </c>
      <c r="C55" s="378">
        <f t="shared" si="16"/>
        <v>0</v>
      </c>
      <c r="D55" s="2230">
        <v>0.25</v>
      </c>
      <c r="E55" s="639"/>
      <c r="F55" s="1951" t="e">
        <f t="shared" si="15"/>
        <v>#DIV/0!</v>
      </c>
      <c r="G55" s="371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568</v>
      </c>
      <c r="B56" s="638" t="e">
        <f t="shared" si="17"/>
        <v>#DIV/0!</v>
      </c>
      <c r="C56" s="378">
        <f t="shared" si="16"/>
        <v>0</v>
      </c>
      <c r="D56" s="2230">
        <v>0.25</v>
      </c>
      <c r="E56" s="639"/>
      <c r="F56" s="1951" t="e">
        <f t="shared" si="15"/>
        <v>#DIV/0!</v>
      </c>
      <c r="G56" s="371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569</v>
      </c>
      <c r="B57" s="638" t="e">
        <f t="shared" si="17"/>
        <v>#DIV/0!</v>
      </c>
      <c r="C57" s="378">
        <f t="shared" si="16"/>
        <v>0</v>
      </c>
      <c r="D57" s="2230">
        <v>0.25</v>
      </c>
      <c r="E57" s="639"/>
      <c r="F57" s="1951" t="e">
        <f t="shared" si="15"/>
        <v>#DIV/0!</v>
      </c>
      <c r="G57" s="371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2332</v>
      </c>
      <c r="B58" s="638" t="e">
        <f t="shared" si="17"/>
        <v>#DIV/0!</v>
      </c>
      <c r="C58" s="378">
        <f t="shared" si="16"/>
        <v>0</v>
      </c>
      <c r="D58" s="2230">
        <v>0.25</v>
      </c>
      <c r="E58" s="641">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572</v>
      </c>
      <c r="B61" s="638" t="e">
        <f t="shared" si="17"/>
        <v>#DIV/0!</v>
      </c>
      <c r="C61" s="378">
        <f t="shared" si="16"/>
        <v>0</v>
      </c>
      <c r="D61" s="2230">
        <v>0.25</v>
      </c>
      <c r="E61" s="641">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573</v>
      </c>
      <c r="B62" s="638" t="e">
        <f t="shared" si="17"/>
        <v>#DIV/0!</v>
      </c>
      <c r="C62" s="378">
        <f t="shared" si="16"/>
        <v>0</v>
      </c>
      <c r="D62" s="2230">
        <v>0.25</v>
      </c>
      <c r="E62" s="641">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574</v>
      </c>
      <c r="B63" s="643" t="s">
        <v>17</v>
      </c>
      <c r="C63" s="643" t="s">
        <v>18</v>
      </c>
      <c r="D63" s="643" t="s">
        <v>2298</v>
      </c>
      <c r="E63" s="643">
        <f>IF(B43="楼面地价",SUM(E53:E62),'数据-汇总表'!D3)</f>
        <v>98842.6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2539</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4" t="s">
        <v>2654</v>
      </c>
      <c r="B68" s="479" t="str">
        <f>"北京市平均增长率"&amp;TEXT(基准地价!P24,"0.00%")</f>
        <v>北京市平均增长率0.00%</v>
      </c>
      <c r="C68" s="893">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19"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19"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2554</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2556</v>
      </c>
      <c r="C95" s="2623" t="s">
        <v>2557</v>
      </c>
      <c r="D95" s="2623" t="s">
        <v>2558</v>
      </c>
      <c r="E95" s="2623" t="s">
        <v>2559</v>
      </c>
      <c r="F95" s="2623" t="s">
        <v>2560</v>
      </c>
      <c r="G95" s="2623" t="s">
        <v>2561</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2430</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2" t="s">
        <v>2767</v>
      </c>
      <c r="S1" s="2962" t="s">
        <v>2768</v>
      </c>
      <c r="T1" s="2962" t="s">
        <v>2789</v>
      </c>
      <c r="U1" s="2962" t="s">
        <v>2790</v>
      </c>
      <c r="V1" s="2962" t="s">
        <v>2791</v>
      </c>
      <c r="W1" s="2190"/>
      <c r="X1" s="2190"/>
      <c r="Y1" s="2190"/>
      <c r="Z1" s="2190"/>
      <c r="AA1" s="2190"/>
      <c r="AB1" s="2190"/>
      <c r="AC1" s="2191"/>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1" t="s">
        <v>1689</v>
      </c>
      <c r="B3" s="1037" t="e">
        <f>ROUND(B2*10000/D1,0)</f>
        <v>#DIV/0!</v>
      </c>
      <c r="C3" s="1407" t="s">
        <v>928</v>
      </c>
      <c r="D3" s="1408" t="s">
        <v>929</v>
      </c>
      <c r="E3" s="1412"/>
      <c r="F3" s="1413" t="s">
        <v>2942</v>
      </c>
      <c r="G3" s="1038">
        <f>IF(F3="宗地容积率",'数据-汇总表'!I4,IF(F3="估价对象容积率",'数据-汇总表'!I6,'数据-汇总表'!I7))</f>
        <v>2.5</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1" customFormat="1" ht="15.75" thickBot="1">
      <c r="A5" s="1638" t="s">
        <v>1825</v>
      </c>
      <c r="B5" s="1415" t="s">
        <v>932</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19"/>
      <c r="AE6" s="1419"/>
      <c r="AF6" s="1419"/>
      <c r="AG6" s="1419"/>
      <c r="AH6" s="1419"/>
      <c r="AI6" s="1419"/>
      <c r="AJ6" s="1420"/>
    </row>
    <row r="7" spans="1:39" ht="24">
      <c r="A7" s="3720"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2.5</v>
      </c>
      <c r="AA7" s="2193"/>
      <c r="AB7" s="2193"/>
      <c r="AC7" s="2194"/>
      <c r="AD7" s="2955"/>
      <c r="AE7" s="2955"/>
      <c r="AF7" s="2955"/>
      <c r="AG7" s="2955"/>
      <c r="AH7" s="2955"/>
      <c r="AI7" s="2955"/>
      <c r="AJ7" s="2956"/>
    </row>
    <row r="8" spans="1:39" ht="15">
      <c r="A8" s="3721"/>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12" t="s">
        <v>2788</v>
      </c>
      <c r="X8" s="3713"/>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721"/>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11" t="s">
        <v>2784</v>
      </c>
      <c r="X9" s="2957" t="s">
        <v>2785</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21"/>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11"/>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21"/>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11" t="s">
        <v>2786</v>
      </c>
      <c r="X11" s="1047" t="s">
        <v>2771</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720"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11"/>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22"/>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3">
        <v>12</v>
      </c>
      <c r="S13" s="2952"/>
      <c r="T13" s="2963" t="e">
        <f t="shared" si="0"/>
        <v>#DIV/0!</v>
      </c>
      <c r="U13" s="2952"/>
      <c r="V13" s="2963" t="e">
        <f t="shared" si="1"/>
        <v>#DIV/0!</v>
      </c>
      <c r="W13" s="3711"/>
      <c r="X13" s="2960"/>
      <c r="Y13" s="2959">
        <f>(-0.163*(Y12^2)-0.59*Y12+7617)*(10^(-4))/Y11</f>
        <v>0.30468000000000001</v>
      </c>
      <c r="Z13" s="2959">
        <f t="shared" ref="Z13:AJ13" si="5">(-0.163*(Z12^2)-0.59*Z12+7617)*(10^(-4))/Z11</f>
        <v>0.30468000000000001</v>
      </c>
      <c r="AA13" s="2959">
        <f t="shared" si="5"/>
        <v>0.30468000000000001</v>
      </c>
      <c r="AB13" s="2959">
        <f t="shared" si="5"/>
        <v>0.30468000000000001</v>
      </c>
      <c r="AC13" s="2959">
        <f t="shared" si="5"/>
        <v>0.30468000000000001</v>
      </c>
      <c r="AD13" s="2959">
        <f t="shared" si="5"/>
        <v>0.30468000000000001</v>
      </c>
      <c r="AE13" s="2959">
        <f t="shared" si="5"/>
        <v>0.30468000000000001</v>
      </c>
      <c r="AF13" s="2959">
        <f t="shared" si="5"/>
        <v>0.30468000000000001</v>
      </c>
      <c r="AG13" s="2959">
        <f t="shared" si="5"/>
        <v>0.30468000000000001</v>
      </c>
      <c r="AH13" s="2959">
        <f t="shared" si="5"/>
        <v>0.30468000000000001</v>
      </c>
      <c r="AI13" s="2959">
        <f t="shared" si="5"/>
        <v>0.30468000000000001</v>
      </c>
      <c r="AJ13" s="2959">
        <f t="shared" si="5"/>
        <v>0.30468000000000001</v>
      </c>
    </row>
    <row r="14" spans="1:39" ht="12.75" customHeight="1" thickBot="1">
      <c r="A14" s="3722"/>
      <c r="B14" s="1451"/>
      <c r="C14" s="1452"/>
      <c r="D14" s="1453"/>
      <c r="E14" s="1453"/>
      <c r="F14" s="1454"/>
      <c r="G14" s="1455" t="s">
        <v>950</v>
      </c>
      <c r="H14" s="1456"/>
      <c r="I14" s="1457"/>
      <c r="J14" s="1458"/>
      <c r="K14" s="1401"/>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23"/>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3">
        <v>14</v>
      </c>
      <c r="S15" s="2952"/>
      <c r="T15" s="2963" t="e">
        <f t="shared" si="0"/>
        <v>#DIV/0!</v>
      </c>
      <c r="U15" s="2952"/>
      <c r="V15" s="2963" t="e">
        <f t="shared" si="1"/>
        <v>#DIV/0!</v>
      </c>
      <c r="W15" s="2190"/>
      <c r="X15" s="2190"/>
      <c r="Y15" s="2190"/>
      <c r="Z15" s="2190"/>
      <c r="AA15" s="2190"/>
      <c r="AB15" s="2190"/>
      <c r="AC15" s="2191"/>
    </row>
    <row r="16" spans="1:39" ht="24">
      <c r="A16" s="3720"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21"/>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8" t="s">
        <v>957</v>
      </c>
      <c r="C18" s="2799">
        <f>SUMIF(修正!C18:C39,E3,修正!E18:E39)</f>
        <v>0</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43242</v>
      </c>
      <c r="H19" s="1475" t="s">
        <v>2943</v>
      </c>
      <c r="I19" s="2810" t="str">
        <f>IF(H19="季度增幅（自定义）",SUMIF(N21:N24,E2,O21:O24),"")</f>
        <v/>
      </c>
      <c r="J19" s="1471"/>
      <c r="K19" s="1481"/>
      <c r="L19" s="3065" t="s">
        <v>2846</v>
      </c>
      <c r="M19" s="3066">
        <f>ROUND(SUMIF(地价!B2:F2,E2,地价!B21:F21),0)</f>
        <v>0</v>
      </c>
      <c r="N19" s="2812" t="s">
        <v>1678</v>
      </c>
      <c r="O19" s="2811">
        <f>ROUNDDOWN(DATEDIF(E19,G19,"M")/3,0)</f>
        <v>17</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4" t="s">
        <v>1838</v>
      </c>
      <c r="B20" s="2805" t="s">
        <v>973</v>
      </c>
      <c r="C20" s="2806" t="e">
        <f>ROUND(POWER(1+G20,J20-I20)*(POWER(1+G20,I20)-1)/(POWER(1+G20,J20)-1),4)</f>
        <v>#DIV/0!</v>
      </c>
      <c r="D20" s="2807" t="s">
        <v>974</v>
      </c>
      <c r="E20" s="3121">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7" t="s">
        <v>2847</v>
      </c>
      <c r="M20" s="3068">
        <f>ROUND(SUMPRODUCT((地价!A4:A21=YEAR(G19)&amp;"-"&amp;ROUNDUP(MONTH(G19)/3,0))*(地价!B2:F2=E2)*(地价!B4:F21)),0)</f>
        <v>0</v>
      </c>
      <c r="N20" s="2815" t="s">
        <v>2651</v>
      </c>
      <c r="O20" s="2813" t="s">
        <v>2650</v>
      </c>
      <c r="P20" s="2814" t="s">
        <v>2655</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2766</v>
      </c>
      <c r="C21" s="1157">
        <f>IF(B21="容积率修正",IF(G3&lt;=10,D22,J22),C23)</f>
        <v>0</v>
      </c>
      <c r="D21" s="1481"/>
      <c r="E21" s="1481"/>
      <c r="F21" s="1481"/>
      <c r="G21" s="1481"/>
      <c r="H21" s="1481"/>
      <c r="I21" s="1481"/>
      <c r="J21" s="1482"/>
      <c r="K21" s="1481"/>
      <c r="L21" s="1481"/>
      <c r="M21" s="1481"/>
      <c r="N21" s="1478" t="s">
        <v>977</v>
      </c>
      <c r="O21" s="1542"/>
      <c r="P21" s="2795">
        <f>SUMPRODUCT((地价!A3:A21=YEAR(G19)&amp;"-"&amp;ROUNDUP(MONTH(G19)/3,0))*(地价!AD2:AH2=N21)*(地价!AD3:AH21))</f>
        <v>0</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59" t="s">
        <v>1704</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5">
        <f>SUMPRODUCT((地价!A3:A21=YEAR(G19)&amp;"-"&amp;ROUNDUP(MONTH(G19)/3,0))*(地价!AD2:AH2=N22)*(地价!AD3:AH21))</f>
        <v>0</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SUMPRODUCT((地价!A3:A21=YEAR(G19)&amp;"-"&amp;ROUNDUP(MONTH(G19)/3,0))*(地价!AD2:AH2=N23)*(地价!AD3:AH21))</f>
        <v>0</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0</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3" t="s">
        <v>2653</v>
      </c>
      <c r="O25" s="2196"/>
      <c r="P25" s="1541">
        <f>SUMPRODUCT((地价!A3:A21=YEAR(G19)&amp;"-"&amp;ROUNDUP(MONTH(G19)/3,0))*(地价!AD2:AH2=N25)*(地价!AD3:AH21))</f>
        <v>0</v>
      </c>
      <c r="R25" s="2951"/>
      <c r="S25" s="2951"/>
      <c r="T25" s="2951"/>
      <c r="U25" s="2951"/>
      <c r="V25" s="2951"/>
      <c r="W25" s="2196"/>
      <c r="X25" s="2196"/>
      <c r="Y25" s="2196"/>
      <c r="Z25" s="2196"/>
      <c r="AA25" s="2196"/>
      <c r="AB25" s="2196"/>
      <c r="AC25" s="2196"/>
    </row>
    <row r="26" spans="1:40" ht="14.25">
      <c r="A26" s="1489"/>
      <c r="B26" s="1483" t="s">
        <v>988</v>
      </c>
      <c r="C26" s="1062" t="e">
        <f>E29+SUM(E33:E39)</f>
        <v>#DIV/0!</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26" t="s">
        <v>2970</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27"/>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27"/>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28"/>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1022</v>
      </c>
      <c r="B47" s="2436" t="str">
        <f>估价对象房地状况!C16</f>
        <v>估价对象位于XX商圈，周边商业氛围成熟，人流量大，商业繁华度好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1023</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1025</v>
      </c>
      <c r="B50" s="3123" t="s">
        <v>2945</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1027</v>
      </c>
      <c r="B52" s="3122" t="s">
        <v>2944</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1032</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1023</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1025</v>
      </c>
      <c r="B61" s="3123" t="s">
        <v>2946</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1027</v>
      </c>
      <c r="B63" s="3122" t="s">
        <v>2944</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4" t="str">
        <f>估价对象房地状况!C21</f>
        <v>估价对象所在区域公共配套设施齐备情况</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4" t="str">
        <f>估价对象房地状况!C22</f>
        <v>估价对象所在区域基础设施水平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1034</v>
      </c>
      <c r="B69" s="2436" t="str">
        <f>估价对象房地状况!C15</f>
        <v>估价对象周边居住用地比例、居住小区规模和社区发展完善程度，综合评价居住社区成熟度一般</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1035</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1036</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4" t="str">
        <f>估价对象房地状况!C21</f>
        <v>估价对象所在区域公共配套设施齐备情况</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4" t="str">
        <f>估价对象房地状况!C22</f>
        <v>估价对象所在区域基础设施水平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1027</v>
      </c>
      <c r="B75" s="3122" t="s">
        <v>2944</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1030</v>
      </c>
      <c r="B76" s="2436" t="str">
        <f>估价对象房地状况!C20</f>
        <v>区域自然环境：；人文环境；综合评价环境状况一般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6" t="s">
        <v>1039</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1035</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1024</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1036</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1028</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1029</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1027</v>
      </c>
      <c r="B86" s="3122" t="s">
        <v>2944</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24" t="s">
        <v>1635</v>
      </c>
      <c r="B90" s="3724"/>
      <c r="C90" s="3724"/>
      <c r="D90" s="3724"/>
      <c r="E90" s="3724"/>
      <c r="F90" s="3724"/>
      <c r="G90" s="3724"/>
      <c r="H90" s="3724"/>
      <c r="I90" s="3724"/>
      <c r="J90" s="3724"/>
      <c r="K90" s="2475"/>
      <c r="L90" s="2475"/>
      <c r="M90" s="2475"/>
      <c r="N90" s="2475"/>
    </row>
    <row r="91" spans="1:40">
      <c r="A91" s="3725" t="s">
        <v>1445</v>
      </c>
      <c r="B91" s="3725" t="s">
        <v>1636</v>
      </c>
      <c r="C91" s="1139" t="s">
        <v>1637</v>
      </c>
      <c r="D91" s="1140"/>
      <c r="E91" s="1140"/>
      <c r="F91" s="1140"/>
      <c r="G91" s="1140"/>
      <c r="H91" s="1140"/>
      <c r="I91" s="1140"/>
      <c r="J91" s="1141"/>
      <c r="K91" s="1133"/>
      <c r="L91" s="1133"/>
      <c r="M91" s="1133"/>
      <c r="N91" s="1133"/>
    </row>
    <row r="92" spans="1:40">
      <c r="A92" s="3725"/>
      <c r="B92" s="3725"/>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14"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1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1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1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1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1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15"/>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1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14" t="s">
        <v>1639</v>
      </c>
      <c r="B101" s="1146" t="s">
        <v>907</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715"/>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715"/>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715"/>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715"/>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715"/>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715"/>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715"/>
      <c r="B108" s="3717"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16"/>
      <c r="B109" s="3718"/>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719" t="s">
        <v>1641</v>
      </c>
      <c r="B110" s="3719"/>
      <c r="C110" s="3719"/>
      <c r="D110" s="3719"/>
      <c r="E110" s="3719"/>
      <c r="F110" s="3719"/>
      <c r="G110" s="3719"/>
      <c r="H110" s="3719"/>
      <c r="I110" s="3719"/>
      <c r="J110" s="3719"/>
      <c r="K110" s="2473"/>
      <c r="L110" s="2473"/>
      <c r="M110" s="2473"/>
      <c r="N110" s="2473"/>
    </row>
    <row r="112" spans="1:14" ht="12.75" thickBot="1"/>
    <row r="113" spans="1:13" ht="25.5" thickBot="1">
      <c r="A113" s="1015" t="s">
        <v>897</v>
      </c>
      <c r="B113" s="2476">
        <f>G3</f>
        <v>2.5</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902</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903</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904</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25" t="s">
        <v>1009</v>
      </c>
      <c r="B18" s="1153" t="s">
        <v>1448</v>
      </c>
      <c r="C18" s="1130" t="s">
        <v>1449</v>
      </c>
      <c r="D18" s="1131"/>
      <c r="E18" s="1153">
        <v>1</v>
      </c>
      <c r="F18" s="1132" t="s">
        <v>1450</v>
      </c>
      <c r="G18" s="1133"/>
      <c r="H18" s="1104"/>
      <c r="I18" s="1104"/>
    </row>
    <row r="19" spans="1:9" s="1599" customFormat="1" ht="19.5" customHeight="1">
      <c r="A19" s="3725"/>
      <c r="B19" s="3725" t="s">
        <v>1451</v>
      </c>
      <c r="C19" s="1130" t="s">
        <v>1452</v>
      </c>
      <c r="D19" s="1131"/>
      <c r="E19" s="1153">
        <v>0.9</v>
      </c>
      <c r="F19" s="1132" t="s">
        <v>1453</v>
      </c>
      <c r="G19" s="1133"/>
      <c r="H19" s="1104"/>
      <c r="I19" s="1104"/>
    </row>
    <row r="20" spans="1:9" s="1599" customFormat="1" ht="19.5" customHeight="1">
      <c r="A20" s="3725"/>
      <c r="B20" s="3725"/>
      <c r="C20" s="1130" t="s">
        <v>1454</v>
      </c>
      <c r="D20" s="1131"/>
      <c r="E20" s="1153">
        <v>1.1000000000000001</v>
      </c>
      <c r="F20" s="1132" t="s">
        <v>1455</v>
      </c>
      <c r="G20" s="1133"/>
      <c r="H20" s="1104"/>
      <c r="I20" s="1104"/>
    </row>
    <row r="21" spans="1:9" s="1599" customFormat="1" ht="19.5" customHeight="1">
      <c r="A21" s="3725"/>
      <c r="B21" s="3725"/>
      <c r="C21" s="1130" t="s">
        <v>1456</v>
      </c>
      <c r="D21" s="1131"/>
      <c r="E21" s="1153">
        <v>0.8</v>
      </c>
      <c r="F21" s="1132" t="s">
        <v>1457</v>
      </c>
      <c r="G21" s="1133"/>
      <c r="H21" s="1104"/>
      <c r="I21" s="1104"/>
    </row>
    <row r="22" spans="1:9" s="1599" customFormat="1" ht="19.5" customHeight="1">
      <c r="A22" s="3725"/>
      <c r="B22" s="3725"/>
      <c r="C22" s="1130" t="s">
        <v>1458</v>
      </c>
      <c r="D22" s="1131"/>
      <c r="E22" s="1153">
        <v>0.5</v>
      </c>
      <c r="F22" s="1132"/>
      <c r="G22" s="1133"/>
      <c r="H22" s="1104"/>
      <c r="I22" s="1104"/>
    </row>
    <row r="23" spans="1:9" s="1599" customFormat="1" ht="19.5" customHeight="1">
      <c r="A23" s="3725" t="s">
        <v>1031</v>
      </c>
      <c r="B23" s="1153" t="s">
        <v>1448</v>
      </c>
      <c r="C23" s="1130" t="s">
        <v>1459</v>
      </c>
      <c r="D23" s="1131"/>
      <c r="E23" s="1153">
        <v>1</v>
      </c>
      <c r="F23" s="1132" t="s">
        <v>1460</v>
      </c>
      <c r="G23" s="1133"/>
      <c r="H23" s="1104"/>
      <c r="I23" s="1104"/>
    </row>
    <row r="24" spans="1:9" s="1599" customFormat="1" ht="19.5" customHeight="1">
      <c r="A24" s="3725"/>
      <c r="B24" s="3725" t="s">
        <v>1451</v>
      </c>
      <c r="C24" s="1130" t="s">
        <v>1461</v>
      </c>
      <c r="D24" s="1131"/>
      <c r="E24" s="1153">
        <v>0.5</v>
      </c>
      <c r="F24" s="1132"/>
      <c r="G24" s="1133"/>
      <c r="H24" s="1104"/>
      <c r="I24" s="1104"/>
    </row>
    <row r="25" spans="1:9" s="1599" customFormat="1" ht="19.5" customHeight="1">
      <c r="A25" s="3725"/>
      <c r="B25" s="3725"/>
      <c r="C25" s="1130" t="s">
        <v>1462</v>
      </c>
      <c r="D25" s="1131"/>
      <c r="E25" s="1153">
        <v>1.1000000000000001</v>
      </c>
      <c r="F25" s="1132"/>
      <c r="G25" s="1133"/>
      <c r="H25" s="1104"/>
      <c r="I25" s="1104"/>
    </row>
    <row r="26" spans="1:9" s="1599" customFormat="1" ht="19.5" customHeight="1">
      <c r="A26" s="3725"/>
      <c r="B26" s="3725"/>
      <c r="C26" s="1130" t="s">
        <v>1463</v>
      </c>
      <c r="D26" s="1131"/>
      <c r="E26" s="1153">
        <v>1.1000000000000001</v>
      </c>
      <c r="F26" s="1132"/>
      <c r="G26" s="1133"/>
      <c r="H26" s="1104"/>
      <c r="I26" s="1104"/>
    </row>
    <row r="27" spans="1:9" s="1599" customFormat="1" ht="19.5" customHeight="1">
      <c r="A27" s="3725"/>
      <c r="B27" s="3725"/>
      <c r="C27" s="1130" t="s">
        <v>1464</v>
      </c>
      <c r="D27" s="1131"/>
      <c r="E27" s="1153">
        <v>0.9</v>
      </c>
      <c r="F27" s="1132" t="s">
        <v>1465</v>
      </c>
      <c r="G27" s="1133"/>
      <c r="H27" s="1104"/>
      <c r="I27" s="1104"/>
    </row>
    <row r="28" spans="1:9" s="1599" customFormat="1" ht="19.5" customHeight="1">
      <c r="A28" s="3725"/>
      <c r="B28" s="3725"/>
      <c r="C28" s="1130" t="s">
        <v>1466</v>
      </c>
      <c r="D28" s="1131"/>
      <c r="E28" s="1153">
        <v>0.9</v>
      </c>
      <c r="F28" s="1132" t="s">
        <v>1467</v>
      </c>
      <c r="G28" s="1133"/>
      <c r="H28" s="1104"/>
      <c r="I28" s="1104"/>
    </row>
    <row r="29" spans="1:9" s="1599" customFormat="1" ht="19.5" customHeight="1">
      <c r="A29" s="3725"/>
      <c r="B29" s="3725"/>
      <c r="C29" s="1130" t="s">
        <v>1468</v>
      </c>
      <c r="D29" s="1131"/>
      <c r="E29" s="1153">
        <v>0.9</v>
      </c>
      <c r="F29" s="1132" t="s">
        <v>1469</v>
      </c>
      <c r="G29" s="1133"/>
      <c r="H29" s="1104"/>
      <c r="I29" s="1104"/>
    </row>
    <row r="30" spans="1:9" s="1599" customFormat="1" ht="19.5" customHeight="1">
      <c r="A30" s="3725"/>
      <c r="B30" s="3725"/>
      <c r="C30" s="1130" t="s">
        <v>1470</v>
      </c>
      <c r="D30" s="1131"/>
      <c r="E30" s="1153">
        <v>0.9</v>
      </c>
      <c r="F30" s="1132" t="s">
        <v>1471</v>
      </c>
      <c r="G30" s="1133"/>
      <c r="H30" s="1104"/>
      <c r="I30" s="1104"/>
    </row>
    <row r="31" spans="1:9" s="1599" customFormat="1" ht="19.5" customHeight="1">
      <c r="A31" s="3725"/>
      <c r="B31" s="3725"/>
      <c r="C31" s="1130" t="s">
        <v>1472</v>
      </c>
      <c r="D31" s="1131"/>
      <c r="E31" s="1153">
        <v>0.8</v>
      </c>
      <c r="F31" s="1132" t="s">
        <v>1473</v>
      </c>
      <c r="G31" s="1133"/>
      <c r="H31" s="1104"/>
      <c r="I31" s="1104"/>
    </row>
    <row r="32" spans="1:9" s="1599" customFormat="1" ht="19.5" customHeight="1">
      <c r="A32" s="3725"/>
      <c r="B32" s="3725"/>
      <c r="C32" s="1130" t="s">
        <v>1474</v>
      </c>
      <c r="D32" s="1131"/>
      <c r="E32" s="1153">
        <v>0.8</v>
      </c>
      <c r="F32" s="1132" t="s">
        <v>1475</v>
      </c>
      <c r="G32" s="1133"/>
      <c r="H32" s="1104"/>
      <c r="I32" s="1104"/>
    </row>
    <row r="33" spans="1:9" s="1599" customFormat="1" ht="19.5" customHeight="1">
      <c r="A33" s="3725" t="s">
        <v>1476</v>
      </c>
      <c r="B33" s="1153" t="s">
        <v>1448</v>
      </c>
      <c r="C33" s="1130" t="s">
        <v>1477</v>
      </c>
      <c r="D33" s="1131"/>
      <c r="E33" s="1153">
        <v>1</v>
      </c>
      <c r="F33" s="1132" t="s">
        <v>1478</v>
      </c>
      <c r="G33" s="1133"/>
      <c r="H33" s="1104"/>
      <c r="I33" s="1104"/>
    </row>
    <row r="34" spans="1:9" s="1599" customFormat="1" ht="19.5" customHeight="1">
      <c r="A34" s="3725"/>
      <c r="B34" s="1153" t="s">
        <v>1451</v>
      </c>
      <c r="C34" s="1130" t="s">
        <v>1479</v>
      </c>
      <c r="D34" s="1131"/>
      <c r="E34" s="1153">
        <v>1.5</v>
      </c>
      <c r="F34" s="1132" t="s">
        <v>1480</v>
      </c>
      <c r="G34" s="1133"/>
      <c r="H34" s="1104"/>
      <c r="I34" s="1104"/>
    </row>
    <row r="35" spans="1:9" s="1599" customFormat="1" ht="19.5" customHeight="1">
      <c r="A35" s="3725" t="s">
        <v>1434</v>
      </c>
      <c r="B35" s="1153" t="s">
        <v>1448</v>
      </c>
      <c r="C35" s="1130" t="s">
        <v>1481</v>
      </c>
      <c r="D35" s="1131"/>
      <c r="E35" s="1153">
        <v>1</v>
      </c>
      <c r="F35" s="1132" t="s">
        <v>1482</v>
      </c>
      <c r="G35" s="1133"/>
      <c r="H35" s="1104"/>
      <c r="I35" s="1104"/>
    </row>
    <row r="36" spans="1:9" s="1599" customFormat="1" ht="19.5" customHeight="1">
      <c r="A36" s="3725"/>
      <c r="B36" s="3725" t="s">
        <v>1451</v>
      </c>
      <c r="C36" s="1130" t="s">
        <v>1483</v>
      </c>
      <c r="D36" s="1131"/>
      <c r="E36" s="1153">
        <v>1</v>
      </c>
      <c r="F36" s="1132" t="s">
        <v>1484</v>
      </c>
      <c r="G36" s="1133"/>
      <c r="H36" s="1104"/>
      <c r="I36" s="1104"/>
    </row>
    <row r="37" spans="1:9" s="1599" customFormat="1" ht="19.5" customHeight="1">
      <c r="A37" s="3725"/>
      <c r="B37" s="3725"/>
      <c r="C37" s="1130" t="s">
        <v>1485</v>
      </c>
      <c r="D37" s="1131"/>
      <c r="E37" s="1153">
        <v>1.5</v>
      </c>
      <c r="F37" s="1132" t="s">
        <v>1486</v>
      </c>
      <c r="G37" s="1133"/>
      <c r="H37" s="1104"/>
      <c r="I37" s="1104"/>
    </row>
    <row r="38" spans="1:9" s="1599" customFormat="1" ht="19.5" customHeight="1">
      <c r="A38" s="3725"/>
      <c r="B38" s="3725"/>
      <c r="C38" s="1130" t="s">
        <v>1487</v>
      </c>
      <c r="D38" s="1131"/>
      <c r="E38" s="1153">
        <v>1</v>
      </c>
      <c r="F38" s="1132" t="s">
        <v>1488</v>
      </c>
      <c r="G38" s="1133"/>
      <c r="H38" s="1104"/>
      <c r="I38" s="1104"/>
    </row>
    <row r="39" spans="1:9" s="1599" customFormat="1" ht="19.5" customHeight="1">
      <c r="A39" s="3725"/>
      <c r="B39" s="3725"/>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25" t="s">
        <v>1503</v>
      </c>
      <c r="C61" s="1067" t="s">
        <v>1504</v>
      </c>
      <c r="D61" s="1067" t="s">
        <v>1505</v>
      </c>
      <c r="E61" s="1138">
        <v>0.5</v>
      </c>
      <c r="F61" s="1153">
        <v>80</v>
      </c>
      <c r="H61" s="1104">
        <f>SUMIF(C59:C119,基准地价!C8,E59:E119)</f>
        <v>0</v>
      </c>
    </row>
    <row r="62" spans="1:8" s="1104" customFormat="1" ht="24">
      <c r="A62" s="1153">
        <v>2</v>
      </c>
      <c r="B62" s="3725"/>
      <c r="C62" s="1067" t="s">
        <v>1506</v>
      </c>
      <c r="D62" s="1067" t="s">
        <v>1507</v>
      </c>
      <c r="E62" s="1138">
        <v>0.5</v>
      </c>
      <c r="F62" s="1153">
        <v>80</v>
      </c>
    </row>
    <row r="63" spans="1:8" s="1104" customFormat="1" ht="36">
      <c r="A63" s="1153">
        <v>3</v>
      </c>
      <c r="B63" s="3725"/>
      <c r="C63" s="1067" t="s">
        <v>1508</v>
      </c>
      <c r="D63" s="1067" t="s">
        <v>1509</v>
      </c>
      <c r="E63" s="1138">
        <v>0.5</v>
      </c>
      <c r="F63" s="1153">
        <v>80</v>
      </c>
    </row>
    <row r="64" spans="1:8" s="1104" customFormat="1" ht="36">
      <c r="A64" s="1153">
        <v>4</v>
      </c>
      <c r="B64" s="3725"/>
      <c r="C64" s="1067" t="s">
        <v>1510</v>
      </c>
      <c r="D64" s="1067" t="s">
        <v>1511</v>
      </c>
      <c r="E64" s="1138">
        <v>0.4</v>
      </c>
      <c r="F64" s="1153">
        <v>60</v>
      </c>
    </row>
    <row r="65" spans="1:6" s="1104" customFormat="1" ht="36">
      <c r="A65" s="1153">
        <v>5</v>
      </c>
      <c r="B65" s="3725"/>
      <c r="C65" s="1067" t="s">
        <v>1512</v>
      </c>
      <c r="D65" s="1067" t="s">
        <v>1513</v>
      </c>
      <c r="E65" s="1138">
        <v>0.2</v>
      </c>
      <c r="F65" s="1153">
        <v>30</v>
      </c>
    </row>
    <row r="66" spans="1:6" s="1104" customFormat="1" ht="36">
      <c r="A66" s="1153">
        <v>6</v>
      </c>
      <c r="B66" s="3725"/>
      <c r="C66" s="1067" t="s">
        <v>1514</v>
      </c>
      <c r="D66" s="1067" t="s">
        <v>1515</v>
      </c>
      <c r="E66" s="1138">
        <v>0.3</v>
      </c>
      <c r="F66" s="1153">
        <v>50</v>
      </c>
    </row>
    <row r="67" spans="1:6" s="1104" customFormat="1" ht="36">
      <c r="A67" s="1153">
        <v>7</v>
      </c>
      <c r="B67" s="3725"/>
      <c r="C67" s="1067" t="s">
        <v>1516</v>
      </c>
      <c r="D67" s="1067" t="s">
        <v>1517</v>
      </c>
      <c r="E67" s="1138">
        <v>0.2</v>
      </c>
      <c r="F67" s="1153">
        <v>30</v>
      </c>
    </row>
    <row r="68" spans="1:6" s="1104" customFormat="1" ht="36">
      <c r="A68" s="1153">
        <v>8</v>
      </c>
      <c r="B68" s="3725"/>
      <c r="C68" s="1067" t="s">
        <v>1518</v>
      </c>
      <c r="D68" s="1067" t="s">
        <v>1519</v>
      </c>
      <c r="E68" s="1138">
        <v>0.2</v>
      </c>
      <c r="F68" s="1153">
        <v>30</v>
      </c>
    </row>
    <row r="69" spans="1:6" s="1104" customFormat="1" ht="36">
      <c r="A69" s="1153">
        <v>9</v>
      </c>
      <c r="B69" s="3725"/>
      <c r="C69" s="1067" t="s">
        <v>1520</v>
      </c>
      <c r="D69" s="1067" t="s">
        <v>1521</v>
      </c>
      <c r="E69" s="1138">
        <v>0.2</v>
      </c>
      <c r="F69" s="1153">
        <v>30</v>
      </c>
    </row>
    <row r="70" spans="1:6" s="1104" customFormat="1" ht="48">
      <c r="A70" s="1153">
        <v>10</v>
      </c>
      <c r="B70" s="3725"/>
      <c r="C70" s="1067" t="s">
        <v>1522</v>
      </c>
      <c r="D70" s="1067" t="s">
        <v>1523</v>
      </c>
      <c r="E70" s="1138">
        <v>0.2</v>
      </c>
      <c r="F70" s="1153">
        <v>30</v>
      </c>
    </row>
    <row r="71" spans="1:6" s="1104" customFormat="1" ht="48">
      <c r="A71" s="1153">
        <v>11</v>
      </c>
      <c r="B71" s="3725"/>
      <c r="C71" s="1067" t="s">
        <v>1524</v>
      </c>
      <c r="D71" s="1067" t="s">
        <v>1525</v>
      </c>
      <c r="E71" s="1138">
        <v>0.2</v>
      </c>
      <c r="F71" s="1153">
        <v>30</v>
      </c>
    </row>
    <row r="72" spans="1:6" s="1104" customFormat="1" ht="36">
      <c r="A72" s="1153">
        <v>12</v>
      </c>
      <c r="B72" s="3725"/>
      <c r="C72" s="1067" t="s">
        <v>1526</v>
      </c>
      <c r="D72" s="1067" t="s">
        <v>1527</v>
      </c>
      <c r="E72" s="1138">
        <v>0.5</v>
      </c>
      <c r="F72" s="1153">
        <v>80</v>
      </c>
    </row>
    <row r="73" spans="1:6" s="1104" customFormat="1" ht="24">
      <c r="A73" s="1153">
        <v>13</v>
      </c>
      <c r="B73" s="3725"/>
      <c r="C73" s="1067" t="s">
        <v>1528</v>
      </c>
      <c r="D73" s="1067" t="s">
        <v>1529</v>
      </c>
      <c r="E73" s="1138">
        <v>0.4</v>
      </c>
      <c r="F73" s="1153">
        <v>60</v>
      </c>
    </row>
    <row r="74" spans="1:6" s="1104" customFormat="1" ht="24">
      <c r="A74" s="1153">
        <v>14</v>
      </c>
      <c r="B74" s="3725"/>
      <c r="C74" s="1067" t="s">
        <v>1530</v>
      </c>
      <c r="D74" s="1067" t="s">
        <v>1531</v>
      </c>
      <c r="E74" s="1138">
        <v>0.2</v>
      </c>
      <c r="F74" s="1153">
        <v>30</v>
      </c>
    </row>
    <row r="75" spans="1:6" s="1104" customFormat="1" ht="24">
      <c r="A75" s="1153">
        <v>15</v>
      </c>
      <c r="B75" s="3725"/>
      <c r="C75" s="1067" t="s">
        <v>1532</v>
      </c>
      <c r="D75" s="1067" t="s">
        <v>1533</v>
      </c>
      <c r="E75" s="1138">
        <v>0.2</v>
      </c>
      <c r="F75" s="1153">
        <v>30</v>
      </c>
    </row>
    <row r="76" spans="1:6" s="1104" customFormat="1" ht="24">
      <c r="A76" s="1153">
        <v>16</v>
      </c>
      <c r="B76" s="3725" t="s">
        <v>1534</v>
      </c>
      <c r="C76" s="1067" t="s">
        <v>1535</v>
      </c>
      <c r="D76" s="1067" t="s">
        <v>1536</v>
      </c>
      <c r="E76" s="1138">
        <v>0.5</v>
      </c>
      <c r="F76" s="1153">
        <v>80</v>
      </c>
    </row>
    <row r="77" spans="1:6" s="1104" customFormat="1" ht="24">
      <c r="A77" s="1153">
        <v>17</v>
      </c>
      <c r="B77" s="3725"/>
      <c r="C77" s="1067" t="s">
        <v>1537</v>
      </c>
      <c r="D77" s="1067" t="s">
        <v>1538</v>
      </c>
      <c r="E77" s="1138">
        <v>0.5</v>
      </c>
      <c r="F77" s="1153">
        <v>80</v>
      </c>
    </row>
    <row r="78" spans="1:6" s="1104" customFormat="1" ht="24">
      <c r="A78" s="1153">
        <v>18</v>
      </c>
      <c r="B78" s="3725"/>
      <c r="C78" s="1067" t="s">
        <v>1539</v>
      </c>
      <c r="D78" s="1067" t="s">
        <v>1540</v>
      </c>
      <c r="E78" s="1138">
        <v>0.2</v>
      </c>
      <c r="F78" s="1153">
        <v>30</v>
      </c>
    </row>
    <row r="79" spans="1:6" s="1104" customFormat="1" ht="24">
      <c r="A79" s="1153">
        <v>19</v>
      </c>
      <c r="B79" s="3725"/>
      <c r="C79" s="1067" t="s">
        <v>1541</v>
      </c>
      <c r="D79" s="1067" t="s">
        <v>1542</v>
      </c>
      <c r="E79" s="1138">
        <v>0.5</v>
      </c>
      <c r="F79" s="1153">
        <v>80</v>
      </c>
    </row>
    <row r="80" spans="1:6" s="1104" customFormat="1" ht="36">
      <c r="A80" s="1153">
        <v>20</v>
      </c>
      <c r="B80" s="3725"/>
      <c r="C80" s="1067" t="s">
        <v>1543</v>
      </c>
      <c r="D80" s="1067" t="s">
        <v>1544</v>
      </c>
      <c r="E80" s="1138">
        <v>0.2</v>
      </c>
      <c r="F80" s="1153">
        <v>30</v>
      </c>
    </row>
    <row r="81" spans="1:6" s="1104" customFormat="1" ht="36">
      <c r="A81" s="1153">
        <v>21</v>
      </c>
      <c r="B81" s="3725"/>
      <c r="C81" s="1067" t="s">
        <v>1545</v>
      </c>
      <c r="D81" s="1067" t="s">
        <v>1546</v>
      </c>
      <c r="E81" s="1138">
        <v>0.2</v>
      </c>
      <c r="F81" s="1153">
        <v>30</v>
      </c>
    </row>
    <row r="82" spans="1:6" s="1104" customFormat="1" ht="48">
      <c r="A82" s="1153">
        <v>22</v>
      </c>
      <c r="B82" s="3725"/>
      <c r="C82" s="1067" t="s">
        <v>1547</v>
      </c>
      <c r="D82" s="1067" t="s">
        <v>1548</v>
      </c>
      <c r="E82" s="1138">
        <v>0.2</v>
      </c>
      <c r="F82" s="1153">
        <v>30</v>
      </c>
    </row>
    <row r="83" spans="1:6" s="1104" customFormat="1" ht="48">
      <c r="A83" s="1153">
        <v>23</v>
      </c>
      <c r="B83" s="3725"/>
      <c r="C83" s="1067" t="s">
        <v>1549</v>
      </c>
      <c r="D83" s="1067" t="s">
        <v>1550</v>
      </c>
      <c r="E83" s="1138">
        <v>0.2</v>
      </c>
      <c r="F83" s="1153">
        <v>30</v>
      </c>
    </row>
    <row r="84" spans="1:6" s="1104" customFormat="1" ht="36">
      <c r="A84" s="1153">
        <v>24</v>
      </c>
      <c r="B84" s="3725"/>
      <c r="C84" s="1067" t="s">
        <v>1551</v>
      </c>
      <c r="D84" s="1067" t="s">
        <v>1552</v>
      </c>
      <c r="E84" s="1138">
        <v>0.2</v>
      </c>
      <c r="F84" s="1153">
        <v>30</v>
      </c>
    </row>
    <row r="85" spans="1:6" s="1104" customFormat="1" ht="36">
      <c r="A85" s="1153">
        <v>25</v>
      </c>
      <c r="B85" s="3725"/>
      <c r="C85" s="1067" t="s">
        <v>1553</v>
      </c>
      <c r="D85" s="1067" t="s">
        <v>1554</v>
      </c>
      <c r="E85" s="1138">
        <v>0.5</v>
      </c>
      <c r="F85" s="1153">
        <v>80</v>
      </c>
    </row>
    <row r="86" spans="1:6" s="1104" customFormat="1" ht="36">
      <c r="A86" s="1153">
        <v>26</v>
      </c>
      <c r="B86" s="3725"/>
      <c r="C86" s="1067" t="s">
        <v>1555</v>
      </c>
      <c r="D86" s="1067" t="s">
        <v>1556</v>
      </c>
      <c r="E86" s="1138">
        <v>0.2</v>
      </c>
      <c r="F86" s="1153">
        <v>30</v>
      </c>
    </row>
    <row r="87" spans="1:6" s="1104" customFormat="1" ht="36">
      <c r="A87" s="1153">
        <v>27</v>
      </c>
      <c r="B87" s="3725"/>
      <c r="C87" s="1067" t="s">
        <v>1557</v>
      </c>
      <c r="D87" s="1067" t="s">
        <v>1558</v>
      </c>
      <c r="E87" s="1138">
        <v>0.2</v>
      </c>
      <c r="F87" s="1153">
        <v>30</v>
      </c>
    </row>
    <row r="88" spans="1:6" s="1104" customFormat="1" ht="36">
      <c r="A88" s="1153">
        <v>28</v>
      </c>
      <c r="B88" s="3725"/>
      <c r="C88" s="1067" t="s">
        <v>1559</v>
      </c>
      <c r="D88" s="1067" t="s">
        <v>1560</v>
      </c>
      <c r="E88" s="1138">
        <v>0.2</v>
      </c>
      <c r="F88" s="1153">
        <v>30</v>
      </c>
    </row>
    <row r="89" spans="1:6" s="1104" customFormat="1" ht="24">
      <c r="A89" s="1153">
        <v>29</v>
      </c>
      <c r="B89" s="3725"/>
      <c r="C89" s="1067" t="s">
        <v>1561</v>
      </c>
      <c r="D89" s="1067" t="s">
        <v>1562</v>
      </c>
      <c r="E89" s="1138">
        <v>0.2</v>
      </c>
      <c r="F89" s="1153">
        <v>30</v>
      </c>
    </row>
    <row r="90" spans="1:6" s="1104" customFormat="1" ht="24">
      <c r="A90" s="1153">
        <v>30</v>
      </c>
      <c r="B90" s="3725"/>
      <c r="C90" s="1067" t="s">
        <v>1563</v>
      </c>
      <c r="D90" s="1067" t="s">
        <v>1564</v>
      </c>
      <c r="E90" s="1138">
        <v>0.2</v>
      </c>
      <c r="F90" s="1153">
        <v>30</v>
      </c>
    </row>
    <row r="91" spans="1:6" s="1104" customFormat="1" ht="36">
      <c r="A91" s="1153">
        <v>31</v>
      </c>
      <c r="B91" s="3725"/>
      <c r="C91" s="1067" t="s">
        <v>1565</v>
      </c>
      <c r="D91" s="1067" t="s">
        <v>1566</v>
      </c>
      <c r="E91" s="1138">
        <v>0.2</v>
      </c>
      <c r="F91" s="1153">
        <v>30</v>
      </c>
    </row>
    <row r="92" spans="1:6" s="1104" customFormat="1" ht="24">
      <c r="A92" s="1153">
        <v>32</v>
      </c>
      <c r="B92" s="3725" t="s">
        <v>1567</v>
      </c>
      <c r="C92" s="1153" t="s">
        <v>1568</v>
      </c>
      <c r="D92" s="1067" t="s">
        <v>1569</v>
      </c>
      <c r="E92" s="1138">
        <v>0.2</v>
      </c>
      <c r="F92" s="1153">
        <v>30</v>
      </c>
    </row>
    <row r="93" spans="1:6" s="1104" customFormat="1" ht="36">
      <c r="A93" s="1153">
        <v>33</v>
      </c>
      <c r="B93" s="3725"/>
      <c r="C93" s="1153" t="s">
        <v>1570</v>
      </c>
      <c r="D93" s="1067" t="s">
        <v>1571</v>
      </c>
      <c r="E93" s="1138">
        <v>0.2</v>
      </c>
      <c r="F93" s="1153">
        <v>30</v>
      </c>
    </row>
    <row r="94" spans="1:6" s="1104" customFormat="1" ht="48">
      <c r="A94" s="1153">
        <v>34</v>
      </c>
      <c r="B94" s="3725"/>
      <c r="C94" s="1153" t="s">
        <v>1572</v>
      </c>
      <c r="D94" s="1067" t="s">
        <v>1573</v>
      </c>
      <c r="E94" s="1138">
        <v>0.2</v>
      </c>
      <c r="F94" s="1153">
        <v>30</v>
      </c>
    </row>
    <row r="95" spans="1:6" s="1104" customFormat="1" ht="36">
      <c r="A95" s="1153">
        <v>35</v>
      </c>
      <c r="B95" s="3725"/>
      <c r="C95" s="1153" t="s">
        <v>1574</v>
      </c>
      <c r="D95" s="1067" t="s">
        <v>1575</v>
      </c>
      <c r="E95" s="1138">
        <v>0.2</v>
      </c>
      <c r="F95" s="1153">
        <v>30</v>
      </c>
    </row>
    <row r="96" spans="1:6" s="1104" customFormat="1" ht="48">
      <c r="A96" s="1153">
        <v>36</v>
      </c>
      <c r="B96" s="3725"/>
      <c r="C96" s="1067" t="s">
        <v>1576</v>
      </c>
      <c r="D96" s="1067" t="s">
        <v>1577</v>
      </c>
      <c r="E96" s="1138">
        <v>0.2</v>
      </c>
      <c r="F96" s="1153">
        <v>30</v>
      </c>
    </row>
    <row r="97" spans="1:6" s="1104" customFormat="1" ht="36">
      <c r="A97" s="1153">
        <v>37</v>
      </c>
      <c r="B97" s="3725"/>
      <c r="C97" s="1153" t="s">
        <v>1578</v>
      </c>
      <c r="D97" s="1067" t="s">
        <v>1579</v>
      </c>
      <c r="E97" s="1138">
        <v>0.2</v>
      </c>
      <c r="F97" s="1153">
        <v>30</v>
      </c>
    </row>
    <row r="98" spans="1:6" s="1104" customFormat="1" ht="36">
      <c r="A98" s="1153">
        <v>38</v>
      </c>
      <c r="B98" s="3725"/>
      <c r="C98" s="1153" t="s">
        <v>1580</v>
      </c>
      <c r="D98" s="1067" t="s">
        <v>1581</v>
      </c>
      <c r="E98" s="1138">
        <v>0.2</v>
      </c>
      <c r="F98" s="1153">
        <v>30</v>
      </c>
    </row>
    <row r="99" spans="1:6" s="1104" customFormat="1" ht="36">
      <c r="A99" s="1153">
        <v>39</v>
      </c>
      <c r="B99" s="3725" t="s">
        <v>1582</v>
      </c>
      <c r="C99" s="1153" t="s">
        <v>1583</v>
      </c>
      <c r="D99" s="1067" t="s">
        <v>1584</v>
      </c>
      <c r="E99" s="1138">
        <v>0.3</v>
      </c>
      <c r="F99" s="1153">
        <v>50</v>
      </c>
    </row>
    <row r="100" spans="1:6" s="1104" customFormat="1" ht="24">
      <c r="A100" s="1153">
        <v>40</v>
      </c>
      <c r="B100" s="3725"/>
      <c r="C100" s="1153" t="s">
        <v>1585</v>
      </c>
      <c r="D100" s="1067" t="s">
        <v>1586</v>
      </c>
      <c r="E100" s="1138">
        <v>0.2</v>
      </c>
      <c r="F100" s="1153">
        <v>30</v>
      </c>
    </row>
    <row r="101" spans="1:6" s="1104" customFormat="1" ht="36">
      <c r="A101" s="1153">
        <v>41</v>
      </c>
      <c r="B101" s="3725"/>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25" t="s">
        <v>1597</v>
      </c>
      <c r="C105" s="1153" t="s">
        <v>1598</v>
      </c>
      <c r="D105" s="1067" t="s">
        <v>1599</v>
      </c>
      <c r="E105" s="1138">
        <v>0.2</v>
      </c>
      <c r="F105" s="1153">
        <v>30</v>
      </c>
    </row>
    <row r="106" spans="1:6" s="1104" customFormat="1" ht="36">
      <c r="A106" s="1153">
        <v>46</v>
      </c>
      <c r="B106" s="3725"/>
      <c r="C106" s="1153" t="s">
        <v>1600</v>
      </c>
      <c r="D106" s="1067" t="s">
        <v>1601</v>
      </c>
      <c r="E106" s="1138">
        <v>0.2</v>
      </c>
      <c r="F106" s="1153">
        <v>30</v>
      </c>
    </row>
    <row r="107" spans="1:6" s="1104" customFormat="1" ht="36">
      <c r="A107" s="1153">
        <v>47</v>
      </c>
      <c r="B107" s="3725" t="s">
        <v>1602</v>
      </c>
      <c r="C107" s="1153" t="s">
        <v>1603</v>
      </c>
      <c r="D107" s="1067" t="s">
        <v>1604</v>
      </c>
      <c r="E107" s="1138">
        <v>0.3</v>
      </c>
      <c r="F107" s="1153">
        <v>50</v>
      </c>
    </row>
    <row r="108" spans="1:6" s="1104" customFormat="1" ht="36">
      <c r="A108" s="1153">
        <v>48</v>
      </c>
      <c r="B108" s="3725"/>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25" t="s">
        <v>1613</v>
      </c>
      <c r="C111" s="1153" t="s">
        <v>1614</v>
      </c>
      <c r="D111" s="1067" t="s">
        <v>1615</v>
      </c>
      <c r="E111" s="1138">
        <v>0.2</v>
      </c>
      <c r="F111" s="1153">
        <v>30</v>
      </c>
    </row>
    <row r="112" spans="1:6" s="1104" customFormat="1" ht="24">
      <c r="A112" s="1153">
        <v>52</v>
      </c>
      <c r="B112" s="3725"/>
      <c r="C112" s="1153" t="s">
        <v>1616</v>
      </c>
      <c r="D112" s="1067" t="s">
        <v>1617</v>
      </c>
      <c r="E112" s="1138">
        <v>0.2</v>
      </c>
      <c r="F112" s="1153">
        <v>30</v>
      </c>
    </row>
    <row r="113" spans="1:14" s="1104" customFormat="1" ht="24">
      <c r="A113" s="1153">
        <v>53</v>
      </c>
      <c r="B113" s="3725"/>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25" t="s">
        <v>1626</v>
      </c>
      <c r="C116" s="1153" t="s">
        <v>1627</v>
      </c>
      <c r="D116" s="1067" t="s">
        <v>1628</v>
      </c>
      <c r="E116" s="1138">
        <v>0.2</v>
      </c>
      <c r="F116" s="1153">
        <v>30</v>
      </c>
    </row>
    <row r="117" spans="1:14" ht="36">
      <c r="A117" s="1153">
        <v>57</v>
      </c>
      <c r="B117" s="3725"/>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24" t="s">
        <v>1635</v>
      </c>
      <c r="B121" s="3724"/>
      <c r="C121" s="3724"/>
      <c r="D121" s="3724"/>
      <c r="E121" s="3724"/>
      <c r="F121" s="3724"/>
      <c r="G121" s="3724"/>
      <c r="H121" s="3724"/>
      <c r="I121" s="3724"/>
      <c r="J121" s="372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29" t="s">
        <v>1041</v>
      </c>
      <c r="B1" s="3729"/>
      <c r="C1" s="3729"/>
      <c r="D1" s="3729"/>
      <c r="E1" s="3729"/>
      <c r="F1" s="3729"/>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30" t="s">
        <v>1054</v>
      </c>
      <c r="B2" s="3730"/>
      <c r="C2" s="3730"/>
      <c r="D2" s="3730"/>
      <c r="E2" s="3730"/>
      <c r="F2" s="3730"/>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31"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32"/>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33" t="s">
        <v>2083</v>
      </c>
      <c r="B1" s="3733"/>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2958</v>
      </c>
      <c r="B1" s="3135"/>
      <c r="C1" s="3135"/>
      <c r="D1" s="3135"/>
      <c r="E1" s="3135"/>
      <c r="F1" s="3135"/>
    </row>
    <row r="2" spans="1:6" ht="14.25">
      <c r="A2" s="3136" t="s">
        <v>2952</v>
      </c>
      <c r="B2" s="3137" t="e">
        <f ca="1">SUMIF(B7:B14,"&lt;&gt;#ref!",B7:B14)</f>
        <v>#DIV/0!</v>
      </c>
      <c r="C2" s="3136" t="s">
        <v>2953</v>
      </c>
      <c r="D2" s="3135"/>
      <c r="E2" s="3135"/>
      <c r="F2" s="3135"/>
    </row>
    <row r="3" spans="1:6" ht="14.25">
      <c r="A3" s="3136" t="s">
        <v>2955</v>
      </c>
      <c r="B3" s="3137" t="e">
        <f ca="1">ROUND(B2*10000/E3,0)</f>
        <v>#DIV/0!</v>
      </c>
      <c r="C3" s="3136" t="s">
        <v>2082</v>
      </c>
      <c r="D3" s="3136" t="s">
        <v>2954</v>
      </c>
      <c r="E3" s="3137" t="e">
        <f ca="1">SUM(E7:E14)</f>
        <v>#REF!</v>
      </c>
      <c r="F3" s="3135"/>
    </row>
    <row r="4" spans="1:6" ht="14.25">
      <c r="A4" s="3136" t="s">
        <v>2962</v>
      </c>
      <c r="B4" s="3137" t="e">
        <f ca="1">ROUND(B2*10000/E4,0)</f>
        <v>#DIV/0!</v>
      </c>
      <c r="C4" s="3136" t="s">
        <v>2082</v>
      </c>
      <c r="D4" s="3136" t="s">
        <v>2963</v>
      </c>
      <c r="E4" s="3137" t="e">
        <f ca="1">SUM(F7:F14)</f>
        <v>#REF!</v>
      </c>
      <c r="F4" s="3135"/>
    </row>
    <row r="5" spans="1:6" ht="14.25">
      <c r="A5" s="3138"/>
      <c r="B5" s="1882"/>
      <c r="C5" s="1882"/>
      <c r="D5" s="1882"/>
      <c r="E5" s="1882"/>
      <c r="F5" s="3135"/>
    </row>
    <row r="6" spans="1:6" ht="28.5">
      <c r="A6" s="3139" t="s">
        <v>2959</v>
      </c>
      <c r="B6" s="3136" t="s">
        <v>2956</v>
      </c>
      <c r="C6" s="3137"/>
      <c r="D6" s="1882"/>
      <c r="E6" s="3136" t="s">
        <v>2957</v>
      </c>
      <c r="F6" s="3136" t="s">
        <v>2961</v>
      </c>
    </row>
    <row r="7" spans="1:6" ht="14.25">
      <c r="A7" s="260" t="s">
        <v>2960</v>
      </c>
      <c r="B7" s="3140" t="e">
        <f ca="1">SUMIF(INDIRECT("'"&amp;A7&amp;"'"&amp;"!A:A"),"总价",INDIRECT("'"&amp;A7&amp;"'"&amp;"!B:B"))</f>
        <v>#DIV/0!</v>
      </c>
      <c r="C7" s="3136" t="s">
        <v>2953</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2953</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2953</v>
      </c>
      <c r="D9" s="1882"/>
      <c r="E9" s="3141" t="e">
        <f t="shared" ca="1" si="1"/>
        <v>#REF!</v>
      </c>
      <c r="F9" s="3141" t="e">
        <f t="shared" ca="1" si="2"/>
        <v>#REF!</v>
      </c>
    </row>
    <row r="10" spans="1:6" ht="14.25">
      <c r="A10" s="260"/>
      <c r="B10" s="3140" t="e">
        <f t="shared" ca="1" si="0"/>
        <v>#REF!</v>
      </c>
      <c r="C10" s="3136" t="s">
        <v>2953</v>
      </c>
      <c r="D10" s="1882"/>
      <c r="E10" s="3141" t="e">
        <f t="shared" ca="1" si="1"/>
        <v>#REF!</v>
      </c>
      <c r="F10" s="3141" t="e">
        <f t="shared" ca="1" si="2"/>
        <v>#REF!</v>
      </c>
    </row>
    <row r="11" spans="1:6" ht="14.25">
      <c r="A11" s="260"/>
      <c r="B11" s="3140" t="e">
        <f t="shared" ca="1" si="0"/>
        <v>#REF!</v>
      </c>
      <c r="C11" s="3136" t="s">
        <v>2953</v>
      </c>
      <c r="D11" s="1882"/>
      <c r="E11" s="3141" t="e">
        <f t="shared" ca="1" si="1"/>
        <v>#REF!</v>
      </c>
      <c r="F11" s="3141" t="e">
        <f t="shared" ca="1" si="2"/>
        <v>#REF!</v>
      </c>
    </row>
    <row r="12" spans="1:6" ht="14.25">
      <c r="A12" s="260"/>
      <c r="B12" s="3140" t="e">
        <f t="shared" ca="1" si="0"/>
        <v>#REF!</v>
      </c>
      <c r="C12" s="3136" t="s">
        <v>2953</v>
      </c>
      <c r="D12" s="1882"/>
      <c r="E12" s="3141" t="e">
        <f t="shared" ca="1" si="1"/>
        <v>#REF!</v>
      </c>
      <c r="F12" s="3141" t="e">
        <f t="shared" ca="1" si="2"/>
        <v>#REF!</v>
      </c>
    </row>
    <row r="13" spans="1:6" ht="14.25">
      <c r="A13" s="260"/>
      <c r="B13" s="3140" t="e">
        <f t="shared" ca="1" si="0"/>
        <v>#REF!</v>
      </c>
      <c r="C13" s="3136" t="s">
        <v>2953</v>
      </c>
      <c r="D13" s="1882"/>
      <c r="E13" s="3141" t="e">
        <f t="shared" ca="1" si="1"/>
        <v>#REF!</v>
      </c>
      <c r="F13" s="3141" t="e">
        <f t="shared" ca="1" si="2"/>
        <v>#REF!</v>
      </c>
    </row>
    <row r="14" spans="1:6" ht="14.25">
      <c r="A14" s="3134"/>
      <c r="B14" s="3140" t="e">
        <f t="shared" ca="1" si="0"/>
        <v>#REF!</v>
      </c>
      <c r="C14" s="3136" t="s">
        <v>2953</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2379</v>
      </c>
      <c r="F1" s="2413">
        <f ca="1">J54</f>
        <v>0</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6" t="s">
        <v>696</v>
      </c>
      <c r="I3" s="2058"/>
      <c r="J3" s="2058"/>
      <c r="K3" s="2059"/>
      <c r="L3" s="2058"/>
      <c r="M3" s="2058"/>
    </row>
    <row r="4" spans="1:25" ht="18" customHeight="1">
      <c r="A4" s="1646" t="s">
        <v>697</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2463</v>
      </c>
      <c r="C7" s="53">
        <f ca="1">C8+C12+C14</f>
        <v>0</v>
      </c>
      <c r="D7" s="2521" t="s">
        <v>2466</v>
      </c>
      <c r="E7" s="2515"/>
      <c r="F7" s="2516"/>
      <c r="G7" s="1592"/>
      <c r="H7" s="781">
        <v>1</v>
      </c>
      <c r="I7" s="782" t="s">
        <v>2463</v>
      </c>
      <c r="J7" s="53">
        <f ca="1">J8+J12+J14</f>
        <v>0</v>
      </c>
      <c r="K7" s="2521" t="s">
        <v>2466</v>
      </c>
      <c r="L7" s="2515"/>
      <c r="M7" s="2516"/>
    </row>
    <row r="8" spans="1:25" ht="18" customHeight="1">
      <c r="A8" s="1831" t="s">
        <v>1826</v>
      </c>
      <c r="B8" s="3735" t="s">
        <v>2468</v>
      </c>
      <c r="C8" s="1826">
        <f ca="1">ROUND(F8*F10*F9*(1-F11)/10000,0)</f>
        <v>0</v>
      </c>
      <c r="D8" s="1823" t="s">
        <v>2540</v>
      </c>
      <c r="E8" s="61" t="s">
        <v>638</v>
      </c>
      <c r="F8" s="785">
        <f ca="1">INDIRECT("'数据-取费表'!u"&amp;$G$1)</f>
        <v>0</v>
      </c>
      <c r="G8" s="1592"/>
      <c r="H8" s="2529" t="s">
        <v>1826</v>
      </c>
      <c r="I8" s="3735" t="s">
        <v>2468</v>
      </c>
      <c r="J8" s="783">
        <f ca="1">ROUND(M8*M10*M9*(1-M11)/10000,0)</f>
        <v>0</v>
      </c>
      <c r="K8" s="341" t="s">
        <v>2540</v>
      </c>
      <c r="L8" s="784" t="s">
        <v>1740</v>
      </c>
      <c r="M8" s="785">
        <f ca="1">INDIRECT("'数据-取费表'!z"&amp;$G$1)</f>
        <v>0</v>
      </c>
    </row>
    <row r="9" spans="1:25" ht="18" customHeight="1">
      <c r="A9" s="2525"/>
      <c r="B9" s="3736"/>
      <c r="C9" s="1827"/>
      <c r="D9" s="1824"/>
      <c r="E9" s="61" t="s">
        <v>639</v>
      </c>
      <c r="F9" s="785">
        <f ca="1">IF(INDIRECT("'数据-取费表'!ah"&amp;$G$1)="",INDIRECT("'数据-取费表'!k"&amp;$G$1),INDIRECT("'数据-取费表'!ah"&amp;$G$1))</f>
        <v>0</v>
      </c>
      <c r="G9" s="1592"/>
      <c r="H9" s="2514"/>
      <c r="I9" s="3736"/>
      <c r="J9" s="788"/>
      <c r="K9" s="789"/>
      <c r="L9" s="784" t="s">
        <v>1741</v>
      </c>
      <c r="M9" s="785">
        <f ca="1">F9</f>
        <v>0</v>
      </c>
    </row>
    <row r="10" spans="1:25" ht="18" customHeight="1">
      <c r="A10" s="2518"/>
      <c r="B10" s="3737"/>
      <c r="C10" s="1827"/>
      <c r="D10" s="1824"/>
      <c r="E10" s="61" t="s">
        <v>640</v>
      </c>
      <c r="F10" s="785">
        <f ca="1">INDIRECT("'数据-取费表'!ai"&amp;$G$1)</f>
        <v>0</v>
      </c>
      <c r="G10" s="1592"/>
      <c r="H10" s="2514"/>
      <c r="I10" s="3737"/>
      <c r="J10" s="788"/>
      <c r="K10" s="789"/>
      <c r="L10" s="784" t="s">
        <v>1742</v>
      </c>
      <c r="M10" s="785">
        <f ca="1">INDIRECT("'数据-取费表'!ai"&amp;$G$1)</f>
        <v>0</v>
      </c>
    </row>
    <row r="11" spans="1:25" ht="18" customHeight="1">
      <c r="A11" s="786"/>
      <c r="B11" s="3738"/>
      <c r="C11" s="1827"/>
      <c r="D11" s="1824"/>
      <c r="E11" s="61" t="s">
        <v>641</v>
      </c>
      <c r="F11" s="794">
        <f ca="1">INDIRECT("'数据-取费表'!w"&amp;$G$1)</f>
        <v>0</v>
      </c>
      <c r="G11" s="1592"/>
      <c r="H11" s="2530"/>
      <c r="I11" s="3737"/>
      <c r="J11" s="788"/>
      <c r="K11" s="789"/>
      <c r="L11" s="795" t="s">
        <v>1743</v>
      </c>
      <c r="M11" s="796">
        <f ca="1">INDIRECT("'数据-取费表'!ab"&amp;$G$1)</f>
        <v>0</v>
      </c>
    </row>
    <row r="12" spans="1:25" ht="18" customHeight="1">
      <c r="A12" s="1831" t="s">
        <v>1827</v>
      </c>
      <c r="B12" s="2519" t="s">
        <v>2464</v>
      </c>
      <c r="C12" s="799">
        <f ca="1">ROUND(IF(F12="押一",F8*F10*F9/12*F13,IF(F12="押二",F8*F10*F9/12*2*F13,IF(F12="押三",F8*F10*F9/12*3*F13,C13*F13)))/10000,0)</f>
        <v>0</v>
      </c>
      <c r="D12" s="2526" t="s">
        <v>2471</v>
      </c>
      <c r="E12" s="2523" t="s">
        <v>2469</v>
      </c>
      <c r="F12" s="2646"/>
      <c r="G12" s="1592"/>
      <c r="H12" s="2586" t="s">
        <v>1827</v>
      </c>
      <c r="I12" s="2591" t="s">
        <v>2464</v>
      </c>
      <c r="J12" s="783">
        <f ca="1">ROUND(IF(M12="押一",M8*M10*M9/12*M13,IF(M12="押二",M8*M10*M9/12*2*M13,IF(M12="押三",M8*M10*M9/12*3*M13,J13*M13)))/10000,0)</f>
        <v>0</v>
      </c>
      <c r="K12" s="2526" t="s">
        <v>2471</v>
      </c>
      <c r="L12" s="2523" t="s">
        <v>2469</v>
      </c>
      <c r="M12" s="2646"/>
    </row>
    <row r="13" spans="1:25" ht="18" customHeight="1">
      <c r="A13" s="790"/>
      <c r="B13" s="2520" t="s">
        <v>2579</v>
      </c>
      <c r="C13" s="2524"/>
      <c r="D13" s="789"/>
      <c r="E13" s="2523" t="s">
        <v>2461</v>
      </c>
      <c r="F13" s="796">
        <f ca="1">'数据-取费表'!B39</f>
        <v>1.4999999999999999E-2</v>
      </c>
      <c r="G13" s="1592"/>
      <c r="H13" s="2587"/>
      <c r="I13" s="2520" t="s">
        <v>2579</v>
      </c>
      <c r="J13" s="2524"/>
      <c r="K13" s="2588"/>
      <c r="L13" s="2523" t="s">
        <v>2461</v>
      </c>
      <c r="M13" s="2517">
        <f ca="1">'数据-取费表'!B39</f>
        <v>1.4999999999999999E-2</v>
      </c>
    </row>
    <row r="14" spans="1:25" ht="18" customHeight="1" thickBot="1">
      <c r="A14" s="2562" t="s">
        <v>2473</v>
      </c>
      <c r="B14" s="2563" t="s">
        <v>2465</v>
      </c>
      <c r="C14" s="2564"/>
      <c r="D14" s="2565"/>
      <c r="E14" s="2566"/>
      <c r="F14" s="2567"/>
      <c r="G14" s="1592"/>
      <c r="H14" s="2576" t="s">
        <v>2473</v>
      </c>
      <c r="I14" s="2589" t="s">
        <v>2465</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2073</v>
      </c>
      <c r="I16" s="2232" t="s">
        <v>2830</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3"/>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2073</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5.5000000000000007E-2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6</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2074</v>
      </c>
      <c r="I24" s="784" t="s">
        <v>677</v>
      </c>
      <c r="J24" s="53">
        <f ca="1">ROUND(J16*M24,0)</f>
        <v>0</v>
      </c>
      <c r="K24" s="1978" t="s">
        <v>678</v>
      </c>
      <c r="L24" s="784" t="s">
        <v>650</v>
      </c>
      <c r="M24" s="817">
        <f ca="1">INDIRECT("'数据-取费表'!Ak"&amp;$G$1)</f>
        <v>0</v>
      </c>
    </row>
    <row r="25" spans="1:25" s="2065" customFormat="1" ht="18" customHeight="1">
      <c r="A25" s="803" t="s">
        <v>1877</v>
      </c>
      <c r="B25" s="784" t="s">
        <v>2442</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3</v>
      </c>
      <c r="G25" s="1593"/>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1.4E-3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2827</v>
      </c>
      <c r="J27" s="799">
        <f ca="1">J7-J18</f>
        <v>0</v>
      </c>
      <c r="K27" s="1980" t="s">
        <v>701</v>
      </c>
      <c r="L27" s="1982"/>
      <c r="M27" s="820"/>
    </row>
    <row r="28" spans="1:25" ht="18" customHeight="1">
      <c r="A28" s="803" t="s">
        <v>1877</v>
      </c>
      <c r="B28" s="784" t="s">
        <v>2443</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5.2400000000000002E-2</v>
      </c>
      <c r="D30" s="812" t="s">
        <v>710</v>
      </c>
      <c r="E30" s="784" t="s">
        <v>650</v>
      </c>
      <c r="F30" s="809">
        <f>'数据-取费表'!B41</f>
        <v>5.5000000000000007E-2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2828</v>
      </c>
      <c r="C31" s="2569">
        <f ca="1">ROUND((C21+C22+C25+C28)/(1-F23-C26-C29-C30),0)</f>
        <v>0</v>
      </c>
      <c r="D31" s="2570"/>
      <c r="E31" s="2571"/>
      <c r="F31" s="2572"/>
      <c r="G31" s="1593"/>
      <c r="H31" s="823" t="s">
        <v>1874</v>
      </c>
      <c r="I31" s="3038" t="s">
        <v>2829</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5.5000000000000007E-2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6</v>
      </c>
      <c r="G36" s="2063"/>
      <c r="H36" s="2066"/>
      <c r="I36" s="3734"/>
      <c r="J36" s="2080"/>
      <c r="K36" s="2081"/>
      <c r="L36" s="2080"/>
      <c r="M36" s="2080"/>
    </row>
    <row r="37" spans="1:18" ht="18" customHeight="1">
      <c r="A37" s="815"/>
      <c r="B37" s="793"/>
      <c r="C37" s="69"/>
      <c r="D37" s="816"/>
      <c r="E37" s="784" t="s">
        <v>675</v>
      </c>
      <c r="F37" s="785">
        <f ca="1">INDIRECT("'数据-取费表'!r"&amp;$G$1)</f>
        <v>0</v>
      </c>
      <c r="G37" s="2063"/>
      <c r="H37" s="2066"/>
      <c r="I37" s="3734"/>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5" t="s">
        <v>713</v>
      </c>
      <c r="E43" s="3154" t="s">
        <v>2971</v>
      </c>
      <c r="F43" s="3155">
        <f ca="1">INDIRECT("'数据-取费表'!j"&amp;$G$1)</f>
        <v>0</v>
      </c>
      <c r="G43" s="2063"/>
      <c r="H43" s="2063"/>
      <c r="I43" s="2063"/>
      <c r="J43" s="2063"/>
      <c r="K43" s="2084"/>
      <c r="L43" s="2063"/>
      <c r="M43" s="2063"/>
    </row>
    <row r="44" spans="1:18" ht="18" customHeight="1">
      <c r="A44" s="803" t="s">
        <v>1880</v>
      </c>
      <c r="B44" s="835" t="s">
        <v>714</v>
      </c>
      <c r="C44" s="1356">
        <f ca="1">C42-C43</f>
        <v>0</v>
      </c>
      <c r="D44" s="463" t="s">
        <v>715</v>
      </c>
      <c r="E44" s="464"/>
      <c r="F44" s="465"/>
      <c r="G44" s="2063"/>
      <c r="H44" s="2063"/>
      <c r="I44" s="2063"/>
      <c r="J44" s="2063"/>
      <c r="K44" s="2084"/>
      <c r="L44" s="2063"/>
      <c r="M44" s="2063"/>
    </row>
    <row r="45" spans="1:18" ht="18" customHeight="1">
      <c r="A45" s="803" t="s">
        <v>1881</v>
      </c>
      <c r="B45" s="1355" t="s">
        <v>716</v>
      </c>
      <c r="C45" s="3064">
        <f ca="1">ROUND(-PV(F45,F46,C44,0),0)</f>
        <v>0</v>
      </c>
      <c r="D45" s="1357" t="s">
        <v>717</v>
      </c>
      <c r="E45" s="806" t="s">
        <v>718</v>
      </c>
      <c r="F45" s="830">
        <f ca="1">INDIRECT("'数据-取费表'!h"&amp;$G$1)</f>
        <v>0</v>
      </c>
      <c r="G45" s="2063"/>
      <c r="H45" s="2063"/>
      <c r="I45" s="2063"/>
      <c r="J45" s="2063"/>
      <c r="K45" s="2084"/>
      <c r="L45" s="2063"/>
      <c r="M45" s="2063"/>
    </row>
    <row r="46" spans="1:18" ht="18" customHeight="1" thickBot="1">
      <c r="A46" s="831"/>
      <c r="B46" s="1358"/>
      <c r="C46" s="1359"/>
      <c r="D46" s="1360"/>
      <c r="E46" s="3156" t="s">
        <v>2974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0</v>
      </c>
      <c r="M48" s="3151"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739"/>
      <c r="L54" s="3740"/>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8" t="s">
        <v>2360</v>
      </c>
      <c r="J56" s="3152"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1"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29.25" thickBot="1">
      <c r="A59" s="2097"/>
      <c r="B59" s="2098"/>
      <c r="C59" s="2098"/>
      <c r="I59" s="2405" t="s">
        <v>2364</v>
      </c>
      <c r="J59" s="3153"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0" t="s">
        <v>2950</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1">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2">
        <v>0</v>
      </c>
      <c r="O65" s="2429" t="s">
        <v>2420</v>
      </c>
      <c r="P65" s="1592"/>
      <c r="Q65" s="1604"/>
      <c r="R65" s="1592"/>
    </row>
    <row r="66" spans="1:18" s="2060" customFormat="1" ht="15.75" thickBot="1">
      <c r="A66" s="2097"/>
      <c r="B66" s="2098"/>
      <c r="C66" s="2098"/>
      <c r="I66" s="2410" t="s">
        <v>2377</v>
      </c>
      <c r="J66" s="2411">
        <v>40</v>
      </c>
      <c r="K66" s="2411">
        <v>30</v>
      </c>
      <c r="L66" s="2411">
        <v>50</v>
      </c>
      <c r="M66" s="3131">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493" t="str">
        <f>项目基本情况!B1</f>
        <v>河北省廊坊市固安县工业园区五号路北、六号路西出让国有建设用地使用权抵押价格预评估</v>
      </c>
      <c r="C37" s="3493"/>
      <c r="D37" s="3493"/>
      <c r="E37" s="3493"/>
      <c r="F37" s="3493"/>
      <c r="G37" s="3493"/>
      <c r="H37" s="3493"/>
      <c r="I37" s="3493"/>
    </row>
    <row r="38" spans="1:9">
      <c r="A38" s="1656"/>
      <c r="B38" s="1656"/>
    </row>
    <row r="39" spans="1:9">
      <c r="A39" s="1654" t="s">
        <v>1903</v>
      </c>
      <c r="B39" s="1654" t="s">
        <v>2050</v>
      </c>
    </row>
    <row r="40" spans="1:9">
      <c r="A40" s="1654"/>
      <c r="B40" s="1654" t="str">
        <f>项目基本情况!B5</f>
        <v>廊坊京御房地产开发有限公司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欧红伟、崔锴</v>
      </c>
    </row>
    <row r="47" spans="1:9">
      <c r="A47" s="1654"/>
      <c r="B47" s="1654"/>
    </row>
    <row r="48" spans="1:9">
      <c r="A48" s="1654" t="s">
        <v>1903</v>
      </c>
      <c r="B48" s="1654" t="s">
        <v>2052</v>
      </c>
    </row>
    <row r="49" spans="2:2">
      <c r="B49" s="1654" t="str">
        <f>"康正预评字"&amp;项目基本情况!B2&amp;"号"</f>
        <v>康正预评字2018-1-0348-P01DYGJ1号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47" t="s">
        <v>2582</v>
      </c>
      <c r="C1" s="3747"/>
      <c r="D1" s="3747"/>
      <c r="E1" s="3747"/>
      <c r="F1" s="3747"/>
      <c r="G1" s="3746" t="s">
        <v>2583</v>
      </c>
      <c r="H1" s="3746"/>
      <c r="I1" s="3746"/>
      <c r="J1" s="3746"/>
      <c r="K1" s="3746"/>
      <c r="L1" s="3746"/>
      <c r="N1" s="3746" t="s">
        <v>2584</v>
      </c>
      <c r="O1" s="3746"/>
      <c r="P1" s="3746"/>
      <c r="Q1" s="3746"/>
      <c r="R1" s="2680"/>
      <c r="S1" s="3746" t="s">
        <v>2585</v>
      </c>
      <c r="T1" s="3746"/>
      <c r="U1" s="3746"/>
      <c r="V1" s="3746"/>
      <c r="X1" s="3745" t="s">
        <v>2645</v>
      </c>
      <c r="Y1" s="3746"/>
      <c r="Z1" s="3746"/>
      <c r="AA1" s="3746"/>
      <c r="AB1" s="3746"/>
      <c r="AD1" s="3745" t="s">
        <v>2649</v>
      </c>
      <c r="AE1" s="3746"/>
      <c r="AF1" s="3746"/>
      <c r="AG1" s="3746"/>
      <c r="AH1" s="3746"/>
    </row>
    <row r="2" spans="1:34" s="2782" customFormat="1" ht="14.25" thickBot="1">
      <c r="B2" s="2790" t="s">
        <v>2586</v>
      </c>
      <c r="C2" s="2790" t="s">
        <v>2647</v>
      </c>
      <c r="D2" s="2783" t="s">
        <v>1646</v>
      </c>
      <c r="E2" s="2783" t="s">
        <v>1953</v>
      </c>
      <c r="F2" s="2790" t="s">
        <v>2648</v>
      </c>
      <c r="G2" s="2786"/>
      <c r="H2" s="2785"/>
      <c r="I2" s="2790" t="s">
        <v>2965</v>
      </c>
      <c r="J2" s="2783" t="s">
        <v>2967</v>
      </c>
      <c r="K2" s="2783" t="s">
        <v>2968</v>
      </c>
      <c r="L2" s="2790" t="s">
        <v>2969</v>
      </c>
      <c r="N2" s="2790" t="s">
        <v>2586</v>
      </c>
      <c r="O2" s="2783" t="s">
        <v>2966</v>
      </c>
      <c r="P2" s="2783" t="s">
        <v>1953</v>
      </c>
      <c r="Q2" s="2790" t="s">
        <v>2648</v>
      </c>
      <c r="R2" s="2784"/>
      <c r="S2" s="2790" t="s">
        <v>2586</v>
      </c>
      <c r="T2" s="2783" t="s">
        <v>2966</v>
      </c>
      <c r="U2" s="2783" t="s">
        <v>1953</v>
      </c>
      <c r="V2" s="2790" t="s">
        <v>2648</v>
      </c>
      <c r="X2" s="2790" t="s">
        <v>2586</v>
      </c>
      <c r="Y2" s="2790" t="s">
        <v>2647</v>
      </c>
      <c r="Z2" s="2783" t="s">
        <v>1646</v>
      </c>
      <c r="AA2" s="2783" t="s">
        <v>1953</v>
      </c>
      <c r="AB2" s="2790" t="s">
        <v>2648</v>
      </c>
      <c r="AD2" s="2790" t="s">
        <v>2586</v>
      </c>
      <c r="AE2" s="2790" t="s">
        <v>2647</v>
      </c>
      <c r="AF2" s="2783" t="s">
        <v>1646</v>
      </c>
      <c r="AG2" s="2783" t="s">
        <v>1953</v>
      </c>
      <c r="AH2" s="2790" t="s">
        <v>2648</v>
      </c>
    </row>
    <row r="3" spans="1:34" s="3166" customFormat="1" ht="14.25">
      <c r="A3" s="3178" t="s">
        <v>2979</v>
      </c>
      <c r="B3" s="3167"/>
      <c r="C3" s="3167"/>
      <c r="D3" s="3168"/>
      <c r="E3" s="3168"/>
      <c r="F3" s="3167"/>
      <c r="G3" s="3169"/>
      <c r="H3" s="3170"/>
      <c r="I3" s="3177">
        <f>ROUND(AVERAGE($I6:$I21),2)</f>
        <v>2.4500000000000002</v>
      </c>
      <c r="J3" s="3177">
        <f>ROUND(AVERAGE($J6:$J21),2)</f>
        <v>1.65</v>
      </c>
      <c r="K3" s="3177">
        <f>ROUND(AVERAGE($K6:$K21),2)</f>
        <v>2.71</v>
      </c>
      <c r="L3" s="3177">
        <f>ROUND(AVERAGE($L6:$L21),2)</f>
        <v>1.39</v>
      </c>
      <c r="N3" s="3169"/>
      <c r="O3" s="3171"/>
      <c r="P3" s="3171"/>
      <c r="Q3" s="3171"/>
      <c r="R3" s="3171"/>
      <c r="S3" s="3169"/>
      <c r="T3" s="3171"/>
      <c r="U3" s="3171"/>
      <c r="V3" s="3171"/>
      <c r="W3" s="3174"/>
      <c r="X3" s="3172">
        <f>ROUND(SUMPRODUCT(PRODUCT(1+N3:N$20)),4)</f>
        <v>1.4274</v>
      </c>
      <c r="Y3" s="3172">
        <f>ROUND(SUMPRODUCT(PRODUCT(1+O3:O$20)),4)</f>
        <v>1.2685</v>
      </c>
      <c r="Z3" s="3172">
        <f t="shared" ref="Z3:Z18" si="0">Y3</f>
        <v>1.2685</v>
      </c>
      <c r="AA3" s="3172">
        <f>ROUND(SUMPRODUCT(PRODUCT(1+P3:P$20)),4)</f>
        <v>1.4825999999999999</v>
      </c>
      <c r="AB3" s="3172">
        <f>ROUND(SUMPRODUCT(PRODUCT(1+Q3:Q$20)),4)</f>
        <v>1.2309000000000001</v>
      </c>
      <c r="AD3" s="3173">
        <f>ROUND(AVERAGE(I3:I$21)/100,4)</f>
        <v>2.3099999999999999E-2</v>
      </c>
      <c r="AE3" s="3173">
        <f>ROUND(AVERAGE(J3:J$21)/100,4)</f>
        <v>1.5599999999999999E-2</v>
      </c>
      <c r="AF3" s="3173">
        <f t="shared" ref="AF3:AF19" si="1">AE3</f>
        <v>1.5599999999999999E-2</v>
      </c>
      <c r="AG3" s="3173">
        <f>ROUND(AVERAGE(K3:K$21)/100,4)</f>
        <v>2.5600000000000001E-2</v>
      </c>
      <c r="AH3" s="3173">
        <f>ROUND(AVERAGE(L3:L$21)/100,4)</f>
        <v>1.32E-2</v>
      </c>
    </row>
    <row r="4" spans="1:34" s="2775" customFormat="1" ht="14.25">
      <c r="B4" s="2776"/>
      <c r="C4" s="2776"/>
      <c r="D4" s="2777"/>
      <c r="E4" s="2777"/>
      <c r="F4" s="2776"/>
      <c r="G4" s="2781"/>
      <c r="H4" s="2778"/>
      <c r="I4" s="3159"/>
      <c r="J4" s="3159"/>
      <c r="K4" s="3159"/>
      <c r="L4" s="3159"/>
      <c r="N4" s="2781"/>
      <c r="O4" s="2779"/>
      <c r="P4" s="2779"/>
      <c r="Q4" s="2779"/>
      <c r="R4" s="2779"/>
      <c r="S4" s="2781"/>
      <c r="T4" s="2779"/>
      <c r="U4" s="2779"/>
      <c r="V4" s="2779"/>
      <c r="W4" s="3175"/>
      <c r="X4" s="2780"/>
      <c r="Y4" s="2780"/>
      <c r="Z4" s="2780"/>
      <c r="AA4" s="2780"/>
      <c r="AB4" s="2780"/>
      <c r="AD4" s="2700"/>
      <c r="AE4" s="2700"/>
      <c r="AF4" s="2700"/>
      <c r="AG4" s="2700"/>
      <c r="AH4" s="2700"/>
    </row>
    <row r="5" spans="1:34" s="3145" customFormat="1" ht="13.5" thickBot="1">
      <c r="A5" s="3143" t="s">
        <v>2978</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4">
        <v>1</v>
      </c>
      <c r="I5" s="3160">
        <v>0</v>
      </c>
      <c r="J5" s="3160">
        <v>0</v>
      </c>
      <c r="K5" s="3160">
        <v>0</v>
      </c>
      <c r="L5" s="3160">
        <v>0</v>
      </c>
      <c r="N5" s="2788">
        <f t="shared" ref="N5:N10" si="6">I5/100</f>
        <v>0</v>
      </c>
      <c r="O5" s="2788">
        <f t="shared" ref="O5" si="7">J5/100</f>
        <v>0</v>
      </c>
      <c r="P5" s="2788">
        <f t="shared" ref="P5" si="8">K5/100</f>
        <v>0</v>
      </c>
      <c r="Q5" s="2788">
        <f t="shared" ref="Q5" si="9">L5/100</f>
        <v>0</v>
      </c>
      <c r="R5" s="3146"/>
      <c r="S5" s="3147"/>
      <c r="T5" s="3146"/>
      <c r="U5" s="3146"/>
      <c r="V5" s="3146"/>
      <c r="W5" s="3176" t="s">
        <v>2980</v>
      </c>
      <c r="X5" s="3148">
        <f>ROUND(SUMPRODUCT(PRODUCT(1+N5:N$20)),4)</f>
        <v>1.4274</v>
      </c>
      <c r="Y5" s="3148">
        <f>ROUND(SUMPRODUCT(PRODUCT(1+O5:O$20)),4)</f>
        <v>1.2685</v>
      </c>
      <c r="Z5" s="3148">
        <f t="shared" ref="Z5" si="10">Y5</f>
        <v>1.2685</v>
      </c>
      <c r="AA5" s="3148">
        <f>ROUND(SUMPRODUCT(PRODUCT(1+P5:P$20)),4)</f>
        <v>1.4825999999999999</v>
      </c>
      <c r="AB5" s="3148">
        <f>ROUND(SUMPRODUCT(PRODUCT(1+Q5:Q$20)),4)</f>
        <v>1.2309000000000001</v>
      </c>
      <c r="AD5" s="3149">
        <f>ROUND(AVERAGE(I5:I$21)/100,4)</f>
        <v>2.3E-2</v>
      </c>
      <c r="AE5" s="3149">
        <f>ROUND(AVERAGE(J5:J$21)/100,4)</f>
        <v>1.55E-2</v>
      </c>
      <c r="AF5" s="3149">
        <f t="shared" ref="AF5" si="11">AE5</f>
        <v>1.55E-2</v>
      </c>
      <c r="AG5" s="3149">
        <f>ROUND(AVERAGE(K5:K$21)/100,4)</f>
        <v>2.5499999999999998E-2</v>
      </c>
      <c r="AH5" s="3149">
        <f>ROUND(AVERAGE(L5:L$21)/100,4)</f>
        <v>1.3100000000000001E-2</v>
      </c>
    </row>
    <row r="6" spans="1:34">
      <c r="A6" s="2681" t="s">
        <v>2976</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3">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2981</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5"/>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3"/>
        <v>313.95436800000004</v>
      </c>
      <c r="E8" s="2695">
        <f t="shared" si="20"/>
        <v>596.63028431999999</v>
      </c>
      <c r="F8" s="2695">
        <f t="shared" si="20"/>
        <v>274.74220703999998</v>
      </c>
      <c r="G8" s="3164"/>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2588</v>
      </c>
      <c r="B9" s="2695">
        <f t="shared" si="19"/>
        <v>405.524</v>
      </c>
      <c r="C9" s="2695">
        <f t="shared" si="19"/>
        <v>307.79840000000002</v>
      </c>
      <c r="D9" s="2695">
        <f t="shared" si="3"/>
        <v>307.79840000000002</v>
      </c>
      <c r="E9" s="2695">
        <f t="shared" si="20"/>
        <v>574.67759999999998</v>
      </c>
      <c r="F9" s="2695">
        <f t="shared" si="20"/>
        <v>270.20280000000002</v>
      </c>
      <c r="G9" s="3165"/>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44">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42"/>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42"/>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43"/>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41">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42"/>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42"/>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43"/>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41">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42"/>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42"/>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43"/>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2646</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2589</v>
      </c>
      <c r="B22" s="2687">
        <v>299</v>
      </c>
      <c r="C22" s="2687">
        <v>252</v>
      </c>
      <c r="D22" s="2687">
        <f t="shared" si="29"/>
        <v>252</v>
      </c>
      <c r="E22" s="2687">
        <v>409</v>
      </c>
      <c r="F22" s="2688">
        <v>227</v>
      </c>
      <c r="G22" s="3748">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49"/>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749"/>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750"/>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2593</v>
      </c>
      <c r="B26" s="2725">
        <v>278</v>
      </c>
      <c r="C26" s="2725">
        <v>234</v>
      </c>
      <c r="D26" s="2725">
        <f t="shared" si="29"/>
        <v>234</v>
      </c>
      <c r="E26" s="2725">
        <v>379</v>
      </c>
      <c r="F26" s="2726">
        <v>220</v>
      </c>
      <c r="G26" s="3741">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742"/>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742"/>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2596</v>
      </c>
      <c r="B29" s="2695">
        <f>B28/(1+N28)</f>
        <v>275.19025476197027</v>
      </c>
      <c r="C29" s="2727">
        <v>232</v>
      </c>
      <c r="D29" s="2727">
        <f t="shared" si="29"/>
        <v>232</v>
      </c>
      <c r="E29" s="2695">
        <f t="shared" si="40"/>
        <v>375.65990977608692</v>
      </c>
      <c r="F29" s="2695">
        <f t="shared" si="40"/>
        <v>214.12518283971252</v>
      </c>
      <c r="G29" s="3743"/>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2597</v>
      </c>
      <c r="B30" s="2687">
        <v>275</v>
      </c>
      <c r="C30" s="2687">
        <v>232</v>
      </c>
      <c r="D30" s="2687">
        <f t="shared" si="29"/>
        <v>232</v>
      </c>
      <c r="E30" s="2687">
        <v>376</v>
      </c>
      <c r="F30" s="2688">
        <v>213</v>
      </c>
      <c r="G30" s="3741">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42">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742">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743">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2601</v>
      </c>
      <c r="B34" s="2687">
        <v>269</v>
      </c>
      <c r="C34" s="2687">
        <v>221</v>
      </c>
      <c r="D34" s="2687">
        <f t="shared" si="29"/>
        <v>221</v>
      </c>
      <c r="E34" s="2687">
        <v>373</v>
      </c>
      <c r="F34" s="2688">
        <v>196</v>
      </c>
      <c r="G34" s="3741">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42">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742">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743">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2605</v>
      </c>
      <c r="B38" s="2687">
        <v>220</v>
      </c>
      <c r="C38" s="2687">
        <v>187</v>
      </c>
      <c r="D38" s="2687">
        <f t="shared" si="29"/>
        <v>187</v>
      </c>
      <c r="E38" s="2687">
        <v>301</v>
      </c>
      <c r="F38" s="2688">
        <v>168</v>
      </c>
      <c r="G38" s="3741">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42">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742">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743">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2609</v>
      </c>
      <c r="B42" s="2725">
        <v>214</v>
      </c>
      <c r="C42" s="2725">
        <v>188</v>
      </c>
      <c r="D42" s="2725">
        <f t="shared" si="29"/>
        <v>188</v>
      </c>
      <c r="E42" s="2725">
        <v>289</v>
      </c>
      <c r="F42" s="2726">
        <v>166</v>
      </c>
      <c r="G42" s="3741">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42">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742">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743">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2613</v>
      </c>
      <c r="B46" s="2687">
        <v>188</v>
      </c>
      <c r="C46" s="2687">
        <v>165</v>
      </c>
      <c r="D46" s="2687">
        <f t="shared" si="29"/>
        <v>165</v>
      </c>
      <c r="E46" s="2687">
        <v>254</v>
      </c>
      <c r="F46" s="2688">
        <v>148</v>
      </c>
      <c r="G46" s="3741">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42">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742">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743">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2617</v>
      </c>
      <c r="B50" s="2709">
        <v>159</v>
      </c>
      <c r="C50" s="2709">
        <v>141</v>
      </c>
      <c r="D50" s="2709">
        <f t="shared" si="29"/>
        <v>141</v>
      </c>
      <c r="E50" s="2709">
        <v>195</v>
      </c>
      <c r="F50" s="2710">
        <v>122</v>
      </c>
      <c r="G50" s="3741">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42">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742">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743">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2621</v>
      </c>
      <c r="B54" s="2709">
        <v>138</v>
      </c>
      <c r="C54" s="2709">
        <v>131</v>
      </c>
      <c r="D54" s="2709">
        <f t="shared" si="29"/>
        <v>131</v>
      </c>
      <c r="E54" s="2709">
        <v>155</v>
      </c>
      <c r="F54" s="2710">
        <v>114</v>
      </c>
      <c r="G54" s="3741">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42">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742">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743">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2625</v>
      </c>
      <c r="B58" s="2725">
        <v>121</v>
      </c>
      <c r="C58" s="2725">
        <v>122</v>
      </c>
      <c r="D58" s="2725">
        <f t="shared" si="29"/>
        <v>122</v>
      </c>
      <c r="E58" s="2725">
        <v>124</v>
      </c>
      <c r="F58" s="2726">
        <v>107</v>
      </c>
      <c r="G58" s="3741">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42">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742">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743">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2629</v>
      </c>
      <c r="B62" s="2746">
        <v>111</v>
      </c>
      <c r="C62" s="2746">
        <v>114</v>
      </c>
      <c r="D62" s="2746">
        <f t="shared" si="29"/>
        <v>114</v>
      </c>
      <c r="E62" s="2746">
        <v>108</v>
      </c>
      <c r="F62" s="2747">
        <v>104</v>
      </c>
      <c r="G62" s="3741">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742">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742">
        <v>2003</v>
      </c>
      <c r="H64" s="2686">
        <v>2</v>
      </c>
      <c r="I64" s="2748"/>
      <c r="J64" s="2748"/>
      <c r="K64" s="2748"/>
      <c r="L64" s="2748"/>
      <c r="X64" s="2740"/>
      <c r="Y64" s="2740"/>
      <c r="Z64" s="2740"/>
    </row>
    <row r="65" spans="1:26" ht="13.5" thickBot="1">
      <c r="A65" s="2681" t="s">
        <v>2632</v>
      </c>
      <c r="B65" s="2750">
        <f t="shared" si="65"/>
        <v>107.25</v>
      </c>
      <c r="C65" s="2750">
        <f t="shared" si="65"/>
        <v>108.75</v>
      </c>
      <c r="D65" s="2750">
        <f t="shared" si="29"/>
        <v>108.75</v>
      </c>
      <c r="E65" s="2750">
        <f t="shared" si="66"/>
        <v>105.75</v>
      </c>
      <c r="F65" s="2750">
        <f t="shared" si="66"/>
        <v>102.5</v>
      </c>
      <c r="G65" s="3743">
        <v>2003</v>
      </c>
      <c r="H65" s="2751">
        <v>1</v>
      </c>
      <c r="I65" s="2748"/>
      <c r="J65" s="2748"/>
      <c r="K65" s="2748"/>
      <c r="L65" s="2748"/>
      <c r="S65" s="2690"/>
      <c r="T65" s="2691"/>
      <c r="U65" s="2691"/>
      <c r="X65" s="2740"/>
      <c r="Y65" s="2740"/>
      <c r="Z65" s="2740"/>
    </row>
    <row r="66" spans="1:26" ht="13.5" thickBot="1">
      <c r="A66" s="2681" t="s">
        <v>2633</v>
      </c>
      <c r="B66" s="2752">
        <v>106</v>
      </c>
      <c r="C66" s="2752">
        <v>107</v>
      </c>
      <c r="D66" s="2752">
        <f t="shared" si="29"/>
        <v>107</v>
      </c>
      <c r="E66" s="2752">
        <v>105</v>
      </c>
      <c r="F66" s="2753">
        <v>102</v>
      </c>
      <c r="G66" s="3741">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742">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742">
        <v>2002</v>
      </c>
      <c r="H68" s="2686">
        <v>2</v>
      </c>
      <c r="I68" s="2748"/>
      <c r="J68" s="2748"/>
      <c r="K68" s="2748"/>
      <c r="L68" s="2748"/>
      <c r="X68" s="2740"/>
      <c r="Y68" s="2740"/>
      <c r="Z68" s="2740"/>
    </row>
    <row r="69" spans="1:26" s="2717" customFormat="1" ht="13.5" thickBot="1">
      <c r="A69" s="2713" t="s">
        <v>2636</v>
      </c>
      <c r="B69" s="2754">
        <f t="shared" si="67"/>
        <v>103</v>
      </c>
      <c r="C69" s="2754">
        <f t="shared" si="67"/>
        <v>104</v>
      </c>
      <c r="D69" s="2754">
        <f t="shared" si="29"/>
        <v>104</v>
      </c>
      <c r="E69" s="2754">
        <f t="shared" si="68"/>
        <v>103.5</v>
      </c>
      <c r="F69" s="2754">
        <f t="shared" si="68"/>
        <v>100.5</v>
      </c>
      <c r="G69" s="3743">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5"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L50" sqref="L5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3202</v>
      </c>
      <c r="D1" s="3157" t="s">
        <v>3213</v>
      </c>
      <c r="E1" s="2412" t="s">
        <v>2379</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2"/>
      <c r="J3" s="1362"/>
      <c r="K3" s="1591"/>
      <c r="L3" s="1362"/>
      <c r="M3" s="1362"/>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2463</v>
      </c>
      <c r="C5" s="55" t="e">
        <f ca="1">C6+C10+C12</f>
        <v>#N/A</v>
      </c>
      <c r="D5" s="2521" t="s">
        <v>2466</v>
      </c>
      <c r="E5" s="2515"/>
      <c r="F5" s="2516"/>
      <c r="G5" s="1592"/>
      <c r="H5" s="781">
        <v>1</v>
      </c>
      <c r="I5" s="782" t="s">
        <v>2463</v>
      </c>
      <c r="J5" s="55" t="e">
        <f ca="1">J6+J10+J12</f>
        <v>#N/A</v>
      </c>
      <c r="K5" s="2521" t="s">
        <v>2466</v>
      </c>
      <c r="L5" s="2515"/>
      <c r="M5" s="2516"/>
    </row>
    <row r="6" spans="1:33" ht="18" customHeight="1">
      <c r="A6" s="1831" t="s">
        <v>1826</v>
      </c>
      <c r="B6" s="3735" t="s">
        <v>2468</v>
      </c>
      <c r="C6" s="783" t="e">
        <f ca="1">ROUND(F6*F8*F7*(1-F9)/10000,0)</f>
        <v>#N/A</v>
      </c>
      <c r="D6" s="2522" t="s">
        <v>2467</v>
      </c>
      <c r="E6" s="784" t="s">
        <v>1740</v>
      </c>
      <c r="F6" s="785" t="e">
        <f ca="1">INDIRECT("'数据-取费表'!u"&amp;$G$1)</f>
        <v>#N/A</v>
      </c>
      <c r="G6" s="1592"/>
      <c r="H6" s="2529" t="s">
        <v>2474</v>
      </c>
      <c r="I6" s="3735" t="s">
        <v>2468</v>
      </c>
      <c r="J6" s="783" t="e">
        <f ca="1">ROUND(M6*M8*M7*(1-M9)/10000,0)</f>
        <v>#N/A</v>
      </c>
      <c r="K6" s="341" t="s">
        <v>1739</v>
      </c>
      <c r="L6" s="784" t="s">
        <v>1740</v>
      </c>
      <c r="M6" s="785" t="e">
        <f ca="1">INDIRECT("'数据-取费表'!z"&amp;$G$1)</f>
        <v>#N/A</v>
      </c>
    </row>
    <row r="7" spans="1:33" ht="18" customHeight="1">
      <c r="A7" s="2525"/>
      <c r="B7" s="3736"/>
      <c r="C7" s="788"/>
      <c r="D7" s="789"/>
      <c r="E7" s="784" t="s">
        <v>1741</v>
      </c>
      <c r="F7" s="785" t="e">
        <f ca="1">IF(INDIRECT("'数据-取费表'!ah"&amp;$G$1)="",INDIRECT("'数据-取费表'!k"&amp;$G$1),INDIRECT("'数据-取费表'!ah"&amp;$G$1))</f>
        <v>#N/A</v>
      </c>
      <c r="G7" s="1592"/>
      <c r="H7" s="2514"/>
      <c r="I7" s="3736"/>
      <c r="J7" s="788"/>
      <c r="K7" s="789"/>
      <c r="L7" s="784" t="s">
        <v>1741</v>
      </c>
      <c r="M7" s="785" t="e">
        <f ca="1">F7</f>
        <v>#N/A</v>
      </c>
    </row>
    <row r="8" spans="1:33" ht="18" customHeight="1">
      <c r="A8" s="2518"/>
      <c r="B8" s="3737"/>
      <c r="C8" s="788"/>
      <c r="D8" s="789"/>
      <c r="E8" s="784" t="s">
        <v>1742</v>
      </c>
      <c r="F8" s="785" t="e">
        <f ca="1">INDIRECT("'数据-取费表'!ai"&amp;$G$1)</f>
        <v>#N/A</v>
      </c>
      <c r="G8" s="1592"/>
      <c r="H8" s="2514"/>
      <c r="I8" s="3737"/>
      <c r="J8" s="788"/>
      <c r="K8" s="789"/>
      <c r="L8" s="784" t="s">
        <v>1742</v>
      </c>
      <c r="M8" s="785" t="e">
        <f ca="1">INDIRECT("'数据-取费表'!ai"&amp;$G$1)</f>
        <v>#N/A</v>
      </c>
    </row>
    <row r="9" spans="1:33" ht="18" customHeight="1">
      <c r="A9" s="786"/>
      <c r="B9" s="3738"/>
      <c r="C9" s="788"/>
      <c r="D9" s="789"/>
      <c r="E9" s="784" t="s">
        <v>1743</v>
      </c>
      <c r="F9" s="794" t="e">
        <f ca="1">INDIRECT("'数据-取费表'!w"&amp;$G$1)</f>
        <v>#N/A</v>
      </c>
      <c r="G9" s="1592"/>
      <c r="H9" s="2530"/>
      <c r="I9" s="3737"/>
      <c r="J9" s="788"/>
      <c r="K9" s="789"/>
      <c r="L9" s="795" t="s">
        <v>1743</v>
      </c>
      <c r="M9" s="796" t="e">
        <f ca="1">INDIRECT("'数据-取费表'!ab"&amp;$G$1)</f>
        <v>#N/A</v>
      </c>
    </row>
    <row r="10" spans="1:33" ht="18" customHeight="1">
      <c r="A10" s="1831" t="s">
        <v>2472</v>
      </c>
      <c r="B10" s="2519" t="s">
        <v>2464</v>
      </c>
      <c r="C10" s="799" t="e">
        <f ca="1">ROUND(IF(F10="押一",F6*F8*F7/12*F11,IF(F10="押二",F6*F8*F7/12*2*F11,IF(F10="押三",F6*F8*F7/12*3*F11,C11*F11)))/10000,0)</f>
        <v>#N/A</v>
      </c>
      <c r="D10" s="2526" t="s">
        <v>2471</v>
      </c>
      <c r="E10" s="2523" t="s">
        <v>2469</v>
      </c>
      <c r="F10" s="2646" t="s">
        <v>3214</v>
      </c>
      <c r="G10" s="1592"/>
      <c r="H10" s="2586" t="s">
        <v>2475</v>
      </c>
      <c r="I10" s="2591" t="s">
        <v>2464</v>
      </c>
      <c r="J10" s="783">
        <f ca="1">ROUND(IF(M10="押一",M6*M8*M7/12*M11,IF(M10="押二",M6*M8*M7/12*2*M11,IF(M10="押三",M6*M8*M7/12*3*M11,J11*M11)))/10000,0)</f>
        <v>0</v>
      </c>
      <c r="K10" s="2526" t="s">
        <v>2471</v>
      </c>
      <c r="L10" s="2523" t="s">
        <v>2469</v>
      </c>
      <c r="M10" s="2646"/>
    </row>
    <row r="11" spans="1:33" ht="18" customHeight="1">
      <c r="A11" s="790"/>
      <c r="B11" s="2520" t="s">
        <v>2579</v>
      </c>
      <c r="C11" s="2524"/>
      <c r="D11" s="789"/>
      <c r="E11" s="2523" t="s">
        <v>2470</v>
      </c>
      <c r="F11" s="796">
        <f ca="1">'数据-取费表'!B39</f>
        <v>1.4999999999999999E-2</v>
      </c>
      <c r="G11" s="1592"/>
      <c r="H11" s="2587"/>
      <c r="I11" s="2520" t="s">
        <v>2579</v>
      </c>
      <c r="J11" s="2524"/>
      <c r="K11" s="2588"/>
      <c r="L11" s="2523" t="s">
        <v>2470</v>
      </c>
      <c r="M11" s="2517">
        <f ca="1">'数据-取费表'!B39</f>
        <v>1.4999999999999999E-2</v>
      </c>
    </row>
    <row r="12" spans="1:33" ht="18" customHeight="1" thickBot="1">
      <c r="A12" s="2562" t="s">
        <v>2473</v>
      </c>
      <c r="B12" s="2563" t="s">
        <v>2465</v>
      </c>
      <c r="C12" s="2564"/>
      <c r="D12" s="2565"/>
      <c r="E12" s="2566"/>
      <c r="F12" s="2567"/>
      <c r="G12" s="1592"/>
      <c r="H12" s="2576" t="s">
        <v>2476</v>
      </c>
      <c r="I12" s="2589" t="s">
        <v>2465</v>
      </c>
      <c r="J12" s="2590"/>
      <c r="K12" s="2565"/>
      <c r="L12" s="2566"/>
      <c r="M12" s="2579"/>
    </row>
    <row r="13" spans="1:33" ht="18" customHeight="1" thickTop="1">
      <c r="A13" s="1830">
        <v>2</v>
      </c>
      <c r="B13" s="1828" t="s">
        <v>1744</v>
      </c>
      <c r="C13" s="792" t="e">
        <f ca="1">ROUND(C29*F13,0)</f>
        <v>#N/A</v>
      </c>
      <c r="D13" s="1835" t="s">
        <v>2301</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2831</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0.03</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6</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2302</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2541</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3</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1.4E-3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2827</v>
      </c>
      <c r="J25" s="792" t="e">
        <f ca="1">J5-J16</f>
        <v>#N/A</v>
      </c>
      <c r="K25" s="2573" t="s">
        <v>1779</v>
      </c>
      <c r="L25" s="2574"/>
      <c r="M25" s="2575"/>
    </row>
    <row r="26" spans="1:33" ht="18" customHeight="1">
      <c r="A26" s="1648" t="s">
        <v>1833</v>
      </c>
      <c r="B26" s="784" t="s">
        <v>2443</v>
      </c>
      <c r="C26" s="53" t="e">
        <f ca="1">ROUND((C19+C20)*F26,0)</f>
        <v>#N/A</v>
      </c>
      <c r="D26" s="812" t="s">
        <v>1780</v>
      </c>
      <c r="E26" s="795" t="s">
        <v>1781</v>
      </c>
      <c r="F26" s="794" t="e">
        <f ca="1">INDIRECT("'数据-取费表'!q"&amp;$G$1)</f>
        <v>#N/A</v>
      </c>
      <c r="G26" s="1592"/>
      <c r="H26" s="2527" t="s">
        <v>1782</v>
      </c>
      <c r="I26" s="2233" t="s">
        <v>2832</v>
      </c>
      <c r="J26" s="783" t="e">
        <f ca="1">IF(J5&lt;&gt;0,ROUND(J25*(1-((1+M28)/(1+M26))^M27)/(M26-M28),0),0)</f>
        <v>#N/A</v>
      </c>
      <c r="K26" s="814" t="s">
        <v>1783</v>
      </c>
      <c r="L26" s="784" t="s">
        <v>2424</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5.2400000000000002E-2</v>
      </c>
      <c r="D28" s="812" t="s">
        <v>2303</v>
      </c>
      <c r="E28" s="784" t="s">
        <v>1787</v>
      </c>
      <c r="F28" s="809">
        <f>'数据-取费表'!B41</f>
        <v>5.5000000000000007E-2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5.5000000000000007E-2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6</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6" t="s">
        <v>2827</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2305</v>
      </c>
      <c r="C40" s="783" t="e">
        <f ca="1">ROUND(C39*(1-((1+F42)/(1+F40))^F41)/(F40-F42),0)</f>
        <v>#N/A</v>
      </c>
      <c r="D40" s="814" t="s">
        <v>1809</v>
      </c>
      <c r="E40" s="784" t="s">
        <v>2424</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2973</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3215</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2543</v>
      </c>
      <c r="B48" s="2669" t="s">
        <v>2544</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6"/>
      <c r="B49" s="787"/>
      <c r="C49" s="788"/>
      <c r="D49" s="789"/>
      <c r="E49" s="784" t="s">
        <v>1741</v>
      </c>
      <c r="F49" s="785" t="e">
        <f ca="1">F7</f>
        <v>#N/A</v>
      </c>
      <c r="G49" s="2091"/>
      <c r="H49" s="2094"/>
      <c r="I49" s="2384" t="s">
        <v>2350</v>
      </c>
      <c r="J49" s="2394">
        <v>2020</v>
      </c>
      <c r="K49" s="2395" t="s">
        <v>2357</v>
      </c>
      <c r="L49" s="2396">
        <f>'比较法-住宅、综合'!C50</f>
        <v>2884</v>
      </c>
      <c r="O49" s="2423" t="s">
        <v>2386</v>
      </c>
      <c r="P49" s="2424" t="s">
        <v>2411</v>
      </c>
      <c r="Q49" s="2425" t="e">
        <f ca="1">J60</f>
        <v>#N/A</v>
      </c>
      <c r="R49" s="2424" t="s">
        <v>2387</v>
      </c>
    </row>
    <row r="50" spans="1:18" s="2060" customFormat="1" ht="18" customHeight="1" thickBot="1">
      <c r="A50" s="786"/>
      <c r="B50" s="787"/>
      <c r="C50" s="788"/>
      <c r="D50" s="789"/>
      <c r="E50" s="784" t="s">
        <v>1742</v>
      </c>
      <c r="F50" s="785"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6"/>
      <c r="B51" s="787"/>
      <c r="C51" s="788"/>
      <c r="D51" s="789"/>
      <c r="E51" s="784"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1" t="s">
        <v>2542</v>
      </c>
      <c r="B52" s="2519" t="s">
        <v>2464</v>
      </c>
      <c r="C52" s="799">
        <f ca="1">ROUND(IF(F52="押一",F48*F50*F49/12*F11,IF(F52="押二",F48*F50*F49/12*2*F11,IF(F52="押三",F48*F50*F49/12*3*F11,C53*F11)))/10000,0)</f>
        <v>0</v>
      </c>
      <c r="D52" s="2526" t="s">
        <v>2471</v>
      </c>
      <c r="E52" s="2523" t="s">
        <v>2469</v>
      </c>
      <c r="F52" s="2646"/>
      <c r="I52" s="2386" t="s">
        <v>2426</v>
      </c>
      <c r="J52" s="2400">
        <v>0.09</v>
      </c>
      <c r="K52" s="2386" t="s">
        <v>2425</v>
      </c>
      <c r="L52" s="2400"/>
      <c r="O52" s="2426" t="s">
        <v>2391</v>
      </c>
      <c r="P52" s="2424" t="s">
        <v>2392</v>
      </c>
      <c r="Q52" s="2427">
        <f>J52</f>
        <v>0.09</v>
      </c>
      <c r="R52" s="2428"/>
    </row>
    <row r="53" spans="1:18" s="2060" customFormat="1" ht="39.75" customHeight="1" thickBot="1">
      <c r="A53" s="786"/>
      <c r="B53" s="2520" t="s">
        <v>2579</v>
      </c>
      <c r="C53" s="2524"/>
      <c r="D53" s="2526"/>
      <c r="E53" s="2523"/>
      <c r="F53" s="800"/>
      <c r="I53" s="2387" t="s">
        <v>2353</v>
      </c>
      <c r="J53" s="2401" t="e">
        <f ca="1">IF(M47="住宅",J51,IF(D1="——",MIN(J51,L48),IF(D1="土地（套用方法）",MIN(J51,L48-'数据-取费表'!B20))))</f>
        <v>#N/A</v>
      </c>
      <c r="K53" s="3751" t="s">
        <v>2975</v>
      </c>
      <c r="L53" s="3752"/>
      <c r="O53" s="2426" t="s">
        <v>2393</v>
      </c>
      <c r="P53" s="2424" t="s">
        <v>2394</v>
      </c>
      <c r="Q53" s="2425" t="e">
        <f ca="1">J53</f>
        <v>#N/A</v>
      </c>
      <c r="R53" s="2424" t="s">
        <v>2395</v>
      </c>
    </row>
    <row r="54" spans="1:18" s="2060" customFormat="1" ht="18" customHeight="1" thickBot="1">
      <c r="A54" s="2562" t="s">
        <v>2473</v>
      </c>
      <c r="B54" s="2563" t="s">
        <v>2465</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7">
        <v>2</v>
      </c>
      <c r="B55" s="798" t="s">
        <v>645</v>
      </c>
      <c r="C55" s="799" t="e">
        <f ca="1">C13</f>
        <v>#N/A</v>
      </c>
      <c r="D55" s="795"/>
      <c r="E55" s="795"/>
      <c r="F55" s="800"/>
      <c r="I55" s="3128" t="s">
        <v>2360</v>
      </c>
      <c r="J55" s="3127" t="e">
        <f ca="1">ROUND(IF(J47="钢混",J57/J50,1-(1-2%)*(J50-J57)/J50),3)</f>
        <v>#N/A</v>
      </c>
      <c r="K55" s="2402" t="s">
        <v>2361</v>
      </c>
      <c r="L55" s="2403"/>
      <c r="O55" s="2429" t="s">
        <v>2416</v>
      </c>
      <c r="P55" s="1592"/>
      <c r="Q55" s="1604"/>
      <c r="R55" s="1592"/>
    </row>
    <row r="56" spans="1:18" s="2060" customFormat="1" ht="42.75" customHeight="1" thickBot="1">
      <c r="A56" s="1650"/>
      <c r="B56" s="2232" t="s">
        <v>2306</v>
      </c>
      <c r="C56" s="53" t="e">
        <f ca="1">C29</f>
        <v>#N/A</v>
      </c>
      <c r="D56" s="2665"/>
      <c r="E56" s="784"/>
      <c r="F56" s="809"/>
      <c r="I56" s="2404" t="s">
        <v>2362</v>
      </c>
      <c r="J56" s="3151" t="s">
        <v>1680</v>
      </c>
      <c r="K56" s="2384" t="s">
        <v>2367</v>
      </c>
      <c r="L56" s="2393" t="e">
        <f ca="1">IF(L48&lt;J51,"——",L48-J51)</f>
        <v>#N/A</v>
      </c>
      <c r="O56" s="2420" t="s">
        <v>2380</v>
      </c>
      <c r="P56" s="2421" t="s">
        <v>2381</v>
      </c>
      <c r="Q56" s="2422" t="s">
        <v>2382</v>
      </c>
      <c r="R56" s="2421" t="s">
        <v>2383</v>
      </c>
    </row>
    <row r="57" spans="1:18" s="2060" customFormat="1" ht="28.5" customHeight="1" thickBot="1">
      <c r="A57" s="797" t="s">
        <v>1750</v>
      </c>
      <c r="B57" s="798" t="s">
        <v>652</v>
      </c>
      <c r="C57" s="799" t="e">
        <f ca="1">ROUND(C58+C63+C64+C65,0)</f>
        <v>#N/A</v>
      </c>
      <c r="D57" s="26" t="s">
        <v>1752</v>
      </c>
      <c r="E57" s="2666"/>
      <c r="F57" s="56"/>
      <c r="I57" s="2405" t="s">
        <v>2363</v>
      </c>
      <c r="J57" s="2407" t="e">
        <f ca="1">IF(OR(M47="住宅",J51&lt;L48,J56="是"),"——",J51-L48)</f>
        <v>#N/A</v>
      </c>
      <c r="K57" s="2384" t="s">
        <v>2368</v>
      </c>
      <c r="L57" s="2393" t="e">
        <f ca="1">IF(L48&lt;J51,"——",IF(L55="比较法",L49,IF(L55="基准地价",L50,L51)))</f>
        <v>#N/A</v>
      </c>
      <c r="O57" s="2423" t="s">
        <v>2384</v>
      </c>
      <c r="P57" s="2424" t="s">
        <v>2414</v>
      </c>
      <c r="Q57" s="2425" t="e">
        <f ca="1">C40+J29</f>
        <v>#N/A</v>
      </c>
      <c r="R57" s="2424" t="s">
        <v>2385</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2364</v>
      </c>
      <c r="J58" s="3129"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4" t="s">
        <v>661</v>
      </c>
      <c r="C59" s="53" t="e">
        <f ca="1">ROUND(C47*F59/1.05,1)</f>
        <v>#N/A</v>
      </c>
      <c r="D59" s="2665" t="s">
        <v>1758</v>
      </c>
      <c r="E59" s="784" t="s">
        <v>1749</v>
      </c>
      <c r="F59" s="809">
        <f t="shared" ref="F59:F65" si="0">F32</f>
        <v>5.5000000000000007E-2</v>
      </c>
      <c r="I59" s="2405" t="s">
        <v>2365</v>
      </c>
      <c r="J59" s="2407"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1" t="s">
        <v>669</v>
      </c>
      <c r="C61" s="54" t="e">
        <f ca="1">ROUND(F61*F62/10000,1)</f>
        <v>#N/A</v>
      </c>
      <c r="D61" s="814" t="s">
        <v>670</v>
      </c>
      <c r="E61" s="784" t="s">
        <v>671</v>
      </c>
      <c r="F61" s="640">
        <f t="shared" si="0"/>
        <v>6</v>
      </c>
      <c r="K61" s="2087"/>
      <c r="O61" s="2426" t="s">
        <v>2391</v>
      </c>
      <c r="P61" s="2424" t="s">
        <v>2399</v>
      </c>
      <c r="Q61" s="2425" t="e">
        <f ca="1">L58</f>
        <v>#N/A</v>
      </c>
      <c r="R61" s="2428" t="s">
        <v>2400</v>
      </c>
    </row>
    <row r="62" spans="1:18" s="2060" customFormat="1" ht="15.75" thickBot="1">
      <c r="A62" s="815"/>
      <c r="B62" s="793"/>
      <c r="C62" s="69"/>
      <c r="D62" s="816"/>
      <c r="E62" s="784" t="s">
        <v>675</v>
      </c>
      <c r="F62" s="785" t="e">
        <f t="shared" ca="1" si="0"/>
        <v>#N/A</v>
      </c>
      <c r="I62" s="2410" t="s">
        <v>2372</v>
      </c>
      <c r="J62" s="2411" t="s">
        <v>2373</v>
      </c>
      <c r="K62" s="2411" t="s">
        <v>2374</v>
      </c>
      <c r="L62" s="2411" t="s">
        <v>2355</v>
      </c>
      <c r="M62" s="3130" t="s">
        <v>2950</v>
      </c>
      <c r="O62" s="2426" t="s">
        <v>2393</v>
      </c>
      <c r="P62" s="2424" t="str">
        <f>K59</f>
        <v>建设期及建筑物耐用年限下的土地年期修正系数Kn</v>
      </c>
      <c r="Q62" s="2425" t="e">
        <f ca="1">L59</f>
        <v>#N/A</v>
      </c>
      <c r="R62" s="2428" t="s">
        <v>2402</v>
      </c>
    </row>
    <row r="63" spans="1:18" s="2060" customFormat="1" ht="15.75" thickBot="1">
      <c r="A63" s="1649" t="s">
        <v>1891</v>
      </c>
      <c r="B63" s="784" t="s">
        <v>677</v>
      </c>
      <c r="C63" s="53" t="e">
        <f ca="1">ROUND(C56*F63,1)</f>
        <v>#N/A</v>
      </c>
      <c r="D63" s="2665" t="s">
        <v>1805</v>
      </c>
      <c r="E63" s="784" t="s">
        <v>1749</v>
      </c>
      <c r="F63" s="817" t="e">
        <f t="shared" ca="1" si="0"/>
        <v>#N/A</v>
      </c>
      <c r="I63" s="2410" t="s">
        <v>2375</v>
      </c>
      <c r="J63" s="2411">
        <v>70</v>
      </c>
      <c r="K63" s="2411">
        <v>50</v>
      </c>
      <c r="L63" s="2411">
        <v>80</v>
      </c>
      <c r="M63" s="3131">
        <v>0.02</v>
      </c>
      <c r="O63" s="2423" t="s">
        <v>2396</v>
      </c>
      <c r="P63" s="2424" t="s">
        <v>2413</v>
      </c>
      <c r="Q63" s="2425" t="e">
        <f ca="1">Q57+Q58</f>
        <v>#N/A</v>
      </c>
      <c r="R63" s="2428" t="s">
        <v>2397</v>
      </c>
    </row>
    <row r="64" spans="1:18" s="2060" customFormat="1" ht="16.5" thickBot="1">
      <c r="A64" s="1649" t="s">
        <v>1892</v>
      </c>
      <c r="B64" s="784" t="s">
        <v>680</v>
      </c>
      <c r="C64" s="53" t="e">
        <f ca="1">ROUND(C55*F64,1)</f>
        <v>#N/A</v>
      </c>
      <c r="D64" s="2665" t="s">
        <v>681</v>
      </c>
      <c r="E64" s="784" t="s">
        <v>1749</v>
      </c>
      <c r="F64" s="818" t="e">
        <f t="shared" ca="1" si="0"/>
        <v>#N/A</v>
      </c>
      <c r="I64" s="2410" t="s">
        <v>2376</v>
      </c>
      <c r="J64" s="2411">
        <v>50</v>
      </c>
      <c r="K64" s="2411">
        <v>35</v>
      </c>
      <c r="L64" s="2411">
        <v>60</v>
      </c>
      <c r="M64" s="3132">
        <v>0</v>
      </c>
      <c r="O64" s="2429" t="s">
        <v>2420</v>
      </c>
      <c r="P64" s="1592"/>
      <c r="Q64" s="1604"/>
      <c r="R64" s="1592"/>
    </row>
    <row r="65" spans="1:18" s="2060" customFormat="1" ht="15.75" thickBot="1">
      <c r="A65" s="1649" t="s">
        <v>1893</v>
      </c>
      <c r="B65" s="784" t="s">
        <v>667</v>
      </c>
      <c r="C65" s="53" t="e">
        <f ca="1">ROUND(C47*F65,1)</f>
        <v>#N/A</v>
      </c>
      <c r="D65" s="2665" t="s">
        <v>684</v>
      </c>
      <c r="E65" s="784" t="s">
        <v>1749</v>
      </c>
      <c r="F65" s="794" t="e">
        <f t="shared" ca="1" si="0"/>
        <v>#N/A</v>
      </c>
      <c r="I65" s="2410" t="s">
        <v>2377</v>
      </c>
      <c r="J65" s="2411">
        <v>40</v>
      </c>
      <c r="K65" s="2411">
        <v>30</v>
      </c>
      <c r="L65" s="2411">
        <v>50</v>
      </c>
      <c r="M65" s="3131">
        <v>0.02</v>
      </c>
      <c r="O65" s="2420" t="s">
        <v>2380</v>
      </c>
      <c r="P65" s="2421" t="s">
        <v>2381</v>
      </c>
      <c r="Q65" s="2422" t="s">
        <v>2382</v>
      </c>
      <c r="R65" s="2421" t="s">
        <v>2383</v>
      </c>
    </row>
    <row r="66" spans="1:18" s="2060" customFormat="1" ht="24.75" thickBot="1">
      <c r="A66" s="797" t="s">
        <v>1778</v>
      </c>
      <c r="B66" s="3037" t="s">
        <v>2827</v>
      </c>
      <c r="C66" s="799" t="e">
        <f ca="1">C47-C57</f>
        <v>#N/A</v>
      </c>
      <c r="D66" s="2664" t="s">
        <v>701</v>
      </c>
      <c r="E66" s="2663"/>
      <c r="F66" s="820"/>
      <c r="K66" s="2087"/>
      <c r="O66" s="2423" t="s">
        <v>2384</v>
      </c>
      <c r="P66" s="2424" t="s">
        <v>2414</v>
      </c>
      <c r="Q66" s="2425" t="e">
        <f ca="1">C40+J29</f>
        <v>#N/A</v>
      </c>
      <c r="R66" s="2424" t="s">
        <v>2385</v>
      </c>
    </row>
    <row r="67" spans="1:18" s="2060" customFormat="1" ht="20.25" thickBot="1">
      <c r="A67" s="781" t="s">
        <v>1782</v>
      </c>
      <c r="B67" s="2233" t="s">
        <v>2305</v>
      </c>
      <c r="C67" s="783" t="e">
        <f ca="1">ROUND(C66*(1-((1+F69)/(1+F67))^F68)/(F67-F69),0)</f>
        <v>#N/A</v>
      </c>
      <c r="D67" s="814" t="s">
        <v>705</v>
      </c>
      <c r="E67" s="784" t="s">
        <v>706</v>
      </c>
      <c r="F67" s="794" t="e">
        <f ca="1">F40</f>
        <v>#N/A</v>
      </c>
      <c r="K67" s="2087"/>
      <c r="O67" s="2423" t="s">
        <v>2386</v>
      </c>
      <c r="P67" s="2424" t="s">
        <v>2417</v>
      </c>
      <c r="Q67" s="2425" t="e">
        <f ca="1">L60</f>
        <v>#N/A</v>
      </c>
      <c r="R67" s="2428" t="s">
        <v>2419</v>
      </c>
    </row>
    <row r="68" spans="1:18" ht="21.75" thickBot="1">
      <c r="A68" s="786"/>
      <c r="B68" s="787"/>
      <c r="C68" s="788"/>
      <c r="D68" s="821" t="s">
        <v>1810</v>
      </c>
      <c r="E68" s="784" t="s">
        <v>1786</v>
      </c>
      <c r="F68" s="822" t="e">
        <f ca="1">F41</f>
        <v>#N/A</v>
      </c>
      <c r="O68" s="2426" t="s">
        <v>2388</v>
      </c>
      <c r="P68" s="2424" t="s">
        <v>2418</v>
      </c>
      <c r="Q68" s="2430" t="e">
        <f ca="1">L51</f>
        <v>#N/A</v>
      </c>
      <c r="R68" s="2431" t="s">
        <v>2421</v>
      </c>
    </row>
    <row r="69" spans="1:18" ht="20.25" thickBot="1">
      <c r="A69" s="790"/>
      <c r="B69" s="791"/>
      <c r="C69" s="792"/>
      <c r="D69" s="816"/>
      <c r="E69" s="784" t="s">
        <v>711</v>
      </c>
      <c r="F69" s="2372"/>
      <c r="O69" s="2426" t="s">
        <v>2389</v>
      </c>
      <c r="P69" s="2432" t="s">
        <v>2403</v>
      </c>
      <c r="Q69" s="2425" t="e">
        <f ca="1">ROUND(Q70-Q71*Q72,0)</f>
        <v>#N/A</v>
      </c>
      <c r="R69" s="2428"/>
    </row>
    <row r="70" spans="1:18" ht="15.75" thickBot="1">
      <c r="A70" s="823" t="s">
        <v>1789</v>
      </c>
      <c r="B70" s="824" t="s">
        <v>1812</v>
      </c>
      <c r="C70" s="825" t="e">
        <f ca="1">ROUND(C67*10000/F70,0)</f>
        <v>#N/A</v>
      </c>
      <c r="D70" s="826" t="s">
        <v>1813</v>
      </c>
      <c r="E70" s="827" t="s">
        <v>1814</v>
      </c>
      <c r="F70" s="828"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33" sqref="H33"/>
    </sheetView>
  </sheetViews>
  <sheetFormatPr defaultRowHeight="13.5"/>
  <cols>
    <col min="1" max="1" width="10.5" customWidth="1"/>
    <col min="2" max="2" width="12.875" customWidth="1"/>
    <col min="3" max="3" width="8.75" customWidth="1"/>
  </cols>
  <sheetData>
    <row r="1" spans="1:9" ht="14.25">
      <c r="A1" s="3753" t="s">
        <v>2477</v>
      </c>
      <c r="B1" s="3754"/>
      <c r="C1" s="3755"/>
      <c r="D1" s="3756">
        <f>SUM(I10,I15,I20,I21,I23)</f>
        <v>0</v>
      </c>
      <c r="E1" s="3756"/>
      <c r="F1" s="3756"/>
      <c r="G1" s="3756"/>
      <c r="H1" s="3756"/>
      <c r="I1" s="3757"/>
    </row>
    <row r="2" spans="1:9">
      <c r="A2" s="3758" t="s">
        <v>2478</v>
      </c>
      <c r="B2" s="3759" t="s">
        <v>2479</v>
      </c>
      <c r="C2" s="3759"/>
      <c r="D2" s="2532" t="s">
        <v>2480</v>
      </c>
      <c r="E2" s="2532" t="s">
        <v>2481</v>
      </c>
      <c r="F2" s="2532" t="s">
        <v>2482</v>
      </c>
      <c r="G2" s="2532" t="s">
        <v>2483</v>
      </c>
      <c r="H2" s="2532" t="s">
        <v>2484</v>
      </c>
      <c r="I2" s="2533" t="s">
        <v>2485</v>
      </c>
    </row>
    <row r="3" spans="1:9">
      <c r="A3" s="3758"/>
      <c r="B3" s="3759" t="s">
        <v>2486</v>
      </c>
      <c r="C3" s="3759"/>
      <c r="D3" s="2534"/>
      <c r="E3" s="2532"/>
      <c r="F3" s="2535"/>
      <c r="G3" s="2535"/>
      <c r="H3" s="2536"/>
      <c r="I3" s="2537">
        <f>ROUND(D3*E3*F3*G3*H3/10000,0)</f>
        <v>0</v>
      </c>
    </row>
    <row r="4" spans="1:9">
      <c r="A4" s="3758"/>
      <c r="B4" s="3759" t="s">
        <v>2487</v>
      </c>
      <c r="C4" s="3759"/>
      <c r="D4" s="2534"/>
      <c r="E4" s="2532"/>
      <c r="F4" s="2535"/>
      <c r="G4" s="2535"/>
      <c r="H4" s="2536"/>
      <c r="I4" s="2537">
        <f t="shared" ref="I4:I9" si="0">ROUND(D4*E4*F4*G4*H4/10000,0)</f>
        <v>0</v>
      </c>
    </row>
    <row r="5" spans="1:9">
      <c r="A5" s="3758"/>
      <c r="B5" s="3759" t="s">
        <v>2488</v>
      </c>
      <c r="C5" s="3759"/>
      <c r="D5" s="2534"/>
      <c r="E5" s="2532"/>
      <c r="F5" s="2535"/>
      <c r="G5" s="2535"/>
      <c r="H5" s="2536"/>
      <c r="I5" s="2537">
        <f t="shared" si="0"/>
        <v>0</v>
      </c>
    </row>
    <row r="6" spans="1:9">
      <c r="A6" s="3758"/>
      <c r="B6" s="3759" t="s">
        <v>2489</v>
      </c>
      <c r="C6" s="3759"/>
      <c r="D6" s="2534"/>
      <c r="E6" s="2532"/>
      <c r="F6" s="2535"/>
      <c r="G6" s="2535"/>
      <c r="H6" s="2536"/>
      <c r="I6" s="2537">
        <f t="shared" si="0"/>
        <v>0</v>
      </c>
    </row>
    <row r="7" spans="1:9">
      <c r="A7" s="3758"/>
      <c r="B7" s="3759" t="s">
        <v>2490</v>
      </c>
      <c r="C7" s="3759"/>
      <c r="D7" s="2534"/>
      <c r="E7" s="2532"/>
      <c r="F7" s="2535"/>
      <c r="G7" s="2535"/>
      <c r="H7" s="2536"/>
      <c r="I7" s="2537">
        <f t="shared" si="0"/>
        <v>0</v>
      </c>
    </row>
    <row r="8" spans="1:9">
      <c r="A8" s="3758"/>
      <c r="B8" s="3759" t="s">
        <v>2491</v>
      </c>
      <c r="C8" s="3759"/>
      <c r="D8" s="2534"/>
      <c r="E8" s="2532"/>
      <c r="F8" s="2535"/>
      <c r="G8" s="2535"/>
      <c r="H8" s="2536"/>
      <c r="I8" s="2537">
        <f t="shared" si="0"/>
        <v>0</v>
      </c>
    </row>
    <row r="9" spans="1:9">
      <c r="A9" s="3758"/>
      <c r="B9" s="3759" t="s">
        <v>2492</v>
      </c>
      <c r="C9" s="3759"/>
      <c r="D9" s="2534"/>
      <c r="E9" s="2532"/>
      <c r="F9" s="2535"/>
      <c r="G9" s="2535"/>
      <c r="H9" s="2536"/>
      <c r="I9" s="2537">
        <f t="shared" si="0"/>
        <v>0</v>
      </c>
    </row>
    <row r="10" spans="1:9">
      <c r="A10" s="3758"/>
      <c r="B10" s="3760" t="s">
        <v>2493</v>
      </c>
      <c r="C10" s="3760"/>
      <c r="D10" s="2538">
        <v>527</v>
      </c>
      <c r="E10" s="2538" t="e">
        <f>ROUND(D1*10000/D10/H9,0)</f>
        <v>#DIV/0!</v>
      </c>
      <c r="F10" s="2539"/>
      <c r="G10" s="2539"/>
      <c r="H10" s="2540"/>
      <c r="I10" s="2541">
        <f>SUM(I3:I9)</f>
        <v>0</v>
      </c>
    </row>
    <row r="11" spans="1:9" ht="14.25">
      <c r="A11" s="3758" t="s">
        <v>2494</v>
      </c>
      <c r="B11" s="3759" t="s">
        <v>2495</v>
      </c>
      <c r="C11" s="3759"/>
      <c r="D11" s="2534" t="s">
        <v>2496</v>
      </c>
      <c r="E11" s="2534" t="s">
        <v>2497</v>
      </c>
      <c r="F11" s="2535" t="s">
        <v>2498</v>
      </c>
      <c r="G11" s="2535" t="s">
        <v>2499</v>
      </c>
      <c r="H11" s="2542" t="s">
        <v>2500</v>
      </c>
      <c r="I11" s="2533" t="s">
        <v>2501</v>
      </c>
    </row>
    <row r="12" spans="1:9">
      <c r="A12" s="3758"/>
      <c r="B12" s="3759" t="s">
        <v>2502</v>
      </c>
      <c r="C12" s="3759"/>
      <c r="D12" s="2534"/>
      <c r="E12" s="2534"/>
      <c r="F12" s="2535"/>
      <c r="G12" s="2536"/>
      <c r="H12" s="2543"/>
      <c r="I12" s="2533">
        <f>ROUND(D12*E12*F12*G12/10000,0)</f>
        <v>0</v>
      </c>
    </row>
    <row r="13" spans="1:9">
      <c r="A13" s="3758"/>
      <c r="B13" s="3759" t="s">
        <v>2503</v>
      </c>
      <c r="C13" s="3759"/>
      <c r="D13" s="2534"/>
      <c r="E13" s="2534"/>
      <c r="F13" s="2535"/>
      <c r="G13" s="2536"/>
      <c r="H13" s="2543"/>
      <c r="I13" s="2533">
        <f>ROUND(D13*E13*F13*G13/10000,0)</f>
        <v>0</v>
      </c>
    </row>
    <row r="14" spans="1:9">
      <c r="A14" s="3758"/>
      <c r="B14" s="3759" t="s">
        <v>2504</v>
      </c>
      <c r="C14" s="3759"/>
      <c r="D14" s="2534"/>
      <c r="E14" s="2534"/>
      <c r="F14" s="2535"/>
      <c r="G14" s="2536"/>
      <c r="H14" s="2543"/>
      <c r="I14" s="2533">
        <f>ROUND(D14*E14*F14*G14/10000,0)</f>
        <v>0</v>
      </c>
    </row>
    <row r="15" spans="1:9">
      <c r="A15" s="3758"/>
      <c r="B15" s="3760" t="s">
        <v>2493</v>
      </c>
      <c r="C15" s="3760"/>
      <c r="D15" s="2538"/>
      <c r="E15" s="2538">
        <f>SUM(E12:E14)</f>
        <v>0</v>
      </c>
      <c r="F15" s="2539"/>
      <c r="G15" s="2536"/>
      <c r="H15" s="2543"/>
      <c r="I15" s="2544">
        <f>SUM(I12:I14)</f>
        <v>0</v>
      </c>
    </row>
    <row r="16" spans="1:9" ht="24">
      <c r="A16" s="3758" t="s">
        <v>2505</v>
      </c>
      <c r="B16" s="3759" t="s">
        <v>2506</v>
      </c>
      <c r="C16" s="3759"/>
      <c r="D16" s="2534" t="s">
        <v>2507</v>
      </c>
      <c r="E16" s="2545" t="s">
        <v>2508</v>
      </c>
      <c r="F16" s="2535" t="s">
        <v>2509</v>
      </c>
      <c r="G16" s="2536" t="s">
        <v>2499</v>
      </c>
      <c r="H16" s="2542" t="s">
        <v>2500</v>
      </c>
      <c r="I16" s="2533" t="s">
        <v>2501</v>
      </c>
    </row>
    <row r="17" spans="1:9" ht="14.25">
      <c r="A17" s="3758"/>
      <c r="B17" s="3759" t="s">
        <v>2510</v>
      </c>
      <c r="C17" s="3759"/>
      <c r="D17" s="2534"/>
      <c r="E17" s="2534"/>
      <c r="F17" s="2535"/>
      <c r="G17" s="2536"/>
      <c r="H17" s="2546"/>
      <c r="I17" s="2547">
        <f>ROUND(D17*E17*F17*G17/10000,0)</f>
        <v>0</v>
      </c>
    </row>
    <row r="18" spans="1:9" ht="14.25">
      <c r="A18" s="3758"/>
      <c r="B18" s="3759" t="s">
        <v>2511</v>
      </c>
      <c r="C18" s="3759"/>
      <c r="D18" s="2534"/>
      <c r="E18" s="2534"/>
      <c r="F18" s="2535"/>
      <c r="G18" s="2536"/>
      <c r="H18" s="2546"/>
      <c r="I18" s="2547">
        <f>ROUND(D18*E18*F18*G18/10000,0)</f>
        <v>0</v>
      </c>
    </row>
    <row r="19" spans="1:9" ht="14.25">
      <c r="A19" s="3758"/>
      <c r="B19" s="3759" t="s">
        <v>2512</v>
      </c>
      <c r="C19" s="3759"/>
      <c r="D19" s="2534"/>
      <c r="E19" s="2534"/>
      <c r="F19" s="2535"/>
      <c r="G19" s="2536"/>
      <c r="H19" s="2546"/>
      <c r="I19" s="2547">
        <f>ROUND(D19*E19*F19*G19/10000,0)</f>
        <v>0</v>
      </c>
    </row>
    <row r="20" spans="1:9">
      <c r="A20" s="3758"/>
      <c r="B20" s="3760" t="s">
        <v>2493</v>
      </c>
      <c r="C20" s="3760"/>
      <c r="D20" s="2538">
        <f>SUM(D17:D19)</f>
        <v>0</v>
      </c>
      <c r="E20" s="2538"/>
      <c r="F20" s="2539"/>
      <c r="G20" s="2536"/>
      <c r="H20" s="2543"/>
      <c r="I20" s="2544">
        <f>SUM(I17:I19)</f>
        <v>0</v>
      </c>
    </row>
    <row r="21" spans="1:9">
      <c r="A21" s="3758" t="s">
        <v>2513</v>
      </c>
      <c r="B21" s="3762"/>
      <c r="C21" s="3762"/>
      <c r="D21" s="3762"/>
      <c r="E21" s="3762"/>
      <c r="F21" s="3762"/>
      <c r="G21" s="3762"/>
      <c r="H21" s="2548">
        <v>0.1</v>
      </c>
      <c r="I21" s="2541">
        <f>ROUND(I10*H21,0)</f>
        <v>0</v>
      </c>
    </row>
    <row r="22" spans="1:9" ht="14.25">
      <c r="A22" s="3763" t="s">
        <v>2514</v>
      </c>
      <c r="B22" s="3764"/>
      <c r="C22" s="3765"/>
      <c r="D22" s="2549" t="s">
        <v>2515</v>
      </c>
      <c r="E22" s="2549" t="s">
        <v>2516</v>
      </c>
      <c r="F22" s="2550" t="s">
        <v>2517</v>
      </c>
      <c r="G22" s="2550" t="s">
        <v>2518</v>
      </c>
      <c r="H22" s="2542" t="s">
        <v>2519</v>
      </c>
      <c r="I22" s="2533" t="s">
        <v>2520</v>
      </c>
    </row>
    <row r="23" spans="1:9" ht="14.25" thickBot="1">
      <c r="A23" s="3766"/>
      <c r="B23" s="3767"/>
      <c r="C23" s="3768"/>
      <c r="D23" s="2551"/>
      <c r="E23" s="2551"/>
      <c r="F23" s="2551"/>
      <c r="G23" s="2552"/>
      <c r="H23" s="2553"/>
      <c r="I23" s="2554">
        <f>ROUND(E23*D23*F23*(1-G23)/10000,0)</f>
        <v>0</v>
      </c>
    </row>
    <row r="26" spans="1:9">
      <c r="A26" s="2555" t="s">
        <v>2521</v>
      </c>
      <c r="B26" s="2555"/>
      <c r="C26" s="2555"/>
      <c r="D26" s="2555"/>
      <c r="E26" s="3769">
        <f>C27-C30-C31-C32</f>
        <v>0</v>
      </c>
      <c r="F26" s="3769"/>
      <c r="G26" s="3769"/>
      <c r="H26" s="3069" t="s">
        <v>2848</v>
      </c>
    </row>
    <row r="27" spans="1:9">
      <c r="A27" s="2556">
        <v>1</v>
      </c>
      <c r="B27" s="2557" t="s">
        <v>2522</v>
      </c>
      <c r="C27" s="2557"/>
      <c r="D27" s="2557"/>
      <c r="E27" s="3770"/>
      <c r="F27" s="3770"/>
      <c r="G27" s="3770"/>
    </row>
    <row r="28" spans="1:9">
      <c r="A28" s="2558" t="s">
        <v>2523</v>
      </c>
      <c r="B28" s="2557" t="s">
        <v>2524</v>
      </c>
      <c r="C28" s="2557"/>
      <c r="D28" s="2557"/>
      <c r="E28" s="3770"/>
      <c r="F28" s="3770"/>
      <c r="G28" s="3770"/>
    </row>
    <row r="29" spans="1:9">
      <c r="A29" s="2558" t="s">
        <v>2525</v>
      </c>
      <c r="B29" s="2557" t="s">
        <v>2465</v>
      </c>
      <c r="C29" s="2557"/>
      <c r="D29" s="2557"/>
      <c r="E29" s="2557" t="s">
        <v>2526</v>
      </c>
      <c r="F29" s="2557"/>
      <c r="G29" s="2557"/>
    </row>
    <row r="30" spans="1:9">
      <c r="A30" s="2556">
        <v>2</v>
      </c>
      <c r="B30" s="2557" t="s">
        <v>2527</v>
      </c>
      <c r="C30" s="2557">
        <f>C27*D30</f>
        <v>0</v>
      </c>
      <c r="D30" s="2559">
        <v>0.2</v>
      </c>
      <c r="E30" s="2557" t="s">
        <v>2528</v>
      </c>
      <c r="F30" s="2557"/>
      <c r="G30" s="2557"/>
    </row>
    <row r="31" spans="1:9">
      <c r="A31" s="2556">
        <v>3</v>
      </c>
      <c r="B31" s="2557" t="s">
        <v>2529</v>
      </c>
      <c r="C31" s="2557">
        <f>C25*D31</f>
        <v>0</v>
      </c>
      <c r="D31" s="2559">
        <v>0.15</v>
      </c>
      <c r="E31" s="2557" t="s">
        <v>2530</v>
      </c>
      <c r="F31" s="2557"/>
      <c r="G31" s="2557"/>
    </row>
    <row r="32" spans="1:9">
      <c r="A32" s="2556">
        <v>4</v>
      </c>
      <c r="B32" s="2557" t="s">
        <v>2531</v>
      </c>
      <c r="C32" s="2557">
        <f>C27*D32</f>
        <v>0</v>
      </c>
      <c r="D32" s="2559">
        <v>0.05</v>
      </c>
      <c r="E32" s="3761"/>
      <c r="F32" s="3761"/>
      <c r="G32" s="3761"/>
    </row>
    <row r="33" spans="1:7" hidden="1">
      <c r="A33" s="3771" t="s">
        <v>2532</v>
      </c>
      <c r="B33" s="3772"/>
      <c r="C33" s="3772"/>
      <c r="D33" s="3773"/>
      <c r="E33" s="3769"/>
      <c r="F33" s="3769"/>
      <c r="G33" s="3769"/>
    </row>
    <row r="34" spans="1:7" hidden="1">
      <c r="A34" s="2560">
        <v>1</v>
      </c>
      <c r="B34" s="2557" t="s">
        <v>2533</v>
      </c>
      <c r="C34" s="2557"/>
      <c r="D34" s="2557"/>
      <c r="E34" s="3770"/>
      <c r="F34" s="3770"/>
      <c r="G34" s="3770"/>
    </row>
    <row r="35" spans="1:7" hidden="1">
      <c r="A35" s="2560">
        <v>2</v>
      </c>
      <c r="B35" s="2557" t="s">
        <v>2534</v>
      </c>
      <c r="C35" s="2557"/>
      <c r="D35" s="2557"/>
      <c r="E35" s="3770"/>
      <c r="F35" s="3770"/>
      <c r="G35" s="3770"/>
    </row>
    <row r="36" spans="1:7" hidden="1">
      <c r="A36" s="2560">
        <v>3</v>
      </c>
      <c r="B36" s="2557" t="s">
        <v>2535</v>
      </c>
      <c r="C36" s="2557"/>
      <c r="D36" s="2557"/>
      <c r="E36" s="3770"/>
      <c r="F36" s="3770"/>
      <c r="G36" s="3770"/>
    </row>
    <row r="37" spans="1:7" hidden="1">
      <c r="A37" s="2560">
        <v>4</v>
      </c>
      <c r="B37" s="2557" t="s">
        <v>2536</v>
      </c>
      <c r="C37" s="2557"/>
      <c r="D37" s="2557"/>
      <c r="E37" s="3770"/>
      <c r="F37" s="3770"/>
      <c r="G37" s="3770"/>
    </row>
    <row r="38" spans="1:7" hidden="1">
      <c r="A38" s="3771" t="s">
        <v>2537</v>
      </c>
      <c r="B38" s="3772"/>
      <c r="C38" s="3772"/>
      <c r="D38" s="3773"/>
      <c r="E38" s="3769"/>
      <c r="F38" s="3769"/>
      <c r="G38" s="37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33" sqref="H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2445</v>
      </c>
      <c r="B8" s="2497" t="s">
        <v>2447</v>
      </c>
      <c r="C8" s="2498"/>
      <c r="D8" s="749"/>
      <c r="E8" s="750"/>
      <c r="F8" s="750"/>
      <c r="G8" s="751"/>
    </row>
    <row r="9" spans="1:25" s="2184" customFormat="1" ht="13.5" customHeight="1">
      <c r="A9" s="2494" t="s">
        <v>2446</v>
      </c>
      <c r="B9" s="2497" t="s">
        <v>2448</v>
      </c>
      <c r="C9" s="2498"/>
      <c r="D9" s="749"/>
      <c r="E9" s="750"/>
      <c r="F9" s="750"/>
      <c r="G9" s="751"/>
    </row>
    <row r="10" spans="1:25" s="2184" customFormat="1" ht="36">
      <c r="A10" s="2494">
        <v>2</v>
      </c>
      <c r="B10" s="748" t="s">
        <v>614</v>
      </c>
      <c r="C10" s="749">
        <f>C11+C14+C15</f>
        <v>0</v>
      </c>
      <c r="D10" s="760">
        <f>'数据-汇总表'!E3</f>
        <v>247106.5</v>
      </c>
      <c r="E10" s="749">
        <f>'数据-取费表'!B31</f>
        <v>200</v>
      </c>
      <c r="F10" s="761"/>
      <c r="G10" s="759" t="s">
        <v>615</v>
      </c>
    </row>
    <row r="11" spans="1:25" s="2184" customFormat="1" ht="13.5" customHeight="1">
      <c r="A11" s="2494" t="s">
        <v>2445</v>
      </c>
      <c r="B11" s="752" t="s">
        <v>611</v>
      </c>
      <c r="C11" s="753">
        <f>'数据-取费表'!B29</f>
        <v>0</v>
      </c>
      <c r="D11" s="754"/>
      <c r="E11" s="753"/>
      <c r="F11" s="755"/>
      <c r="G11" s="2503" t="s">
        <v>2456</v>
      </c>
    </row>
    <row r="12" spans="1:25" s="2184" customFormat="1" ht="13.5" customHeight="1">
      <c r="A12" s="2501" t="s">
        <v>2453</v>
      </c>
      <c r="B12" s="756" t="s">
        <v>612</v>
      </c>
      <c r="C12" s="757">
        <f>ROUND(D12*E12/10000,0)</f>
        <v>820</v>
      </c>
      <c r="D12" s="758">
        <f>'数据-汇总表'!E5</f>
        <v>247106.5</v>
      </c>
      <c r="E12" s="757">
        <f>'数据-取费表'!B27</f>
        <v>33.200000000000003</v>
      </c>
      <c r="F12" s="755"/>
      <c r="G12" s="759"/>
    </row>
    <row r="13" spans="1:25" s="2184" customFormat="1" ht="13.5" customHeight="1">
      <c r="A13" s="2501" t="s">
        <v>2452</v>
      </c>
      <c r="B13" s="756" t="s">
        <v>613</v>
      </c>
      <c r="C13" s="757">
        <f>ROUND(D13*E13/10000,0)</f>
        <v>0</v>
      </c>
      <c r="D13" s="758">
        <f>'数据-汇总表'!E6</f>
        <v>0</v>
      </c>
      <c r="E13" s="757">
        <f>'数据-取费表'!B28</f>
        <v>21.6</v>
      </c>
      <c r="F13" s="755"/>
      <c r="G13" s="759"/>
    </row>
    <row r="14" spans="1:25" s="2184" customFormat="1" ht="13.5" customHeight="1">
      <c r="A14" s="2494" t="s">
        <v>2446</v>
      </c>
      <c r="B14" s="2500" t="s">
        <v>2449</v>
      </c>
      <c r="C14" s="2498"/>
      <c r="D14" s="758"/>
      <c r="E14" s="757"/>
      <c r="F14" s="2499"/>
      <c r="G14" s="2502" t="s">
        <v>2454</v>
      </c>
    </row>
    <row r="15" spans="1:25" s="2184" customFormat="1" ht="13.5" customHeight="1">
      <c r="A15" s="2494" t="s">
        <v>2451</v>
      </c>
      <c r="B15" s="2500" t="s">
        <v>2450</v>
      </c>
      <c r="C15" s="2498"/>
      <c r="D15" s="758"/>
      <c r="E15" s="757"/>
      <c r="F15" s="2499"/>
      <c r="G15" s="2502" t="s">
        <v>2455</v>
      </c>
    </row>
    <row r="16" spans="1:25" s="2185" customFormat="1" ht="48">
      <c r="A16" s="2494">
        <v>3</v>
      </c>
      <c r="B16" s="748" t="s">
        <v>616</v>
      </c>
      <c r="C16" s="2498"/>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8"/>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0.91100000000000003</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23" sqref="E23:K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8" t="s">
        <v>720</v>
      </c>
      <c r="C1" s="2649" t="s">
        <v>721</v>
      </c>
      <c r="D1" s="2650" t="s">
        <v>924</v>
      </c>
      <c r="E1" s="2651"/>
      <c r="F1" s="2833" t="s">
        <v>3212</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383124</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520</v>
      </c>
      <c r="B3" s="851">
        <f>C49</f>
        <v>15661</v>
      </c>
      <c r="C3" s="852" t="s">
        <v>723</v>
      </c>
      <c r="D3" s="851">
        <f>SUMIF('数据-汇总表'!$C19:$C33,D1,'数据-汇总表'!$E19:$E33)</f>
        <v>244635.43</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667" t="s">
        <v>523</v>
      </c>
      <c r="D4" s="3668"/>
      <c r="E4" s="3702" t="s">
        <v>524</v>
      </c>
      <c r="F4" s="3703"/>
      <c r="G4" s="3667" t="s">
        <v>525</v>
      </c>
      <c r="H4" s="3668"/>
      <c r="I4" s="3667" t="s">
        <v>526</v>
      </c>
      <c r="J4" s="3668"/>
      <c r="K4" s="853" t="s">
        <v>527</v>
      </c>
      <c r="L4" s="2134"/>
      <c r="M4" s="2135"/>
      <c r="N4" s="2135"/>
      <c r="O4" s="2135"/>
      <c r="P4" s="3669" t="s">
        <v>528</v>
      </c>
      <c r="Q4" s="3670"/>
      <c r="R4" s="3675" t="s">
        <v>524</v>
      </c>
      <c r="S4" s="3676"/>
      <c r="T4" s="3675" t="s">
        <v>525</v>
      </c>
      <c r="U4" s="3676"/>
      <c r="V4" s="3662" t="s">
        <v>526</v>
      </c>
      <c r="W4" s="3662"/>
      <c r="X4" s="1567"/>
      <c r="Y4" s="3675" t="s">
        <v>528</v>
      </c>
      <c r="Z4" s="3676"/>
      <c r="AA4" s="3664" t="s">
        <v>524</v>
      </c>
      <c r="AB4" s="3664" t="s">
        <v>525</v>
      </c>
      <c r="AC4" s="3664" t="s">
        <v>526</v>
      </c>
    </row>
    <row r="5" spans="1:29" ht="15">
      <c r="A5" s="515"/>
      <c r="B5" s="516"/>
      <c r="C5" s="3685" t="s">
        <v>3529</v>
      </c>
      <c r="D5" s="3684"/>
      <c r="E5" s="3777" t="s">
        <v>3567</v>
      </c>
      <c r="F5" s="3705"/>
      <c r="G5" s="3685" t="s">
        <v>3586</v>
      </c>
      <c r="H5" s="3684"/>
      <c r="I5" s="3685" t="s">
        <v>3587</v>
      </c>
      <c r="J5" s="3684"/>
      <c r="K5" s="854"/>
      <c r="L5" s="2134"/>
      <c r="M5" s="2135"/>
      <c r="N5" s="2135"/>
      <c r="O5" s="2135"/>
      <c r="P5" s="3671"/>
      <c r="Q5" s="3672"/>
      <c r="R5" s="3677"/>
      <c r="S5" s="3678"/>
      <c r="T5" s="3677"/>
      <c r="U5" s="3678"/>
      <c r="V5" s="3662"/>
      <c r="W5" s="3662"/>
      <c r="X5" s="1567"/>
      <c r="Y5" s="3677"/>
      <c r="Z5" s="3678"/>
      <c r="AA5" s="3665"/>
      <c r="AB5" s="3665"/>
      <c r="AC5" s="3665"/>
    </row>
    <row r="6" spans="1:29" ht="15.75" thickBot="1">
      <c r="A6" s="517"/>
      <c r="B6" s="518"/>
      <c r="C6" s="3681" t="s">
        <v>3530</v>
      </c>
      <c r="D6" s="3682"/>
      <c r="E6" s="3681" t="s">
        <v>3530</v>
      </c>
      <c r="F6" s="3682"/>
      <c r="G6" s="3681" t="s">
        <v>3530</v>
      </c>
      <c r="H6" s="3682"/>
      <c r="I6" s="3681" t="s">
        <v>3530</v>
      </c>
      <c r="J6" s="3682"/>
      <c r="K6" s="854" t="s">
        <v>529</v>
      </c>
      <c r="L6" s="2134"/>
      <c r="M6" s="2135"/>
      <c r="N6" s="2135"/>
      <c r="O6" s="2135"/>
      <c r="P6" s="3673"/>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43242</v>
      </c>
      <c r="D7" s="520">
        <v>100</v>
      </c>
      <c r="E7" s="521">
        <v>43234</v>
      </c>
      <c r="F7" s="522">
        <f>SUMIF(58:58,YEAR(E7)&amp;"-"&amp;MONTH(E7),59:59)</f>
        <v>100</v>
      </c>
      <c r="G7" s="521">
        <v>43230</v>
      </c>
      <c r="H7" s="520">
        <f>SUMIF(58:58,YEAR(G7)&amp;"-"&amp;MONTH(G7),59:59)</f>
        <v>100</v>
      </c>
      <c r="I7" s="521">
        <v>43216</v>
      </c>
      <c r="J7" s="520">
        <f>SUMIF(58:58,YEAR(I7)&amp;"-"&amp;MONTH(I7),59:59)</f>
        <v>99.5</v>
      </c>
      <c r="K7" s="855"/>
      <c r="L7" s="2136"/>
      <c r="M7" s="2137"/>
      <c r="N7" s="2137"/>
      <c r="O7" s="2137"/>
      <c r="P7" s="3691" t="s">
        <v>531</v>
      </c>
      <c r="Q7" s="3693"/>
      <c r="R7" s="1568" t="s">
        <v>13</v>
      </c>
      <c r="S7" s="1569">
        <f t="shared" ref="S7:S15" si="0">F7</f>
        <v>100</v>
      </c>
      <c r="T7" s="1568" t="s">
        <v>13</v>
      </c>
      <c r="U7" s="1569">
        <f t="shared" ref="U7:U15" si="1">H7</f>
        <v>100</v>
      </c>
      <c r="V7" s="1568" t="s">
        <v>13</v>
      </c>
      <c r="W7" s="1569">
        <f t="shared" ref="W7:W15" si="2">J7</f>
        <v>99.5</v>
      </c>
      <c r="X7" s="1570"/>
      <c r="Y7" s="3691" t="s">
        <v>531</v>
      </c>
      <c r="Z7" s="3692"/>
      <c r="AA7" s="1571">
        <f>D7/F7</f>
        <v>1</v>
      </c>
      <c r="AB7" s="1571">
        <f>D7/H7</f>
        <v>1</v>
      </c>
      <c r="AC7" s="1571">
        <f>D7/J7</f>
        <v>1.0050251256281406</v>
      </c>
    </row>
    <row r="8" spans="1:29" s="1219" customFormat="1" ht="15.75" thickBot="1">
      <c r="A8" s="2939"/>
      <c r="B8" s="2946"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6"/>
      <c r="M8" s="2137"/>
      <c r="N8" s="2137"/>
      <c r="O8" s="2137"/>
      <c r="P8" s="3691" t="s">
        <v>534</v>
      </c>
      <c r="Q8" s="3692"/>
      <c r="R8" s="1568" t="s">
        <v>13</v>
      </c>
      <c r="S8" s="1569">
        <f t="shared" si="0"/>
        <v>100</v>
      </c>
      <c r="T8" s="1568" t="s">
        <v>13</v>
      </c>
      <c r="U8" s="1569">
        <f t="shared" si="1"/>
        <v>100</v>
      </c>
      <c r="V8" s="1568" t="s">
        <v>13</v>
      </c>
      <c r="W8" s="1569">
        <f t="shared" si="2"/>
        <v>100</v>
      </c>
      <c r="X8" s="1570"/>
      <c r="Y8" s="3691" t="s">
        <v>534</v>
      </c>
      <c r="Z8" s="3692"/>
      <c r="AA8" s="1571">
        <f t="shared" ref="AA8:AA46" si="3">D8/F8</f>
        <v>1</v>
      </c>
      <c r="AB8" s="1571">
        <f t="shared" ref="AB8:AB46" si="4">D8/H8</f>
        <v>1</v>
      </c>
      <c r="AC8" s="1571">
        <f t="shared" ref="AC8:AC46" si="5">D8/J8</f>
        <v>1</v>
      </c>
    </row>
    <row r="9" spans="1:29" s="1219" customFormat="1" ht="15">
      <c r="A9" s="2940"/>
      <c r="B9" s="2947" t="s">
        <v>2761</v>
      </c>
      <c r="C9" s="3486" t="s">
        <v>3566</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7">
      <c r="A10" s="2941"/>
      <c r="B10" s="2946" t="s">
        <v>2762</v>
      </c>
      <c r="C10" s="861" t="s">
        <v>3225</v>
      </c>
      <c r="D10" s="255">
        <v>100</v>
      </c>
      <c r="E10" s="861" t="s">
        <v>3225</v>
      </c>
      <c r="F10" s="863">
        <f>SUMIF(65:65,E10,66:66)-SUMIF(65:65,C10,66:66)+100</f>
        <v>100</v>
      </c>
      <c r="G10" s="861" t="s">
        <v>3225</v>
      </c>
      <c r="H10" s="255">
        <f>SUMIF(65:65,G10,66:66)-SUMIF(65:65,C10,66:66)+100</f>
        <v>100</v>
      </c>
      <c r="I10" s="861" t="s">
        <v>3225</v>
      </c>
      <c r="J10" s="255">
        <f>SUMIF(65:65,I10,66:66)-SUMIF(65:65,C10,66:66)+100</f>
        <v>100</v>
      </c>
      <c r="K10" s="864">
        <v>1</v>
      </c>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6" t="s">
        <v>2763</v>
      </c>
      <c r="C11" s="533"/>
      <c r="D11" s="255">
        <v>100</v>
      </c>
      <c r="E11" s="534"/>
      <c r="F11" s="863">
        <f>LOOKUP(E11,68:68,69:69)-LOOKUP(C11,68:68,69:69)+100</f>
        <v>100</v>
      </c>
      <c r="G11" s="533"/>
      <c r="H11" s="255">
        <f>LOOKUP(G11,68:68,69:69)-LOOKUP(C11,68:68,69:69)+100</f>
        <v>100</v>
      </c>
      <c r="I11" s="533"/>
      <c r="J11" s="255">
        <f>LOOKUP(I11,68:68,69:69)-LOOKUP(C11,68:68,69:69)+100</f>
        <v>100</v>
      </c>
      <c r="K11" s="864"/>
      <c r="L11" s="2141"/>
      <c r="M11" s="2135"/>
      <c r="N11" s="2135"/>
      <c r="O11" s="2142"/>
      <c r="P11" s="3661"/>
      <c r="Q11" s="1150" t="str">
        <f t="shared" si="6"/>
        <v>容积率</v>
      </c>
      <c r="R11" s="1568" t="s">
        <v>11</v>
      </c>
      <c r="S11" s="1569">
        <f t="shared" si="0"/>
        <v>100</v>
      </c>
      <c r="T11" s="1568" t="s">
        <v>11</v>
      </c>
      <c r="U11" s="1569">
        <f t="shared" si="1"/>
        <v>100</v>
      </c>
      <c r="V11" s="1568" t="s">
        <v>11</v>
      </c>
      <c r="W11" s="1569">
        <f t="shared" si="2"/>
        <v>100</v>
      </c>
      <c r="X11" s="1570"/>
      <c r="Y11" s="3607"/>
      <c r="Z11" s="1149" t="str">
        <f t="shared" si="7"/>
        <v>容积率</v>
      </c>
      <c r="AA11" s="1571">
        <f t="shared" si="3"/>
        <v>1</v>
      </c>
      <c r="AB11" s="1571">
        <f t="shared" si="4"/>
        <v>1</v>
      </c>
      <c r="AC11" s="1571">
        <f t="shared" si="5"/>
        <v>1</v>
      </c>
    </row>
    <row r="12" spans="1:29" s="1219"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61"/>
      <c r="Q12" s="1150">
        <f t="shared" si="6"/>
        <v>111</v>
      </c>
      <c r="R12" s="1568" t="s">
        <v>11</v>
      </c>
      <c r="S12" s="1569">
        <f t="shared" si="0"/>
        <v>100</v>
      </c>
      <c r="T12" s="1568" t="s">
        <v>11</v>
      </c>
      <c r="U12" s="1569">
        <f t="shared" si="1"/>
        <v>100</v>
      </c>
      <c r="V12" s="1568" t="s">
        <v>11</v>
      </c>
      <c r="W12" s="1569">
        <f t="shared" si="2"/>
        <v>100</v>
      </c>
      <c r="X12" s="1570"/>
      <c r="Y12" s="3607"/>
      <c r="Z12" s="1149">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61"/>
      <c r="Q13" s="1150">
        <f t="shared" si="6"/>
        <v>111</v>
      </c>
      <c r="R13" s="1568" t="s">
        <v>11</v>
      </c>
      <c r="S13" s="1569">
        <f t="shared" si="0"/>
        <v>100</v>
      </c>
      <c r="T13" s="1568" t="s">
        <v>11</v>
      </c>
      <c r="U13" s="1569">
        <f t="shared" si="1"/>
        <v>100</v>
      </c>
      <c r="V13" s="1568" t="s">
        <v>11</v>
      </c>
      <c r="W13" s="1569">
        <f t="shared" si="2"/>
        <v>100</v>
      </c>
      <c r="X13" s="1570"/>
      <c r="Y13" s="3607"/>
      <c r="Z13" s="1149">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61"/>
      <c r="Q14" s="1150">
        <f t="shared" si="6"/>
        <v>111</v>
      </c>
      <c r="R14" s="1568" t="s">
        <v>11</v>
      </c>
      <c r="S14" s="1569">
        <f t="shared" si="0"/>
        <v>100</v>
      </c>
      <c r="T14" s="1568" t="s">
        <v>11</v>
      </c>
      <c r="U14" s="1569">
        <f t="shared" si="1"/>
        <v>100</v>
      </c>
      <c r="V14" s="1568" t="s">
        <v>11</v>
      </c>
      <c r="W14" s="1569">
        <f t="shared" si="2"/>
        <v>100</v>
      </c>
      <c r="X14" s="1570"/>
      <c r="Y14" s="3607"/>
      <c r="Z14" s="1149">
        <f t="shared" si="7"/>
        <v>111</v>
      </c>
      <c r="AA14" s="1571">
        <f t="shared" si="3"/>
        <v>1</v>
      </c>
      <c r="AB14" s="1571">
        <f t="shared" si="4"/>
        <v>1</v>
      </c>
      <c r="AC14" s="1571">
        <f t="shared" si="5"/>
        <v>1</v>
      </c>
    </row>
    <row r="15" spans="1:29" ht="99.75">
      <c r="A15" s="2936" t="s">
        <v>2759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694" t="s">
        <v>541</v>
      </c>
      <c r="Q15" s="1572" t="str">
        <f t="shared" si="6"/>
        <v>居住社区成熟度</v>
      </c>
      <c r="R15" s="1573" t="s">
        <v>11</v>
      </c>
      <c r="S15" s="1574">
        <f t="shared" si="0"/>
        <v>100</v>
      </c>
      <c r="T15" s="1573" t="s">
        <v>11</v>
      </c>
      <c r="U15" s="1574">
        <f t="shared" si="1"/>
        <v>100</v>
      </c>
      <c r="V15" s="1573" t="s">
        <v>11</v>
      </c>
      <c r="W15" s="1574">
        <f t="shared" si="2"/>
        <v>100</v>
      </c>
      <c r="X15" s="1567"/>
      <c r="Y15" s="3694" t="s">
        <v>541</v>
      </c>
      <c r="Z15" s="1575" t="str">
        <f t="shared" si="7"/>
        <v>居住社区成熟度</v>
      </c>
      <c r="AA15" s="1576">
        <f t="shared" si="3"/>
        <v>1</v>
      </c>
      <c r="AB15" s="1576">
        <f t="shared" si="4"/>
        <v>1</v>
      </c>
      <c r="AC15" s="1576">
        <f t="shared" si="5"/>
        <v>1</v>
      </c>
    </row>
    <row r="16" spans="1:29" ht="15">
      <c r="A16" s="532"/>
      <c r="B16" s="869"/>
      <c r="C16" s="576" t="s">
        <v>3224</v>
      </c>
      <c r="D16" s="555"/>
      <c r="E16" s="556" t="s">
        <v>3224</v>
      </c>
      <c r="F16" s="557"/>
      <c r="G16" s="556" t="s">
        <v>3224</v>
      </c>
      <c r="H16" s="559"/>
      <c r="I16" s="556" t="s">
        <v>3224</v>
      </c>
      <c r="J16" s="555"/>
      <c r="K16" s="870"/>
      <c r="L16" s="2143"/>
      <c r="M16" s="2135"/>
      <c r="N16" s="2135"/>
      <c r="O16" s="2142"/>
      <c r="P16" s="3695"/>
      <c r="Q16" s="1572"/>
      <c r="R16" s="1573"/>
      <c r="S16" s="1574"/>
      <c r="T16" s="1573"/>
      <c r="U16" s="1574"/>
      <c r="V16" s="1573"/>
      <c r="W16" s="1574"/>
      <c r="X16" s="1567"/>
      <c r="Y16" s="369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695"/>
      <c r="Q17" s="1572" t="str">
        <f>B17</f>
        <v>交通便捷度</v>
      </c>
      <c r="R17" s="1573" t="s">
        <v>11</v>
      </c>
      <c r="S17" s="1574">
        <f>F17</f>
        <v>100</v>
      </c>
      <c r="T17" s="1573" t="s">
        <v>11</v>
      </c>
      <c r="U17" s="1574">
        <f>H17</f>
        <v>100</v>
      </c>
      <c r="V17" s="1573" t="s">
        <v>11</v>
      </c>
      <c r="W17" s="1574">
        <f>J17</f>
        <v>100</v>
      </c>
      <c r="X17" s="1567"/>
      <c r="Y17" s="3695"/>
      <c r="Z17" s="1575" t="str">
        <f>Q17</f>
        <v>交通便捷度</v>
      </c>
      <c r="AA17" s="1576">
        <f t="shared" si="3"/>
        <v>1</v>
      </c>
      <c r="AB17" s="1576">
        <f t="shared" si="4"/>
        <v>1</v>
      </c>
      <c r="AC17" s="1576">
        <f t="shared" si="5"/>
        <v>1</v>
      </c>
    </row>
    <row r="18" spans="1:29" ht="15">
      <c r="A18" s="532"/>
      <c r="B18" s="595"/>
      <c r="C18" s="873" t="s">
        <v>3223</v>
      </c>
      <c r="D18" s="559"/>
      <c r="E18" s="568" t="s">
        <v>3223</v>
      </c>
      <c r="F18" s="563"/>
      <c r="G18" s="568" t="s">
        <v>3223</v>
      </c>
      <c r="H18" s="555"/>
      <c r="I18" s="568" t="s">
        <v>3223</v>
      </c>
      <c r="J18" s="555"/>
      <c r="K18" s="870"/>
      <c r="L18" s="2143"/>
      <c r="M18" s="2135"/>
      <c r="N18" s="2135"/>
      <c r="O18" s="2142"/>
      <c r="P18" s="3695"/>
      <c r="Q18" s="1572"/>
      <c r="R18" s="1573"/>
      <c r="S18" s="1574"/>
      <c r="T18" s="1573"/>
      <c r="U18" s="1574"/>
      <c r="V18" s="1573"/>
      <c r="W18" s="1574"/>
      <c r="X18" s="1567"/>
      <c r="Y18" s="3695"/>
      <c r="Z18" s="1575"/>
      <c r="AA18" s="1576">
        <v>1</v>
      </c>
      <c r="AB18" s="1576">
        <v>1</v>
      </c>
      <c r="AC18" s="1576">
        <v>1</v>
      </c>
    </row>
    <row r="19" spans="1:29" ht="42.75">
      <c r="A19" s="532"/>
      <c r="B19" s="2625"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695"/>
      <c r="Q19" s="1572" t="str">
        <f>B19</f>
        <v>公共配套设施</v>
      </c>
      <c r="R19" s="1573" t="s">
        <v>11</v>
      </c>
      <c r="S19" s="1574">
        <f>F19</f>
        <v>100</v>
      </c>
      <c r="T19" s="1573" t="s">
        <v>11</v>
      </c>
      <c r="U19" s="1574">
        <f>H19</f>
        <v>100</v>
      </c>
      <c r="V19" s="1573" t="s">
        <v>11</v>
      </c>
      <c r="W19" s="1574">
        <f>J19</f>
        <v>100</v>
      </c>
      <c r="X19" s="1567"/>
      <c r="Y19" s="3695"/>
      <c r="Z19" s="1575" t="str">
        <f>Q19</f>
        <v>公共配套设施</v>
      </c>
      <c r="AA19" s="1576">
        <f t="shared" si="3"/>
        <v>1</v>
      </c>
      <c r="AB19" s="1576">
        <f t="shared" si="4"/>
        <v>1</v>
      </c>
      <c r="AC19" s="1576">
        <f t="shared" si="5"/>
        <v>1</v>
      </c>
    </row>
    <row r="20" spans="1:29" ht="15">
      <c r="A20" s="532"/>
      <c r="B20" s="595"/>
      <c r="C20" s="576" t="s">
        <v>3223</v>
      </c>
      <c r="D20" s="555"/>
      <c r="E20" s="556" t="s">
        <v>3223</v>
      </c>
      <c r="F20" s="557"/>
      <c r="G20" s="556" t="s">
        <v>3223</v>
      </c>
      <c r="H20" s="555"/>
      <c r="I20" s="556" t="s">
        <v>3223</v>
      </c>
      <c r="J20" s="555"/>
      <c r="K20" s="870"/>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8.5">
      <c r="A21" s="532"/>
      <c r="B21" s="2618"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695"/>
      <c r="Q21" s="2604" t="str">
        <f>B21</f>
        <v>基础设施水平</v>
      </c>
      <c r="R21" s="1573" t="s">
        <v>11</v>
      </c>
      <c r="S21" s="1574">
        <f>F21</f>
        <v>100</v>
      </c>
      <c r="T21" s="1573" t="s">
        <v>11</v>
      </c>
      <c r="U21" s="1574">
        <f>H21</f>
        <v>100</v>
      </c>
      <c r="V21" s="1573" t="s">
        <v>11</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921"/>
      <c r="C22" s="873" t="s">
        <v>3562</v>
      </c>
      <c r="D22" s="555"/>
      <c r="E22" s="873" t="s">
        <v>3562</v>
      </c>
      <c r="F22" s="557"/>
      <c r="G22" s="873" t="s">
        <v>3562</v>
      </c>
      <c r="H22" s="555"/>
      <c r="I22" s="873" t="s">
        <v>3562</v>
      </c>
      <c r="J22" s="555"/>
      <c r="K22" s="2624"/>
      <c r="L22" s="2143"/>
      <c r="M22" s="2135"/>
      <c r="N22" s="2135"/>
      <c r="O22" s="2142"/>
      <c r="P22" s="3695"/>
      <c r="Q22" s="2604"/>
      <c r="R22" s="1573"/>
      <c r="S22" s="1574"/>
      <c r="T22" s="1573"/>
      <c r="U22" s="1574"/>
      <c r="V22" s="1573"/>
      <c r="W22" s="1574"/>
      <c r="X22" s="2606"/>
      <c r="Y22" s="3695"/>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98</v>
      </c>
      <c r="K23" s="868">
        <v>2</v>
      </c>
      <c r="L23" s="2143"/>
      <c r="M23" s="2135"/>
      <c r="N23" s="2135"/>
      <c r="O23" s="2142"/>
      <c r="P23" s="3695"/>
      <c r="Q23" s="1572" t="str">
        <f>B23</f>
        <v>自然及人文环境</v>
      </c>
      <c r="R23" s="1573" t="s">
        <v>11</v>
      </c>
      <c r="S23" s="1574">
        <f>F23</f>
        <v>98</v>
      </c>
      <c r="T23" s="1573" t="s">
        <v>11</v>
      </c>
      <c r="U23" s="1574">
        <f>H23</f>
        <v>98</v>
      </c>
      <c r="V23" s="1573" t="s">
        <v>11</v>
      </c>
      <c r="W23" s="1574">
        <f>J23</f>
        <v>98</v>
      </c>
      <c r="X23" s="1567"/>
      <c r="Y23" s="3695"/>
      <c r="Z23" s="1575" t="str">
        <f>Q23</f>
        <v>自然及人文环境</v>
      </c>
      <c r="AA23" s="1576">
        <f t="shared" si="3"/>
        <v>1.0204081632653061</v>
      </c>
      <c r="AB23" s="1576">
        <f t="shared" si="4"/>
        <v>1.0204081632653061</v>
      </c>
      <c r="AC23" s="1576">
        <f t="shared" si="5"/>
        <v>1.0204081632653061</v>
      </c>
    </row>
    <row r="24" spans="1:29" ht="15">
      <c r="A24" s="532"/>
      <c r="B24" s="595"/>
      <c r="C24" s="556" t="s">
        <v>3224</v>
      </c>
      <c r="D24" s="555"/>
      <c r="E24" s="576" t="s">
        <v>3223</v>
      </c>
      <c r="F24" s="557"/>
      <c r="G24" s="576" t="s">
        <v>3223</v>
      </c>
      <c r="H24" s="555"/>
      <c r="I24" s="576" t="s">
        <v>3223</v>
      </c>
      <c r="J24" s="555"/>
      <c r="K24" s="870"/>
      <c r="L24" s="2143"/>
      <c r="M24" s="2135"/>
      <c r="N24" s="2135"/>
      <c r="O24" s="2142"/>
      <c r="P24" s="3695"/>
      <c r="Q24" s="1572"/>
      <c r="R24" s="1573"/>
      <c r="S24" s="1574"/>
      <c r="T24" s="1573"/>
      <c r="U24" s="1574"/>
      <c r="V24" s="1573"/>
      <c r="W24" s="1574"/>
      <c r="X24" s="1567"/>
      <c r="Y24" s="3695"/>
      <c r="Z24" s="1575"/>
      <c r="AA24" s="1576">
        <v>1</v>
      </c>
      <c r="AB24" s="1576">
        <v>1</v>
      </c>
      <c r="AC24" s="1576">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95"/>
      <c r="Q25" s="1572" t="str">
        <f t="shared" ref="Q25:Q46" si="11">B25</f>
        <v>楼层-1</v>
      </c>
      <c r="R25" s="1573" t="s">
        <v>11</v>
      </c>
      <c r="S25" s="1574">
        <f>F25</f>
        <v>100</v>
      </c>
      <c r="T25" s="1573" t="s">
        <v>11</v>
      </c>
      <c r="U25" s="1574">
        <f>H25</f>
        <v>100</v>
      </c>
      <c r="V25" s="1573" t="s">
        <v>11</v>
      </c>
      <c r="W25" s="1574">
        <f>J25</f>
        <v>100</v>
      </c>
      <c r="X25" s="1567"/>
      <c r="Y25" s="3695"/>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95"/>
      <c r="Q26" s="1572" t="str">
        <f t="shared" si="11"/>
        <v>朝向</v>
      </c>
      <c r="R26" s="1573" t="s">
        <v>11</v>
      </c>
      <c r="S26" s="1574">
        <f>F26</f>
        <v>100</v>
      </c>
      <c r="T26" s="1573" t="s">
        <v>11</v>
      </c>
      <c r="U26" s="1574">
        <f>H26</f>
        <v>100</v>
      </c>
      <c r="V26" s="1573" t="s">
        <v>11</v>
      </c>
      <c r="W26" s="1574">
        <f>J26</f>
        <v>100</v>
      </c>
      <c r="X26" s="1567"/>
      <c r="Y26" s="3695"/>
      <c r="Z26" s="1575" t="str">
        <f>Q26</f>
        <v>朝向</v>
      </c>
      <c r="AA26" s="1576">
        <f t="shared" si="3"/>
        <v>1</v>
      </c>
      <c r="AB26" s="1576">
        <f t="shared" si="4"/>
        <v>1</v>
      </c>
      <c r="AC26" s="1576">
        <f t="shared" si="5"/>
        <v>1</v>
      </c>
    </row>
    <row r="27" spans="1:29" s="1219"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95"/>
      <c r="Q27" s="1150" t="str">
        <f t="shared" si="11"/>
        <v>道路级别</v>
      </c>
      <c r="R27" s="1568" t="s">
        <v>11</v>
      </c>
      <c r="S27" s="1569">
        <f>F27</f>
        <v>100</v>
      </c>
      <c r="T27" s="1568" t="s">
        <v>11</v>
      </c>
      <c r="U27" s="1569">
        <f>H27</f>
        <v>100</v>
      </c>
      <c r="V27" s="1568" t="s">
        <v>11</v>
      </c>
      <c r="W27" s="1569">
        <f>J27</f>
        <v>100</v>
      </c>
      <c r="X27" s="1570"/>
      <c r="Y27" s="3695"/>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95"/>
      <c r="Q28" s="1572">
        <f t="shared" si="11"/>
        <v>111</v>
      </c>
      <c r="R28" s="1573" t="s">
        <v>11</v>
      </c>
      <c r="S28" s="1574">
        <f t="shared" ref="S28:S46" si="12">F28</f>
        <v>100</v>
      </c>
      <c r="T28" s="1573" t="s">
        <v>11</v>
      </c>
      <c r="U28" s="1574">
        <f t="shared" ref="U28:U46" si="13">H28</f>
        <v>100</v>
      </c>
      <c r="V28" s="1573" t="s">
        <v>11</v>
      </c>
      <c r="W28" s="1574">
        <f t="shared" ref="W28:W46" si="14">J28</f>
        <v>100</v>
      </c>
      <c r="X28" s="1567"/>
      <c r="Y28" s="369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95"/>
      <c r="Q29" s="1572">
        <f t="shared" si="11"/>
        <v>111</v>
      </c>
      <c r="R29" s="1573" t="s">
        <v>11</v>
      </c>
      <c r="S29" s="1574">
        <f t="shared" si="12"/>
        <v>100</v>
      </c>
      <c r="T29" s="1573" t="s">
        <v>11</v>
      </c>
      <c r="U29" s="1574">
        <f t="shared" si="13"/>
        <v>100</v>
      </c>
      <c r="V29" s="1573" t="s">
        <v>11</v>
      </c>
      <c r="W29" s="1574">
        <f t="shared" si="14"/>
        <v>100</v>
      </c>
      <c r="X29" s="1567"/>
      <c r="Y29" s="369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95"/>
      <c r="Q30" s="1572">
        <f t="shared" si="11"/>
        <v>111</v>
      </c>
      <c r="R30" s="1573" t="s">
        <v>11</v>
      </c>
      <c r="S30" s="1574">
        <f t="shared" si="12"/>
        <v>100</v>
      </c>
      <c r="T30" s="1573" t="s">
        <v>11</v>
      </c>
      <c r="U30" s="1574">
        <f t="shared" si="13"/>
        <v>100</v>
      </c>
      <c r="V30" s="1573" t="s">
        <v>11</v>
      </c>
      <c r="W30" s="1574">
        <f t="shared" si="14"/>
        <v>100</v>
      </c>
      <c r="X30" s="1567"/>
      <c r="Y30" s="369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95"/>
      <c r="Q31" s="1572">
        <f t="shared" si="11"/>
        <v>111</v>
      </c>
      <c r="R31" s="1573" t="s">
        <v>11</v>
      </c>
      <c r="S31" s="1574">
        <f t="shared" si="12"/>
        <v>100</v>
      </c>
      <c r="T31" s="1573" t="s">
        <v>11</v>
      </c>
      <c r="U31" s="1574">
        <f t="shared" si="13"/>
        <v>100</v>
      </c>
      <c r="V31" s="1573" t="s">
        <v>11</v>
      </c>
      <c r="W31" s="1574">
        <f t="shared" si="14"/>
        <v>100</v>
      </c>
      <c r="X31" s="1567"/>
      <c r="Y31" s="3695"/>
      <c r="Z31" s="1575">
        <f t="shared" si="15"/>
        <v>111</v>
      </c>
      <c r="AA31" s="1576">
        <f t="shared" si="3"/>
        <v>1</v>
      </c>
      <c r="AB31" s="1576">
        <f t="shared" si="4"/>
        <v>1</v>
      </c>
      <c r="AC31" s="1576">
        <f t="shared" si="5"/>
        <v>1</v>
      </c>
    </row>
    <row r="32" spans="1:29" ht="15">
      <c r="A32" s="2933" t="s">
        <v>2760</v>
      </c>
      <c r="B32" s="172" t="s">
        <v>726</v>
      </c>
      <c r="C32" s="878" t="s">
        <v>3568</v>
      </c>
      <c r="D32" s="597">
        <v>100</v>
      </c>
      <c r="E32" s="878" t="s">
        <v>3568</v>
      </c>
      <c r="F32" s="575">
        <f>SUMIF(100:100,E32,101:101)-SUMIF(100:100,C32,101:101)+100</f>
        <v>100</v>
      </c>
      <c r="G32" s="878" t="s">
        <v>3568</v>
      </c>
      <c r="H32" s="597">
        <f>SUMIF(100:100,G32,101:101)-SUMIF(100:100,C32,101:101)+100</f>
        <v>100</v>
      </c>
      <c r="I32" s="878" t="s">
        <v>3568</v>
      </c>
      <c r="J32" s="540">
        <f>SUMIF(100:100,I32,101:101)-SUMIF(100:100,C32,101:101)+100</f>
        <v>100</v>
      </c>
      <c r="K32" s="864">
        <v>2</v>
      </c>
      <c r="L32" s="2143"/>
      <c r="M32" s="2135"/>
      <c r="N32" s="2135"/>
      <c r="O32" s="2142"/>
      <c r="P32" s="3696" t="s">
        <v>551</v>
      </c>
      <c r="Q32" s="1572" t="str">
        <f t="shared" si="11"/>
        <v>建筑类型</v>
      </c>
      <c r="R32" s="1573" t="s">
        <v>11</v>
      </c>
      <c r="S32" s="1574">
        <f t="shared" si="12"/>
        <v>100</v>
      </c>
      <c r="T32" s="1573" t="s">
        <v>11</v>
      </c>
      <c r="U32" s="1574">
        <f t="shared" si="13"/>
        <v>100</v>
      </c>
      <c r="V32" s="1573" t="s">
        <v>11</v>
      </c>
      <c r="W32" s="1574">
        <f t="shared" si="14"/>
        <v>100</v>
      </c>
      <c r="X32" s="1567"/>
      <c r="Y32" s="3697" t="s">
        <v>551</v>
      </c>
      <c r="Z32" s="1575" t="str">
        <f t="shared" si="15"/>
        <v>建筑类型</v>
      </c>
      <c r="AA32" s="1576">
        <f t="shared" si="3"/>
        <v>1</v>
      </c>
      <c r="AB32" s="1576">
        <f t="shared" si="4"/>
        <v>1</v>
      </c>
      <c r="AC32" s="1576">
        <f t="shared" si="5"/>
        <v>1</v>
      </c>
    </row>
    <row r="33" spans="1:29" s="1338" customFormat="1" ht="15">
      <c r="A33" s="603"/>
      <c r="B33" s="527" t="s">
        <v>727</v>
      </c>
      <c r="C33" s="879">
        <f>'数据-基础表'!B3</f>
        <v>247106.5</v>
      </c>
      <c r="D33" s="255">
        <v>100</v>
      </c>
      <c r="E33" s="534">
        <v>94946</v>
      </c>
      <c r="F33" s="863">
        <f>LOOKUP(E33,103:103,104:104)-LOOKUP(C33,103:103,104:104)+100</f>
        <v>97</v>
      </c>
      <c r="G33" s="533">
        <v>160000</v>
      </c>
      <c r="H33" s="255">
        <f>LOOKUP(G33,103:103,104:104)-LOOKUP(C33,103:103,104:104)+100</f>
        <v>99</v>
      </c>
      <c r="I33" s="534">
        <v>156660</v>
      </c>
      <c r="J33" s="255">
        <f>LOOKUP(I33,103:103,104:104)-LOOKUP(C33,103:103,104:104)+100</f>
        <v>99</v>
      </c>
      <c r="K33" s="865"/>
      <c r="L33" s="2141"/>
      <c r="M33" s="2172"/>
      <c r="N33" s="2172"/>
      <c r="O33" s="2144"/>
      <c r="P33" s="3697"/>
      <c r="Q33" s="1605" t="str">
        <f t="shared" si="11"/>
        <v>项目建筑规模</v>
      </c>
      <c r="R33" s="1577" t="s">
        <v>11</v>
      </c>
      <c r="S33" s="1578">
        <f t="shared" si="12"/>
        <v>97</v>
      </c>
      <c r="T33" s="1577" t="s">
        <v>11</v>
      </c>
      <c r="U33" s="1578">
        <f t="shared" si="13"/>
        <v>99</v>
      </c>
      <c r="V33" s="1577" t="s">
        <v>11</v>
      </c>
      <c r="W33" s="1578">
        <f t="shared" si="14"/>
        <v>99</v>
      </c>
      <c r="X33" s="1579"/>
      <c r="Y33" s="3697"/>
      <c r="Z33" s="1580" t="str">
        <f t="shared" si="15"/>
        <v>项目建筑规模</v>
      </c>
      <c r="AA33" s="1576">
        <f t="shared" si="3"/>
        <v>1.0309278350515463</v>
      </c>
      <c r="AB33" s="1576">
        <f t="shared" si="4"/>
        <v>1.0101010101010102</v>
      </c>
      <c r="AC33" s="1576">
        <f t="shared" si="5"/>
        <v>1.0101010101010102</v>
      </c>
    </row>
    <row r="34" spans="1:29" ht="15">
      <c r="A34" s="594"/>
      <c r="B34" s="527" t="s">
        <v>728</v>
      </c>
      <c r="C34" s="880" t="s">
        <v>3215</v>
      </c>
      <c r="D34" s="540">
        <v>100</v>
      </c>
      <c r="E34" s="880" t="s">
        <v>3215</v>
      </c>
      <c r="F34" s="575">
        <f>SUMIF(105:105,E34,106:106)-SUMIF(105:105,C34,106:106)+100</f>
        <v>100</v>
      </c>
      <c r="G34" s="880" t="s">
        <v>3215</v>
      </c>
      <c r="H34" s="540">
        <f>SUMIF(105:105,G34,106:106)-SUMIF(105:105,C34,106:106)+100</f>
        <v>100</v>
      </c>
      <c r="I34" s="880" t="s">
        <v>3215</v>
      </c>
      <c r="J34" s="540">
        <f>SUMIF(105:105,I34,106:106)-SUMIF(105:105,C34,106:106)+100</f>
        <v>100</v>
      </c>
      <c r="K34" s="864">
        <v>2</v>
      </c>
      <c r="L34" s="2143"/>
      <c r="M34" s="2135"/>
      <c r="N34" s="2135"/>
      <c r="O34" s="2142"/>
      <c r="P34" s="3697"/>
      <c r="Q34" s="1572" t="str">
        <f t="shared" si="11"/>
        <v>建筑结构</v>
      </c>
      <c r="R34" s="1573" t="s">
        <v>11</v>
      </c>
      <c r="S34" s="1574">
        <f t="shared" si="12"/>
        <v>100</v>
      </c>
      <c r="T34" s="1573" t="s">
        <v>11</v>
      </c>
      <c r="U34" s="1574">
        <f t="shared" si="13"/>
        <v>100</v>
      </c>
      <c r="V34" s="1573" t="s">
        <v>11</v>
      </c>
      <c r="W34" s="1574">
        <f t="shared" si="14"/>
        <v>100</v>
      </c>
      <c r="X34" s="1567"/>
      <c r="Y34" s="3697"/>
      <c r="Z34" s="1575" t="str">
        <f t="shared" si="15"/>
        <v>建筑结构</v>
      </c>
      <c r="AA34" s="1576">
        <f t="shared" si="3"/>
        <v>1</v>
      </c>
      <c r="AB34" s="1576">
        <f t="shared" si="4"/>
        <v>1</v>
      </c>
      <c r="AC34" s="1576">
        <f t="shared" si="5"/>
        <v>1</v>
      </c>
    </row>
    <row r="35" spans="1:29" ht="15">
      <c r="A35" s="594"/>
      <c r="B35" s="527" t="s">
        <v>729</v>
      </c>
      <c r="C35" s="599" t="s">
        <v>3224</v>
      </c>
      <c r="D35" s="540">
        <v>100</v>
      </c>
      <c r="E35" s="599" t="s">
        <v>3224</v>
      </c>
      <c r="F35" s="575">
        <f>SUMIF(107:107,E35,108:108)-SUMIF(107:107,C35,108:108)+100</f>
        <v>100</v>
      </c>
      <c r="G35" s="599" t="s">
        <v>3224</v>
      </c>
      <c r="H35" s="540">
        <f>SUMIF(107:107,G35,108:108)-SUMIF(107:107,C35,108:108)+100</f>
        <v>100</v>
      </c>
      <c r="I35" s="599" t="s">
        <v>3224</v>
      </c>
      <c r="J35" s="540">
        <f>SUMIF(107:107,I35,108:108)-SUMIF(107:107,C35,108:108)+100</f>
        <v>100</v>
      </c>
      <c r="K35" s="864">
        <v>2</v>
      </c>
      <c r="L35" s="2143"/>
      <c r="M35" s="2135"/>
      <c r="N35" s="2135"/>
      <c r="O35" s="2142"/>
      <c r="P35" s="3697"/>
      <c r="Q35" s="1572" t="str">
        <f t="shared" si="11"/>
        <v>建筑品质</v>
      </c>
      <c r="R35" s="1573" t="s">
        <v>11</v>
      </c>
      <c r="S35" s="1574">
        <f t="shared" si="12"/>
        <v>100</v>
      </c>
      <c r="T35" s="1573" t="s">
        <v>11</v>
      </c>
      <c r="U35" s="1574">
        <f t="shared" si="13"/>
        <v>100</v>
      </c>
      <c r="V35" s="1573" t="s">
        <v>11</v>
      </c>
      <c r="W35" s="1574">
        <f t="shared" si="14"/>
        <v>100</v>
      </c>
      <c r="X35" s="1567"/>
      <c r="Y35" s="3697"/>
      <c r="Z35" s="1575" t="str">
        <f t="shared" si="15"/>
        <v>建筑品质</v>
      </c>
      <c r="AA35" s="1576">
        <f t="shared" si="3"/>
        <v>1</v>
      </c>
      <c r="AB35" s="1576">
        <f t="shared" si="4"/>
        <v>1</v>
      </c>
      <c r="AC35" s="1576">
        <f t="shared" si="5"/>
        <v>1</v>
      </c>
    </row>
    <row r="36" spans="1:29" ht="15">
      <c r="A36" s="594"/>
      <c r="B36" s="527" t="s">
        <v>730</v>
      </c>
      <c r="C36" s="599" t="s">
        <v>3573</v>
      </c>
      <c r="D36" s="540">
        <v>100</v>
      </c>
      <c r="E36" s="599" t="s">
        <v>3573</v>
      </c>
      <c r="F36" s="575">
        <f>SUMIF(109:109,E36,110:110)-SUMIF(109:109,C36,110:110)+100</f>
        <v>100</v>
      </c>
      <c r="G36" s="599" t="s">
        <v>3573</v>
      </c>
      <c r="H36" s="540">
        <f>SUMIF(109:109,G36,110:110)-SUMIF(109:109,C36,110:110)+100</f>
        <v>100</v>
      </c>
      <c r="I36" s="599" t="s">
        <v>3573</v>
      </c>
      <c r="J36" s="540">
        <f>SUMIF(109:109,I36,110:110)-SUMIF(109:109,C36,110:110)+100</f>
        <v>100</v>
      </c>
      <c r="K36" s="864">
        <v>2</v>
      </c>
      <c r="L36" s="2143"/>
      <c r="M36" s="2135"/>
      <c r="N36" s="2135"/>
      <c r="O36" s="2142"/>
      <c r="P36" s="3697"/>
      <c r="Q36" s="1572" t="str">
        <f t="shared" si="11"/>
        <v>公共部分装修</v>
      </c>
      <c r="R36" s="1573" t="s">
        <v>11</v>
      </c>
      <c r="S36" s="1574">
        <f t="shared" si="12"/>
        <v>100</v>
      </c>
      <c r="T36" s="1573" t="s">
        <v>11</v>
      </c>
      <c r="U36" s="1574">
        <f t="shared" si="13"/>
        <v>100</v>
      </c>
      <c r="V36" s="1573" t="s">
        <v>11</v>
      </c>
      <c r="W36" s="1574">
        <f t="shared" si="14"/>
        <v>100</v>
      </c>
      <c r="X36" s="1567"/>
      <c r="Y36" s="3697"/>
      <c r="Z36" s="1575" t="str">
        <f t="shared" si="15"/>
        <v>公共部分装修</v>
      </c>
      <c r="AA36" s="1576">
        <f t="shared" si="3"/>
        <v>1</v>
      </c>
      <c r="AB36" s="1576">
        <f t="shared" si="4"/>
        <v>1</v>
      </c>
      <c r="AC36" s="1576">
        <f t="shared" si="5"/>
        <v>1</v>
      </c>
    </row>
    <row r="37" spans="1:29" s="1219" customFormat="1" ht="15">
      <c r="A37" s="600"/>
      <c r="B37" s="527" t="s">
        <v>731</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697"/>
      <c r="Q37" s="1150" t="str">
        <f t="shared" si="11"/>
        <v>成新度</v>
      </c>
      <c r="R37" s="1568" t="s">
        <v>11</v>
      </c>
      <c r="S37" s="1569">
        <f t="shared" si="12"/>
        <v>100</v>
      </c>
      <c r="T37" s="1568" t="s">
        <v>11</v>
      </c>
      <c r="U37" s="1569">
        <f t="shared" si="13"/>
        <v>100</v>
      </c>
      <c r="V37" s="1568" t="s">
        <v>11</v>
      </c>
      <c r="W37" s="1569">
        <f t="shared" si="14"/>
        <v>100</v>
      </c>
      <c r="X37" s="1570"/>
      <c r="Y37" s="3697"/>
      <c r="Z37" s="1149" t="str">
        <f t="shared" si="15"/>
        <v>成新度</v>
      </c>
      <c r="AA37" s="1571">
        <f t="shared" si="3"/>
        <v>1</v>
      </c>
      <c r="AB37" s="1571">
        <f t="shared" si="4"/>
        <v>1</v>
      </c>
      <c r="AC37" s="1571">
        <f t="shared" si="5"/>
        <v>1</v>
      </c>
    </row>
    <row r="38" spans="1:29" ht="15">
      <c r="A38" s="594"/>
      <c r="B38" s="527" t="s">
        <v>732</v>
      </c>
      <c r="C38" s="599" t="s">
        <v>3224</v>
      </c>
      <c r="D38" s="540">
        <v>100</v>
      </c>
      <c r="E38" s="599" t="s">
        <v>3224</v>
      </c>
      <c r="F38" s="575">
        <f>SUMIF(114:114,E38,115:115)-SUMIF(114:114,C38,115:115)+100</f>
        <v>100</v>
      </c>
      <c r="G38" s="599" t="s">
        <v>3224</v>
      </c>
      <c r="H38" s="540">
        <f>SUMIF(114:114,G38,115:115)-SUMIF(114:114,C38,115:115)+100</f>
        <v>100</v>
      </c>
      <c r="I38" s="599" t="s">
        <v>3224</v>
      </c>
      <c r="J38" s="540">
        <f>SUMIF(114:114,I38,115:115)-SUMIF(114:114,C38,115:115)+100</f>
        <v>100</v>
      </c>
      <c r="K38" s="864">
        <v>2</v>
      </c>
      <c r="L38" s="2143"/>
      <c r="M38" s="2135"/>
      <c r="N38" s="2135"/>
      <c r="O38" s="2142"/>
      <c r="P38" s="3697" t="s">
        <v>551</v>
      </c>
      <c r="Q38" s="1572" t="str">
        <f t="shared" si="11"/>
        <v>物业管理</v>
      </c>
      <c r="R38" s="1573" t="s">
        <v>11</v>
      </c>
      <c r="S38" s="1574">
        <f t="shared" si="12"/>
        <v>100</v>
      </c>
      <c r="T38" s="1573" t="s">
        <v>11</v>
      </c>
      <c r="U38" s="1574">
        <f t="shared" si="13"/>
        <v>100</v>
      </c>
      <c r="V38" s="1573" t="s">
        <v>11</v>
      </c>
      <c r="W38" s="1574">
        <f t="shared" si="14"/>
        <v>100</v>
      </c>
      <c r="X38" s="1567"/>
      <c r="Y38" s="3697" t="s">
        <v>551</v>
      </c>
      <c r="Z38" s="1575" t="str">
        <f t="shared" si="15"/>
        <v>物业管理</v>
      </c>
      <c r="AA38" s="1576">
        <f t="shared" si="3"/>
        <v>1</v>
      </c>
      <c r="AB38" s="1576">
        <f t="shared" si="4"/>
        <v>1</v>
      </c>
      <c r="AC38" s="1576">
        <f t="shared" si="5"/>
        <v>1</v>
      </c>
    </row>
    <row r="39" spans="1:29" ht="15">
      <c r="A39" s="594"/>
      <c r="B39" s="1896" t="s">
        <v>2570</v>
      </c>
      <c r="C39" s="599" t="s">
        <v>3562</v>
      </c>
      <c r="D39" s="540">
        <v>100</v>
      </c>
      <c r="E39" s="599" t="s">
        <v>3562</v>
      </c>
      <c r="F39" s="575">
        <f>SUMIF(116:116,E39,117:117)-SUMIF(116:116,C39,117:117)+100</f>
        <v>100</v>
      </c>
      <c r="G39" s="599" t="s">
        <v>3562</v>
      </c>
      <c r="H39" s="540">
        <f>SUMIF(116:116,G39,117:117)-SUMIF(116:116,C39,117:117)+100</f>
        <v>100</v>
      </c>
      <c r="I39" s="599" t="s">
        <v>3562</v>
      </c>
      <c r="J39" s="540">
        <f>SUMIF(116:116,I39,117:117)-SUMIF(116:116,C39,117:117)+100</f>
        <v>100</v>
      </c>
      <c r="K39" s="864">
        <v>1</v>
      </c>
      <c r="L39" s="2143"/>
      <c r="M39" s="2135"/>
      <c r="N39" s="2135"/>
      <c r="O39" s="2142"/>
      <c r="P39" s="3697"/>
      <c r="Q39" s="1572" t="str">
        <f t="shared" si="11"/>
        <v>市政基础设施</v>
      </c>
      <c r="R39" s="1573" t="s">
        <v>11</v>
      </c>
      <c r="S39" s="1574">
        <f t="shared" si="12"/>
        <v>100</v>
      </c>
      <c r="T39" s="1573" t="s">
        <v>11</v>
      </c>
      <c r="U39" s="1574">
        <f t="shared" si="13"/>
        <v>100</v>
      </c>
      <c r="V39" s="1573" t="s">
        <v>11</v>
      </c>
      <c r="W39" s="1574">
        <f t="shared" si="14"/>
        <v>100</v>
      </c>
      <c r="X39" s="1567"/>
      <c r="Y39" s="3697"/>
      <c r="Z39" s="1575" t="str">
        <f t="shared" si="15"/>
        <v>市政基础设施</v>
      </c>
      <c r="AA39" s="1576">
        <f t="shared" si="3"/>
        <v>1</v>
      </c>
      <c r="AB39" s="1576">
        <f t="shared" si="4"/>
        <v>1</v>
      </c>
      <c r="AC39" s="1576">
        <f t="shared" si="5"/>
        <v>1</v>
      </c>
    </row>
    <row r="40" spans="1:29" ht="15">
      <c r="A40" s="594"/>
      <c r="B40" s="527" t="s">
        <v>733</v>
      </c>
      <c r="C40" s="599" t="s">
        <v>3581</v>
      </c>
      <c r="D40" s="540">
        <v>100</v>
      </c>
      <c r="E40" s="599" t="s">
        <v>3581</v>
      </c>
      <c r="F40" s="575">
        <f>SUMIF(118:118,E40,119:119)-SUMIF(118:118,C40,119:119)+100</f>
        <v>100</v>
      </c>
      <c r="G40" s="599" t="s">
        <v>3581</v>
      </c>
      <c r="H40" s="540">
        <f>SUMIF(118:118,G40,119:119)-SUMIF(118:118,C40,119:119)+100</f>
        <v>100</v>
      </c>
      <c r="I40" s="599" t="s">
        <v>3581</v>
      </c>
      <c r="J40" s="540">
        <f>SUMIF(118:118,I40,119:119)-SUMIF(118:118,C40,119:119)+100</f>
        <v>100</v>
      </c>
      <c r="K40" s="864">
        <v>2</v>
      </c>
      <c r="L40" s="2143"/>
      <c r="M40" s="2135"/>
      <c r="N40" s="2135"/>
      <c r="O40" s="2142"/>
      <c r="P40" s="3697"/>
      <c r="Q40" s="1572" t="str">
        <f t="shared" si="11"/>
        <v>房型</v>
      </c>
      <c r="R40" s="1573" t="s">
        <v>11</v>
      </c>
      <c r="S40" s="1574">
        <f t="shared" si="12"/>
        <v>100</v>
      </c>
      <c r="T40" s="1573" t="s">
        <v>11</v>
      </c>
      <c r="U40" s="1574">
        <f t="shared" si="13"/>
        <v>100</v>
      </c>
      <c r="V40" s="1573" t="s">
        <v>11</v>
      </c>
      <c r="W40" s="1574">
        <f t="shared" si="14"/>
        <v>100</v>
      </c>
      <c r="X40" s="1567"/>
      <c r="Y40" s="3697"/>
      <c r="Z40" s="1575" t="str">
        <f t="shared" si="15"/>
        <v>房型</v>
      </c>
      <c r="AA40" s="1576">
        <f t="shared" si="3"/>
        <v>1</v>
      </c>
      <c r="AB40" s="1576">
        <f t="shared" si="4"/>
        <v>1</v>
      </c>
      <c r="AC40" s="1576">
        <f t="shared" si="5"/>
        <v>1</v>
      </c>
    </row>
    <row r="41" spans="1:29" s="1338" customFormat="1" ht="28.5">
      <c r="A41" s="603"/>
      <c r="B41" s="527" t="s">
        <v>734</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1"/>
      <c r="M41" s="2172"/>
      <c r="N41" s="2172"/>
      <c r="O41" s="2144"/>
      <c r="P41" s="3697"/>
      <c r="Q41" s="1605" t="str">
        <f t="shared" si="11"/>
        <v>单套/主力户型建筑面积</v>
      </c>
      <c r="R41" s="1577" t="s">
        <v>11</v>
      </c>
      <c r="S41" s="1578">
        <f t="shared" si="12"/>
        <v>100</v>
      </c>
      <c r="T41" s="1577" t="s">
        <v>11</v>
      </c>
      <c r="U41" s="1578">
        <f t="shared" si="13"/>
        <v>100</v>
      </c>
      <c r="V41" s="1577" t="s">
        <v>11</v>
      </c>
      <c r="W41" s="1578">
        <f t="shared" si="14"/>
        <v>100</v>
      </c>
      <c r="X41" s="1579"/>
      <c r="Y41" s="3697"/>
      <c r="Z41" s="1580" t="str">
        <f t="shared" si="15"/>
        <v>单套/主力户型建筑面积</v>
      </c>
      <c r="AA41" s="1576">
        <f t="shared" si="3"/>
        <v>1</v>
      </c>
      <c r="AB41" s="1576">
        <f t="shared" si="4"/>
        <v>1</v>
      </c>
      <c r="AC41" s="1576">
        <f t="shared" si="5"/>
        <v>1</v>
      </c>
    </row>
    <row r="42" spans="1:29" ht="15">
      <c r="A42" s="594"/>
      <c r="B42" s="527" t="s">
        <v>735</v>
      </c>
      <c r="C42" s="599" t="s">
        <v>3584</v>
      </c>
      <c r="D42" s="540">
        <v>100</v>
      </c>
      <c r="E42" s="599" t="s">
        <v>3584</v>
      </c>
      <c r="F42" s="575">
        <f>SUMIF(122:122,E42,123:123)-SUMIF(122:122,C42,123:123)+100</f>
        <v>100</v>
      </c>
      <c r="G42" s="599" t="s">
        <v>3584</v>
      </c>
      <c r="H42" s="540">
        <f>SUMIF(122:122,G42,123:123)-SUMIF(122:122,C42,123:123)+100</f>
        <v>100</v>
      </c>
      <c r="I42" s="599" t="s">
        <v>3584</v>
      </c>
      <c r="J42" s="540">
        <f>SUMIF(122:122,I42,123:123)-SUMIF(122:122,C42,123:123)+100</f>
        <v>100</v>
      </c>
      <c r="K42" s="864">
        <v>2</v>
      </c>
      <c r="L42" s="2143"/>
      <c r="M42" s="2135"/>
      <c r="N42" s="2135"/>
      <c r="O42" s="2142"/>
      <c r="P42" s="3697"/>
      <c r="Q42" s="1572" t="str">
        <f t="shared" si="11"/>
        <v>内部装修</v>
      </c>
      <c r="R42" s="1573" t="s">
        <v>11</v>
      </c>
      <c r="S42" s="1574">
        <f t="shared" si="12"/>
        <v>100</v>
      </c>
      <c r="T42" s="1573" t="s">
        <v>11</v>
      </c>
      <c r="U42" s="1574">
        <f t="shared" si="13"/>
        <v>100</v>
      </c>
      <c r="V42" s="1573" t="s">
        <v>11</v>
      </c>
      <c r="W42" s="1574">
        <f t="shared" si="14"/>
        <v>100</v>
      </c>
      <c r="X42" s="1567"/>
      <c r="Y42" s="3697"/>
      <c r="Z42" s="1575" t="str">
        <f t="shared" si="15"/>
        <v>内部装修</v>
      </c>
      <c r="AA42" s="1576">
        <f t="shared" si="3"/>
        <v>1</v>
      </c>
      <c r="AB42" s="1576">
        <f t="shared" si="4"/>
        <v>1</v>
      </c>
      <c r="AC42" s="1576">
        <f t="shared" si="5"/>
        <v>1</v>
      </c>
    </row>
    <row r="43" spans="1:29" ht="27">
      <c r="A43" s="594"/>
      <c r="B43" s="527" t="s">
        <v>736</v>
      </c>
      <c r="C43" s="599" t="s">
        <v>3224</v>
      </c>
      <c r="D43" s="540">
        <v>100</v>
      </c>
      <c r="E43" s="599" t="s">
        <v>3224</v>
      </c>
      <c r="F43" s="575">
        <f>SUMIF(124:124,E43,125:125)-SUMIF(124:124,C43,125:125)+100</f>
        <v>100</v>
      </c>
      <c r="G43" s="599" t="s">
        <v>3224</v>
      </c>
      <c r="H43" s="540">
        <f>SUMIF(124:124,G43,125:125)-SUMIF(124:124,C43,125:125)+100</f>
        <v>100</v>
      </c>
      <c r="I43" s="599" t="s">
        <v>3224</v>
      </c>
      <c r="J43" s="540">
        <f>SUMIF(124:124,I43,125:125)-SUMIF(124:124,C43,125:125)+100</f>
        <v>100</v>
      </c>
      <c r="K43" s="864">
        <v>2</v>
      </c>
      <c r="L43" s="2143"/>
      <c r="M43" s="2135"/>
      <c r="N43" s="2135"/>
      <c r="O43" s="2142"/>
      <c r="P43" s="3697"/>
      <c r="Q43" s="1572" t="str">
        <f t="shared" si="11"/>
        <v>内部装修维护情况</v>
      </c>
      <c r="R43" s="1573" t="s">
        <v>11</v>
      </c>
      <c r="S43" s="1574">
        <f t="shared" si="12"/>
        <v>100</v>
      </c>
      <c r="T43" s="1573" t="s">
        <v>11</v>
      </c>
      <c r="U43" s="1574">
        <f t="shared" si="13"/>
        <v>100</v>
      </c>
      <c r="V43" s="1573" t="s">
        <v>11</v>
      </c>
      <c r="W43" s="1574">
        <f t="shared" si="14"/>
        <v>100</v>
      </c>
      <c r="X43" s="1567"/>
      <c r="Y43" s="369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697"/>
      <c r="Q44" s="1150">
        <f t="shared" si="11"/>
        <v>111</v>
      </c>
      <c r="R44" s="1568" t="s">
        <v>11</v>
      </c>
      <c r="S44" s="1569">
        <f t="shared" si="12"/>
        <v>100</v>
      </c>
      <c r="T44" s="1568" t="s">
        <v>11</v>
      </c>
      <c r="U44" s="1569">
        <f t="shared" si="13"/>
        <v>100</v>
      </c>
      <c r="V44" s="1568" t="s">
        <v>11</v>
      </c>
      <c r="W44" s="1569">
        <f t="shared" si="14"/>
        <v>100</v>
      </c>
      <c r="X44" s="1570"/>
      <c r="Y44" s="369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97"/>
      <c r="Q45" s="1572">
        <f t="shared" si="11"/>
        <v>111</v>
      </c>
      <c r="R45" s="1573" t="s">
        <v>11</v>
      </c>
      <c r="S45" s="1574">
        <f t="shared" si="12"/>
        <v>100</v>
      </c>
      <c r="T45" s="1573" t="s">
        <v>11</v>
      </c>
      <c r="U45" s="1574">
        <f t="shared" si="13"/>
        <v>100</v>
      </c>
      <c r="V45" s="1573" t="s">
        <v>11</v>
      </c>
      <c r="W45" s="1574">
        <f t="shared" si="14"/>
        <v>100</v>
      </c>
      <c r="X45" s="1567"/>
      <c r="Y45" s="3697"/>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6"/>
      <c r="Q46" s="1572">
        <f t="shared" si="11"/>
        <v>111</v>
      </c>
      <c r="R46" s="1573" t="s">
        <v>10</v>
      </c>
      <c r="S46" s="1574">
        <f t="shared" si="12"/>
        <v>100</v>
      </c>
      <c r="T46" s="1573" t="s">
        <v>10</v>
      </c>
      <c r="U46" s="1574">
        <f t="shared" si="13"/>
        <v>100</v>
      </c>
      <c r="V46" s="1573" t="s">
        <v>10</v>
      </c>
      <c r="W46" s="1574">
        <f t="shared" si="14"/>
        <v>100</v>
      </c>
      <c r="X46" s="1567"/>
      <c r="Y46" s="3776"/>
      <c r="Z46" s="1575">
        <f t="shared" si="15"/>
        <v>111</v>
      </c>
      <c r="AA46" s="1576">
        <f t="shared" si="3"/>
        <v>1</v>
      </c>
      <c r="AB46" s="1576">
        <f t="shared" si="4"/>
        <v>1</v>
      </c>
      <c r="AC46" s="1576">
        <f t="shared" si="5"/>
        <v>1</v>
      </c>
    </row>
    <row r="47" spans="1:29" ht="15">
      <c r="A47" s="607" t="s">
        <v>737</v>
      </c>
      <c r="B47" s="886"/>
      <c r="C47" s="2652" t="s">
        <v>9</v>
      </c>
      <c r="D47" s="2653"/>
      <c r="E47" s="2654">
        <v>14500</v>
      </c>
      <c r="F47" s="2655"/>
      <c r="G47" s="2656">
        <v>14200</v>
      </c>
      <c r="H47" s="2657"/>
      <c r="I47" s="2654">
        <v>16500</v>
      </c>
      <c r="J47" s="2657"/>
      <c r="K47" s="1606"/>
      <c r="L47" s="2145"/>
      <c r="M47" s="2146"/>
      <c r="N47" s="2135"/>
      <c r="O47" s="2146"/>
      <c r="P47" s="3661" t="str">
        <f>A47</f>
        <v>成交单价（元/平方米）</v>
      </c>
      <c r="Q47" s="3661"/>
      <c r="R47" s="3775">
        <f>E47</f>
        <v>14500</v>
      </c>
      <c r="S47" s="3775"/>
      <c r="T47" s="3775">
        <f>G47</f>
        <v>14200</v>
      </c>
      <c r="U47" s="3775"/>
      <c r="V47" s="3775">
        <f>I47</f>
        <v>16500</v>
      </c>
      <c r="W47" s="3775"/>
      <c r="X47" s="1559"/>
      <c r="Y47" s="1581"/>
      <c r="Z47" s="1559"/>
      <c r="AA47" s="1559"/>
      <c r="AB47" s="1559"/>
      <c r="AC47" s="1559"/>
    </row>
    <row r="48" spans="1:29" ht="15.75" thickBot="1">
      <c r="A48" s="615" t="s">
        <v>2765</v>
      </c>
      <c r="B48" s="887"/>
      <c r="C48" s="2658">
        <f>R49</f>
        <v>15661</v>
      </c>
      <c r="D48" s="2659"/>
      <c r="E48" s="2660">
        <f>R48</f>
        <v>15254</v>
      </c>
      <c r="F48" s="2660"/>
      <c r="G48" s="2658">
        <f>T48</f>
        <v>14636</v>
      </c>
      <c r="H48" s="2659"/>
      <c r="I48" s="2660">
        <f>V48</f>
        <v>17092</v>
      </c>
      <c r="J48" s="2659"/>
      <c r="K48" s="1607"/>
      <c r="L48" s="2145"/>
      <c r="M48" s="2146"/>
      <c r="N48" s="2146"/>
      <c r="O48" s="2146"/>
      <c r="P48" s="3661" t="str">
        <f>A48</f>
        <v>比较价格（元/平方米）</v>
      </c>
      <c r="Q48" s="3661"/>
      <c r="R48" s="3775">
        <f>IF(F1="售价",ROUND(PRODUCT(R47,AA7:AA46),0),ROUND(PRODUCT(R47,AA7:AA46),1))</f>
        <v>15254</v>
      </c>
      <c r="S48" s="3775"/>
      <c r="T48" s="3775">
        <f>IF(F1="售价",ROUND(PRODUCT(T47,AB7:AB46),0),ROUND(PRODUCT(T47,AB7:AB46),1))</f>
        <v>14636</v>
      </c>
      <c r="U48" s="3775"/>
      <c r="V48" s="3775">
        <f>IF(F1="售价",ROUND(PRODUCT(V47,AC7:AC46),0),ROUND(PRODUCT(V47,AC7:AC46),1))</f>
        <v>17092</v>
      </c>
      <c r="W48" s="3775"/>
      <c r="X48" s="1559"/>
      <c r="Y48" s="1559"/>
      <c r="Z48" s="1559"/>
      <c r="AA48" s="1559"/>
      <c r="AB48" s="1559"/>
      <c r="AC48" s="1559"/>
    </row>
    <row r="49" spans="1:29" ht="15.75" thickBot="1">
      <c r="A49" s="621" t="s">
        <v>2941</v>
      </c>
      <c r="B49" s="622"/>
      <c r="C49" s="2661">
        <f>R49</f>
        <v>15661</v>
      </c>
      <c r="D49" s="2661"/>
      <c r="E49" s="2661"/>
      <c r="F49" s="2661"/>
      <c r="G49" s="2661"/>
      <c r="H49" s="2661"/>
      <c r="I49" s="2661"/>
      <c r="J49" s="2661"/>
      <c r="K49" s="1608"/>
      <c r="L49" s="2145"/>
      <c r="M49" s="2146"/>
      <c r="N49" s="2146"/>
      <c r="O49" s="2146"/>
      <c r="P49" s="3658" t="str">
        <f>A49</f>
        <v>估价对象XX用房的比较价格（楼面单价，元/平方米）</v>
      </c>
      <c r="Q49" s="3659"/>
      <c r="R49" s="3774">
        <f>IF(F1="售价",ROUND(AVERAGE(R48:V48),0),ROUND(AVERAGE(R48:V48),1))</f>
        <v>15661</v>
      </c>
      <c r="S49" s="3774"/>
      <c r="T49" s="3774"/>
      <c r="U49" s="3774"/>
      <c r="V49" s="3774"/>
      <c r="W49" s="377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5.2000000000000046E-2</v>
      </c>
      <c r="F52" s="627" t="str">
        <f>IF(OR(E52&gt;=0.3,E52&lt;=-0.3),"超过30%","")</f>
        <v/>
      </c>
      <c r="G52" s="626">
        <f>IF(G47&lt;G48,G48/G47-1,G47/G48-1)</f>
        <v>3.0704225352112591E-2</v>
      </c>
      <c r="H52" s="627" t="str">
        <f>IF(OR(G52&gt;=0.3,G52&lt;=-0.3),"超过30%","")</f>
        <v/>
      </c>
      <c r="I52" s="626">
        <f>IF(I47&lt;I48,I48/I47-1,I47/I48-1)</f>
        <v>3.5878787878787843E-2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4.2224651544137792E-2</v>
      </c>
      <c r="F53" s="627" t="str">
        <f>IF(OR(E53&gt;=0.2,E53&lt;=-0.2),"超过20%","")</f>
        <v/>
      </c>
      <c r="G53" s="626">
        <f>IF(G48&lt;I48,I48/G48-1,G48/I48-1)</f>
        <v>0.16780541131456683</v>
      </c>
      <c r="H53" s="627" t="str">
        <f>IF(OR(G53&gt;=0.2,G53&lt;=-0.2),"超过20%","")</f>
        <v/>
      </c>
      <c r="I53" s="626">
        <f>IF(I48&lt;E48,E48/I48-1,I48/E48-1)</f>
        <v>0.12049298544644027</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f>IF(E47&lt;G47,G47/E47-1,E47/G47-1)</f>
        <v>2.1126760563380254E-2</v>
      </c>
      <c r="F54" s="627" t="str">
        <f>IF(OR(E54&gt;=0.3,E54&lt;=-0.3),"超过30%","")</f>
        <v/>
      </c>
      <c r="G54" s="626">
        <f>IF(G47&lt;I47,I47/G47-1,G47/I47-1)</f>
        <v>0.1619718309859155</v>
      </c>
      <c r="H54" s="627" t="str">
        <f>IF(OR(G54&gt;=0.3,G54&lt;=-0.3),"超过30%","")</f>
        <v/>
      </c>
      <c r="I54" s="626">
        <f>IF(I47&lt;E47,E47/I47-1,I47/E47-1)</f>
        <v>0.13793103448275867</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530</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99.5</v>
      </c>
      <c r="E59" s="650">
        <v>99</v>
      </c>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0（含）-0</v>
      </c>
      <c r="D67" s="682" t="str">
        <f t="shared" ref="D67:L67" si="18">D68&amp;"（含）"&amp;"-"&amp;E68</f>
        <v>0（含）-0</v>
      </c>
      <c r="E67" s="682" t="str">
        <f t="shared" si="18"/>
        <v>0（含）-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0</v>
      </c>
      <c r="E68" s="541">
        <v>0</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2563</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2564</v>
      </c>
      <c r="C82" s="2623" t="s">
        <v>2565</v>
      </c>
      <c r="D82" s="2623" t="s">
        <v>2566</v>
      </c>
      <c r="E82" s="2623" t="s">
        <v>2567</v>
      </c>
      <c r="F82" s="2623" t="s">
        <v>2568</v>
      </c>
      <c r="G82" s="2623" t="s">
        <v>2569</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2261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747</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3481" t="s">
        <v>3569</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50000</v>
      </c>
      <c r="E103" s="730">
        <v>100000</v>
      </c>
      <c r="F103" s="730">
        <v>150000</v>
      </c>
      <c r="G103" s="730">
        <v>200000</v>
      </c>
      <c r="H103" s="730">
        <v>250000</v>
      </c>
      <c r="I103" s="730">
        <v>300000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82" t="s">
        <v>3570</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485" t="s">
        <v>3571</v>
      </c>
      <c r="D107" s="3485" t="s">
        <v>3572</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482" t="s">
        <v>3574</v>
      </c>
      <c r="D109" s="3482" t="s">
        <v>3575</v>
      </c>
      <c r="E109" s="3482" t="s">
        <v>3583</v>
      </c>
      <c r="F109" s="3485" t="s">
        <v>3585</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485" t="s">
        <v>3571</v>
      </c>
      <c r="D114" s="3485" t="s">
        <v>3572</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2562</v>
      </c>
      <c r="C116" s="3482" t="s">
        <v>3576</v>
      </c>
      <c r="D116" s="3482" t="s">
        <v>3577</v>
      </c>
      <c r="E116" s="3482" t="s">
        <v>3578</v>
      </c>
      <c r="F116" s="3482" t="s">
        <v>3579</v>
      </c>
      <c r="G116" s="3482" t="s">
        <v>3580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3485" t="s">
        <v>3582</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734</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82" t="s">
        <v>3574</v>
      </c>
      <c r="D122" s="3482" t="s">
        <v>3575</v>
      </c>
      <c r="E122" s="3482" t="s">
        <v>3583</v>
      </c>
      <c r="F122" s="3485" t="s">
        <v>3585</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topLeftCell="K1" workbookViewId="0">
      <selection activeCell="U36" sqref="U36"/>
    </sheetView>
  </sheetViews>
  <sheetFormatPr defaultRowHeight="13.5"/>
  <cols>
    <col min="1" max="1" width="23.125" customWidth="1"/>
    <col min="5" max="5" width="5.875" customWidth="1"/>
    <col min="7" max="7" width="5.5" customWidth="1"/>
    <col min="9" max="9" width="16.375" customWidth="1"/>
    <col min="12" max="12" width="15" customWidth="1"/>
    <col min="13" max="13" width="5" customWidth="1"/>
    <col min="14" max="14" width="5.5" customWidth="1"/>
    <col min="30" max="30" width="25.125" customWidth="1"/>
  </cols>
  <sheetData>
    <row r="1" spans="1:44" s="3477" customFormat="1" ht="12">
      <c r="A1" s="3477" t="s">
        <v>3231</v>
      </c>
      <c r="B1" s="3477" t="s">
        <v>3232</v>
      </c>
      <c r="C1" s="3477" t="s">
        <v>3233</v>
      </c>
      <c r="D1" s="3477" t="s">
        <v>3234</v>
      </c>
      <c r="E1" s="3477" t="s">
        <v>3235</v>
      </c>
      <c r="F1" s="3477" t="s">
        <v>3236</v>
      </c>
      <c r="G1" s="3477" t="s">
        <v>3237</v>
      </c>
      <c r="H1" s="3477" t="s">
        <v>3238</v>
      </c>
      <c r="I1" s="3477" t="s">
        <v>3239</v>
      </c>
      <c r="J1" s="3477" t="s">
        <v>3240</v>
      </c>
      <c r="K1" s="3477" t="s">
        <v>3241</v>
      </c>
      <c r="L1" s="3477" t="s">
        <v>2036</v>
      </c>
      <c r="M1" s="3477" t="s">
        <v>3242</v>
      </c>
      <c r="N1" s="3477" t="s">
        <v>3243</v>
      </c>
      <c r="O1" s="3477" t="s">
        <v>3244</v>
      </c>
      <c r="P1" s="3477" t="s">
        <v>3245</v>
      </c>
      <c r="Q1" s="3477" t="s">
        <v>3246</v>
      </c>
      <c r="R1" s="3477" t="s">
        <v>3247</v>
      </c>
      <c r="S1" s="3477" t="s">
        <v>3248</v>
      </c>
      <c r="T1" s="3477" t="s">
        <v>3249</v>
      </c>
      <c r="U1" s="3477" t="s">
        <v>3250</v>
      </c>
      <c r="V1" s="3477" t="s">
        <v>3251</v>
      </c>
      <c r="W1" s="3477" t="s">
        <v>3252</v>
      </c>
      <c r="X1" s="3477" t="s">
        <v>3253</v>
      </c>
      <c r="Y1" s="3477" t="s">
        <v>3254</v>
      </c>
      <c r="Z1" s="3477" t="s">
        <v>3255</v>
      </c>
      <c r="AA1" s="3477" t="s">
        <v>3256</v>
      </c>
      <c r="AB1" s="3477" t="s">
        <v>3257</v>
      </c>
      <c r="AC1" s="3477" t="s">
        <v>3258</v>
      </c>
      <c r="AD1" s="3477" t="s">
        <v>3259</v>
      </c>
      <c r="AE1" s="3477" t="s">
        <v>3260</v>
      </c>
      <c r="AF1" s="3477" t="s">
        <v>3261</v>
      </c>
      <c r="AG1" s="3477" t="s">
        <v>3262</v>
      </c>
      <c r="AH1" s="3477" t="s">
        <v>3263</v>
      </c>
      <c r="AI1" s="3477" t="s">
        <v>3264</v>
      </c>
      <c r="AJ1" s="3477" t="s">
        <v>3265</v>
      </c>
      <c r="AK1" s="3477" t="s">
        <v>3266</v>
      </c>
      <c r="AL1" s="3477" t="s">
        <v>3267</v>
      </c>
      <c r="AM1" s="3477" t="s">
        <v>3268</v>
      </c>
      <c r="AN1" s="3477" t="s">
        <v>3269</v>
      </c>
      <c r="AO1" s="3477" t="s">
        <v>3270</v>
      </c>
      <c r="AP1" s="3477" t="s">
        <v>3271</v>
      </c>
      <c r="AQ1" s="3477" t="s">
        <v>3272</v>
      </c>
      <c r="AR1" s="3477" t="s">
        <v>3273</v>
      </c>
    </row>
    <row r="2" spans="1:44" s="3477" customFormat="1" ht="12">
      <c r="A2" s="3477" t="s">
        <v>3274</v>
      </c>
      <c r="B2" s="3477" t="s">
        <v>3275</v>
      </c>
      <c r="C2" s="3477" t="s">
        <v>3276</v>
      </c>
      <c r="D2" s="3477" t="s">
        <v>3227</v>
      </c>
      <c r="E2" s="3477" t="s">
        <v>2823</v>
      </c>
      <c r="F2" s="3477" t="s">
        <v>3274</v>
      </c>
      <c r="G2" s="3477" t="s">
        <v>3277</v>
      </c>
      <c r="H2" s="3477" t="s">
        <v>3278</v>
      </c>
      <c r="I2" s="3477" t="s">
        <v>3279</v>
      </c>
      <c r="J2" s="3477">
        <v>11294.65</v>
      </c>
      <c r="K2" s="3477">
        <v>34109.839999999997</v>
      </c>
      <c r="L2" s="3477" t="s">
        <v>3280</v>
      </c>
      <c r="M2" s="3477" t="s">
        <v>2823</v>
      </c>
      <c r="N2" s="3477" t="s">
        <v>3281</v>
      </c>
      <c r="O2" s="3477" t="s">
        <v>3281</v>
      </c>
      <c r="P2" s="3477" t="s">
        <v>2823</v>
      </c>
      <c r="Q2" s="3477" t="s">
        <v>2823</v>
      </c>
      <c r="R2" s="3477" t="s">
        <v>2823</v>
      </c>
      <c r="S2" s="3477" t="s">
        <v>2823</v>
      </c>
      <c r="T2" s="3477" t="s">
        <v>2823</v>
      </c>
      <c r="U2" s="3477" t="s">
        <v>2823</v>
      </c>
      <c r="V2" s="3477" t="s">
        <v>2823</v>
      </c>
      <c r="W2" s="3477" t="s">
        <v>3282</v>
      </c>
      <c r="X2" s="3477" t="s">
        <v>3283</v>
      </c>
      <c r="Y2" s="3477" t="s">
        <v>3283</v>
      </c>
      <c r="Z2" s="3477" t="s">
        <v>3284</v>
      </c>
      <c r="AA2" s="3477" t="s">
        <v>3284</v>
      </c>
      <c r="AB2" s="3477" t="s">
        <v>3285</v>
      </c>
      <c r="AC2" s="3477" t="s">
        <v>3286</v>
      </c>
      <c r="AD2" s="3477" t="s">
        <v>3287</v>
      </c>
      <c r="AE2" s="3477">
        <v>2100</v>
      </c>
      <c r="AF2" s="3477">
        <v>2327</v>
      </c>
      <c r="AG2" s="3477">
        <v>2365</v>
      </c>
      <c r="AH2" s="3477">
        <v>137.35</v>
      </c>
      <c r="AI2" s="3477">
        <v>139.59</v>
      </c>
      <c r="AJ2" s="3477">
        <v>682.2</v>
      </c>
      <c r="AK2" s="3477">
        <v>693.35</v>
      </c>
      <c r="AL2" s="3477" t="s">
        <v>2823</v>
      </c>
      <c r="AM2" s="3477" t="s">
        <v>2823</v>
      </c>
      <c r="AN2" s="3477">
        <v>1.63</v>
      </c>
      <c r="AO2" s="3477" t="s">
        <v>3288</v>
      </c>
      <c r="AP2" s="3477" t="s">
        <v>2823</v>
      </c>
      <c r="AQ2" s="3477" t="s">
        <v>2823</v>
      </c>
      <c r="AR2" s="3477" t="s">
        <v>2823</v>
      </c>
    </row>
    <row r="3" spans="1:44" s="3477" customFormat="1" ht="12">
      <c r="A3" s="3477" t="s">
        <v>3289</v>
      </c>
      <c r="B3" s="3477" t="s">
        <v>3275</v>
      </c>
      <c r="C3" s="3477" t="s">
        <v>3290</v>
      </c>
      <c r="D3" s="3477" t="s">
        <v>3227</v>
      </c>
      <c r="E3" s="3477" t="s">
        <v>2823</v>
      </c>
      <c r="F3" s="3477" t="s">
        <v>3289</v>
      </c>
      <c r="G3" s="3477" t="s">
        <v>3277</v>
      </c>
      <c r="H3" s="3477" t="s">
        <v>3291</v>
      </c>
      <c r="I3" s="3477" t="s">
        <v>3292</v>
      </c>
      <c r="J3" s="3477">
        <v>9798.7099999999991</v>
      </c>
      <c r="K3" s="3477">
        <v>17637.68</v>
      </c>
      <c r="L3" s="3477" t="s">
        <v>3293</v>
      </c>
      <c r="M3" s="3477" t="s">
        <v>2823</v>
      </c>
      <c r="N3" s="3477" t="s">
        <v>3281</v>
      </c>
      <c r="O3" s="3477" t="s">
        <v>3281</v>
      </c>
      <c r="P3" s="3477" t="s">
        <v>2823</v>
      </c>
      <c r="Q3" s="3477" t="s">
        <v>2823</v>
      </c>
      <c r="R3" s="3477" t="s">
        <v>2823</v>
      </c>
      <c r="S3" s="3477" t="s">
        <v>2823</v>
      </c>
      <c r="T3" s="3477" t="s">
        <v>2823</v>
      </c>
      <c r="U3" s="3477" t="s">
        <v>2823</v>
      </c>
      <c r="V3" s="3477" t="s">
        <v>2823</v>
      </c>
      <c r="W3" s="3477" t="s">
        <v>3282</v>
      </c>
      <c r="X3" s="3477" t="s">
        <v>3283</v>
      </c>
      <c r="Y3" s="3477" t="s">
        <v>3283</v>
      </c>
      <c r="Z3" s="3477" t="s">
        <v>3284</v>
      </c>
      <c r="AA3" s="3477" t="s">
        <v>3284</v>
      </c>
      <c r="AB3" s="3477" t="s">
        <v>3294</v>
      </c>
      <c r="AC3" s="3477" t="s">
        <v>3286</v>
      </c>
      <c r="AD3" s="3477" t="s">
        <v>3295</v>
      </c>
      <c r="AE3" s="3477">
        <v>1350</v>
      </c>
      <c r="AF3" s="3477">
        <v>1485</v>
      </c>
      <c r="AG3" s="3477">
        <v>1555</v>
      </c>
      <c r="AH3" s="3477">
        <v>101.03</v>
      </c>
      <c r="AI3" s="3477">
        <v>105.8</v>
      </c>
      <c r="AJ3" s="3477">
        <v>841.94</v>
      </c>
      <c r="AK3" s="3477">
        <v>881.63</v>
      </c>
      <c r="AL3" s="3477" t="s">
        <v>2823</v>
      </c>
      <c r="AM3" s="3477" t="s">
        <v>2823</v>
      </c>
      <c r="AN3" s="3477">
        <v>4.71</v>
      </c>
      <c r="AO3" s="3477" t="s">
        <v>3296</v>
      </c>
      <c r="AP3" s="3477" t="s">
        <v>2823</v>
      </c>
      <c r="AQ3" s="3477" t="s">
        <v>2823</v>
      </c>
      <c r="AR3" s="3477" t="s">
        <v>2823</v>
      </c>
    </row>
    <row r="4" spans="1:44" s="3480" customFormat="1" ht="12">
      <c r="A4" s="3480" t="s">
        <v>3297</v>
      </c>
      <c r="B4" s="3480" t="s">
        <v>3275</v>
      </c>
      <c r="C4" s="3480" t="s">
        <v>3290</v>
      </c>
      <c r="D4" s="3480" t="s">
        <v>3227</v>
      </c>
      <c r="E4" s="3480" t="s">
        <v>2823</v>
      </c>
      <c r="F4" s="3480" t="s">
        <v>3297</v>
      </c>
      <c r="G4" s="3480" t="s">
        <v>3277</v>
      </c>
      <c r="H4" s="3480" t="s">
        <v>3298</v>
      </c>
      <c r="I4" s="3480" t="s">
        <v>3292</v>
      </c>
      <c r="J4" s="3480">
        <v>761.1</v>
      </c>
      <c r="K4" s="3480">
        <v>2039.75</v>
      </c>
      <c r="L4" s="3480" t="s">
        <v>3299</v>
      </c>
      <c r="M4" s="3480" t="s">
        <v>2823</v>
      </c>
      <c r="N4" s="3480" t="s">
        <v>3281</v>
      </c>
      <c r="O4" s="3480" t="s">
        <v>3300</v>
      </c>
      <c r="P4" s="3480" t="s">
        <v>2823</v>
      </c>
      <c r="Q4" s="3480" t="s">
        <v>2823</v>
      </c>
      <c r="R4" s="3480" t="s">
        <v>2823</v>
      </c>
      <c r="S4" s="3480" t="s">
        <v>2823</v>
      </c>
      <c r="T4" s="3480" t="s">
        <v>2823</v>
      </c>
      <c r="U4" s="3480" t="s">
        <v>2823</v>
      </c>
      <c r="V4" s="3480" t="s">
        <v>2823</v>
      </c>
      <c r="W4" s="3480" t="s">
        <v>3282</v>
      </c>
      <c r="X4" s="3480" t="s">
        <v>3301</v>
      </c>
      <c r="Y4" s="3480" t="s">
        <v>3301</v>
      </c>
      <c r="Z4" s="3480" t="s">
        <v>3302</v>
      </c>
      <c r="AA4" s="3480" t="s">
        <v>3302</v>
      </c>
      <c r="AB4" s="3480" t="s">
        <v>3303</v>
      </c>
      <c r="AC4" s="3480" t="s">
        <v>3286</v>
      </c>
      <c r="AD4" s="3480" t="s">
        <v>3304</v>
      </c>
      <c r="AE4" s="3480">
        <v>280</v>
      </c>
      <c r="AF4" s="3480">
        <v>309</v>
      </c>
      <c r="AG4" s="3480">
        <v>319</v>
      </c>
      <c r="AH4" s="3480">
        <v>270.66000000000003</v>
      </c>
      <c r="AI4" s="3480">
        <v>279.42</v>
      </c>
      <c r="AJ4" s="3480">
        <v>1514.89</v>
      </c>
      <c r="AK4" s="3480">
        <v>1563.92</v>
      </c>
      <c r="AL4" s="3480" t="s">
        <v>2823</v>
      </c>
      <c r="AM4" s="3480" t="s">
        <v>2823</v>
      </c>
      <c r="AN4" s="3480">
        <v>3.24</v>
      </c>
      <c r="AO4" s="3480" t="s">
        <v>3296</v>
      </c>
      <c r="AP4" s="3480" t="s">
        <v>2823</v>
      </c>
      <c r="AQ4" s="3480" t="s">
        <v>2823</v>
      </c>
      <c r="AR4" s="3480" t="s">
        <v>2823</v>
      </c>
    </row>
    <row r="5" spans="1:44" s="3478" customFormat="1" ht="12">
      <c r="A5" s="3478" t="s">
        <v>3305</v>
      </c>
      <c r="B5" s="3478" t="s">
        <v>3275</v>
      </c>
      <c r="C5" s="3478" t="s">
        <v>3290</v>
      </c>
      <c r="D5" s="3478" t="s">
        <v>3227</v>
      </c>
      <c r="E5" s="3478" t="s">
        <v>2823</v>
      </c>
      <c r="F5" s="3478" t="s">
        <v>3305</v>
      </c>
      <c r="G5" s="3478" t="s">
        <v>3277</v>
      </c>
      <c r="H5" s="3478" t="s">
        <v>3306</v>
      </c>
      <c r="I5" s="3478" t="s">
        <v>3307</v>
      </c>
      <c r="J5" s="3478">
        <v>20183.84</v>
      </c>
      <c r="K5" s="3478">
        <v>40367.68</v>
      </c>
      <c r="L5" s="3478" t="s">
        <v>3308</v>
      </c>
      <c r="M5" s="3478" t="s">
        <v>2823</v>
      </c>
      <c r="N5" s="3478" t="s">
        <v>3281</v>
      </c>
      <c r="O5" s="3478" t="s">
        <v>3281</v>
      </c>
      <c r="P5" s="3478" t="s">
        <v>2823</v>
      </c>
      <c r="Q5" s="3478" t="s">
        <v>2823</v>
      </c>
      <c r="R5" s="3478" t="s">
        <v>2823</v>
      </c>
      <c r="S5" s="3478" t="s">
        <v>2823</v>
      </c>
      <c r="T5" s="3478" t="s">
        <v>2823</v>
      </c>
      <c r="U5" s="3478" t="s">
        <v>2823</v>
      </c>
      <c r="V5" s="3478" t="s">
        <v>2823</v>
      </c>
      <c r="W5" s="3478" t="s">
        <v>3282</v>
      </c>
      <c r="X5" s="3478" t="s">
        <v>3301</v>
      </c>
      <c r="Y5" s="3478" t="s">
        <v>3301</v>
      </c>
      <c r="Z5" s="3478" t="s">
        <v>3302</v>
      </c>
      <c r="AA5" s="3478" t="s">
        <v>3302</v>
      </c>
      <c r="AB5" s="3478" t="s">
        <v>3309</v>
      </c>
      <c r="AC5" s="3478" t="s">
        <v>3286</v>
      </c>
      <c r="AD5" s="3478" t="s">
        <v>3310</v>
      </c>
      <c r="AE5" s="3478">
        <v>7800</v>
      </c>
      <c r="AF5" s="3478">
        <v>8533</v>
      </c>
      <c r="AG5" s="3478">
        <v>10800</v>
      </c>
      <c r="AH5" s="3478">
        <v>281.83999999999997</v>
      </c>
      <c r="AI5" s="3478">
        <v>356.72</v>
      </c>
      <c r="AJ5" s="3478">
        <v>2113.81</v>
      </c>
      <c r="AK5" s="3478">
        <v>2675.4</v>
      </c>
      <c r="AL5" s="3478" t="s">
        <v>2823</v>
      </c>
      <c r="AM5" s="3478" t="s">
        <v>2823</v>
      </c>
      <c r="AN5" s="3478">
        <v>26.57</v>
      </c>
      <c r="AO5" s="3478" t="s">
        <v>3296</v>
      </c>
      <c r="AP5" s="3478" t="s">
        <v>2823</v>
      </c>
      <c r="AQ5" s="3478" t="s">
        <v>2823</v>
      </c>
      <c r="AR5" s="3478" t="s">
        <v>2823</v>
      </c>
    </row>
    <row r="6" spans="1:44" s="3480" customFormat="1" ht="12">
      <c r="A6" s="3480" t="s">
        <v>3311</v>
      </c>
      <c r="B6" s="3480" t="s">
        <v>3275</v>
      </c>
      <c r="C6" s="3480" t="s">
        <v>3290</v>
      </c>
      <c r="D6" s="3480" t="s">
        <v>3227</v>
      </c>
      <c r="E6" s="3480" t="s">
        <v>2823</v>
      </c>
      <c r="F6" s="3480" t="s">
        <v>3311</v>
      </c>
      <c r="G6" s="3480" t="s">
        <v>3277</v>
      </c>
      <c r="H6" s="3480" t="s">
        <v>3312</v>
      </c>
      <c r="I6" s="3480" t="s">
        <v>3292</v>
      </c>
      <c r="J6" s="3480">
        <v>2072.6999999999998</v>
      </c>
      <c r="K6" s="3480">
        <v>5554.84</v>
      </c>
      <c r="L6" s="3480" t="s">
        <v>3299</v>
      </c>
      <c r="M6" s="3480" t="s">
        <v>2823</v>
      </c>
      <c r="N6" s="3480" t="s">
        <v>3281</v>
      </c>
      <c r="O6" s="3480" t="s">
        <v>3300</v>
      </c>
      <c r="P6" s="3480" t="s">
        <v>2823</v>
      </c>
      <c r="Q6" s="3480" t="s">
        <v>2823</v>
      </c>
      <c r="R6" s="3480" t="s">
        <v>2823</v>
      </c>
      <c r="S6" s="3480" t="s">
        <v>2823</v>
      </c>
      <c r="T6" s="3480" t="s">
        <v>2823</v>
      </c>
      <c r="U6" s="3480" t="s">
        <v>2823</v>
      </c>
      <c r="V6" s="3480" t="s">
        <v>2823</v>
      </c>
      <c r="W6" s="3480" t="s">
        <v>3282</v>
      </c>
      <c r="X6" s="3480" t="s">
        <v>3301</v>
      </c>
      <c r="Y6" s="3480" t="s">
        <v>3301</v>
      </c>
      <c r="Z6" s="3480" t="s">
        <v>3302</v>
      </c>
      <c r="AA6" s="3480" t="s">
        <v>3302</v>
      </c>
      <c r="AB6" s="3480" t="s">
        <v>3313</v>
      </c>
      <c r="AC6" s="3480" t="s">
        <v>3286</v>
      </c>
      <c r="AD6" s="3480" t="s">
        <v>3304</v>
      </c>
      <c r="AE6" s="3480">
        <v>750</v>
      </c>
      <c r="AF6" s="3480">
        <v>823</v>
      </c>
      <c r="AG6" s="3480">
        <v>853</v>
      </c>
      <c r="AH6" s="3480">
        <v>264.70999999999998</v>
      </c>
      <c r="AI6" s="3480">
        <v>274.36</v>
      </c>
      <c r="AJ6" s="3480">
        <v>1481.59</v>
      </c>
      <c r="AK6" s="3480">
        <v>1535.59</v>
      </c>
      <c r="AL6" s="3480" t="s">
        <v>2823</v>
      </c>
      <c r="AM6" s="3480" t="s">
        <v>2823</v>
      </c>
      <c r="AN6" s="3480">
        <v>3.65</v>
      </c>
      <c r="AO6" s="3480" t="s">
        <v>3296</v>
      </c>
      <c r="AP6" s="3480" t="s">
        <v>2823</v>
      </c>
      <c r="AQ6" s="3480" t="s">
        <v>2823</v>
      </c>
      <c r="AR6" s="3480" t="s">
        <v>2823</v>
      </c>
    </row>
    <row r="7" spans="1:44" s="3477" customFormat="1" ht="12">
      <c r="A7" s="3477" t="s">
        <v>3314</v>
      </c>
      <c r="B7" s="3477" t="s">
        <v>3275</v>
      </c>
      <c r="C7" s="3477" t="s">
        <v>3290</v>
      </c>
      <c r="D7" s="3477" t="s">
        <v>3227</v>
      </c>
      <c r="E7" s="3477" t="s">
        <v>2823</v>
      </c>
      <c r="F7" s="3477" t="s">
        <v>3314</v>
      </c>
      <c r="G7" s="3477" t="s">
        <v>3277</v>
      </c>
      <c r="H7" s="3477" t="s">
        <v>3315</v>
      </c>
      <c r="I7" s="3477" t="s">
        <v>3307</v>
      </c>
      <c r="J7" s="3477">
        <v>6056.67</v>
      </c>
      <c r="K7" s="3477">
        <v>12113.34</v>
      </c>
      <c r="L7" s="3480" t="s">
        <v>3308</v>
      </c>
      <c r="M7" s="3477" t="s">
        <v>2823</v>
      </c>
      <c r="N7" s="3477" t="s">
        <v>3281</v>
      </c>
      <c r="O7" s="3477" t="s">
        <v>3300</v>
      </c>
      <c r="P7" s="3477" t="s">
        <v>2823</v>
      </c>
      <c r="Q7" s="3477" t="s">
        <v>2823</v>
      </c>
      <c r="R7" s="3477" t="s">
        <v>2823</v>
      </c>
      <c r="S7" s="3477" t="s">
        <v>2823</v>
      </c>
      <c r="T7" s="3477" t="s">
        <v>2823</v>
      </c>
      <c r="U7" s="3477" t="s">
        <v>2823</v>
      </c>
      <c r="V7" s="3477" t="s">
        <v>2823</v>
      </c>
      <c r="W7" s="3477" t="s">
        <v>3282</v>
      </c>
      <c r="X7" s="3477" t="s">
        <v>3316</v>
      </c>
      <c r="Y7" s="3477" t="s">
        <v>3316</v>
      </c>
      <c r="Z7" s="3477" t="s">
        <v>3317</v>
      </c>
      <c r="AA7" s="3477" t="s">
        <v>3317</v>
      </c>
      <c r="AB7" s="3477" t="s">
        <v>3318</v>
      </c>
      <c r="AC7" s="3477" t="s">
        <v>3286</v>
      </c>
      <c r="AD7" s="3477" t="s">
        <v>3319</v>
      </c>
      <c r="AE7" s="3477">
        <v>5000</v>
      </c>
      <c r="AF7" s="3477">
        <v>5450</v>
      </c>
      <c r="AG7" s="3477">
        <v>7100</v>
      </c>
      <c r="AH7" s="3477">
        <v>599.89</v>
      </c>
      <c r="AI7" s="3477">
        <v>781.51</v>
      </c>
      <c r="AJ7" s="3477">
        <v>4499.17</v>
      </c>
      <c r="AK7" s="3477">
        <v>5861.31</v>
      </c>
      <c r="AL7" s="3477" t="s">
        <v>2823</v>
      </c>
      <c r="AM7" s="3477" t="s">
        <v>2823</v>
      </c>
      <c r="AN7" s="3477">
        <v>30.28</v>
      </c>
      <c r="AO7" s="3477" t="s">
        <v>3296</v>
      </c>
      <c r="AP7" s="3477" t="s">
        <v>2823</v>
      </c>
      <c r="AQ7" s="3477" t="s">
        <v>2823</v>
      </c>
      <c r="AR7" s="3477" t="s">
        <v>2823</v>
      </c>
    </row>
    <row r="8" spans="1:44" s="3477" customFormat="1" ht="12">
      <c r="A8" s="3477" t="s">
        <v>3314</v>
      </c>
      <c r="B8" s="3477" t="s">
        <v>3275</v>
      </c>
      <c r="C8" s="3477" t="s">
        <v>3290</v>
      </c>
      <c r="D8" s="3477" t="s">
        <v>3227</v>
      </c>
      <c r="E8" s="3477" t="s">
        <v>2823</v>
      </c>
      <c r="F8" s="3477" t="s">
        <v>3314</v>
      </c>
      <c r="G8" s="3477" t="s">
        <v>3277</v>
      </c>
      <c r="H8" s="3477" t="s">
        <v>3320</v>
      </c>
      <c r="I8" s="3477" t="s">
        <v>3307</v>
      </c>
      <c r="J8" s="3477">
        <v>37196.49</v>
      </c>
      <c r="K8" s="3477">
        <v>74392.98</v>
      </c>
      <c r="L8" s="3477" t="s">
        <v>3308</v>
      </c>
      <c r="M8" s="3477" t="s">
        <v>2823</v>
      </c>
      <c r="N8" s="3477" t="s">
        <v>3281</v>
      </c>
      <c r="O8" s="3477" t="s">
        <v>3300</v>
      </c>
      <c r="P8" s="3477" t="s">
        <v>2823</v>
      </c>
      <c r="Q8" s="3477" t="s">
        <v>2823</v>
      </c>
      <c r="R8" s="3477" t="s">
        <v>2823</v>
      </c>
      <c r="S8" s="3477" t="s">
        <v>2823</v>
      </c>
      <c r="T8" s="3477" t="s">
        <v>2823</v>
      </c>
      <c r="U8" s="3477" t="s">
        <v>2823</v>
      </c>
      <c r="V8" s="3477" t="s">
        <v>2823</v>
      </c>
      <c r="W8" s="3477" t="s">
        <v>3282</v>
      </c>
      <c r="X8" s="3477" t="s">
        <v>3316</v>
      </c>
      <c r="Y8" s="3477" t="s">
        <v>3316</v>
      </c>
      <c r="Z8" s="3477" t="s">
        <v>3317</v>
      </c>
      <c r="AA8" s="3477" t="s">
        <v>3317</v>
      </c>
      <c r="AB8" s="3477" t="s">
        <v>3321</v>
      </c>
      <c r="AC8" s="3477" t="s">
        <v>3286</v>
      </c>
      <c r="AD8" s="3477" t="s">
        <v>3319</v>
      </c>
      <c r="AE8" s="3477">
        <v>30000</v>
      </c>
      <c r="AF8" s="3477">
        <v>33200</v>
      </c>
      <c r="AG8" s="3477">
        <v>43300</v>
      </c>
      <c r="AH8" s="3477">
        <v>595.04</v>
      </c>
      <c r="AI8" s="3477">
        <v>776.06</v>
      </c>
      <c r="AJ8" s="3477">
        <v>4462.78</v>
      </c>
      <c r="AK8" s="3477">
        <v>5820.43</v>
      </c>
      <c r="AL8" s="3477" t="s">
        <v>2823</v>
      </c>
      <c r="AM8" s="3477" t="s">
        <v>2823</v>
      </c>
      <c r="AN8" s="3477">
        <v>30.42</v>
      </c>
      <c r="AO8" s="3477" t="s">
        <v>3296</v>
      </c>
      <c r="AP8" s="3477" t="s">
        <v>2823</v>
      </c>
      <c r="AQ8" s="3477" t="s">
        <v>2823</v>
      </c>
      <c r="AR8" s="3477" t="s">
        <v>2823</v>
      </c>
    </row>
    <row r="9" spans="1:44" s="3480" customFormat="1" ht="12">
      <c r="A9" s="3480" t="s">
        <v>3322</v>
      </c>
      <c r="B9" s="3480" t="s">
        <v>3275</v>
      </c>
      <c r="C9" s="3480" t="s">
        <v>3290</v>
      </c>
      <c r="D9" s="3480" t="s">
        <v>3227</v>
      </c>
      <c r="E9" s="3480" t="s">
        <v>2823</v>
      </c>
      <c r="F9" s="3480" t="s">
        <v>3322</v>
      </c>
      <c r="G9" s="3480" t="s">
        <v>3277</v>
      </c>
      <c r="H9" s="3480" t="s">
        <v>3323</v>
      </c>
      <c r="I9" s="3480" t="s">
        <v>3292</v>
      </c>
      <c r="J9" s="3480">
        <v>5000</v>
      </c>
      <c r="K9" s="3480">
        <v>14650</v>
      </c>
      <c r="L9" s="3480" t="s">
        <v>3324</v>
      </c>
      <c r="M9" s="3480" t="s">
        <v>2823</v>
      </c>
      <c r="N9" s="3480" t="s">
        <v>3281</v>
      </c>
      <c r="O9" s="3480" t="s">
        <v>3325</v>
      </c>
      <c r="P9" s="3480" t="s">
        <v>2823</v>
      </c>
      <c r="Q9" s="3480" t="s">
        <v>2823</v>
      </c>
      <c r="R9" s="3480" t="s">
        <v>2823</v>
      </c>
      <c r="S9" s="3480" t="s">
        <v>2823</v>
      </c>
      <c r="T9" s="3480" t="s">
        <v>2823</v>
      </c>
      <c r="U9" s="3480" t="s">
        <v>2823</v>
      </c>
      <c r="V9" s="3480" t="s">
        <v>2823</v>
      </c>
      <c r="W9" s="3480" t="s">
        <v>3282</v>
      </c>
      <c r="X9" s="3480" t="s">
        <v>3326</v>
      </c>
      <c r="Y9" s="3480" t="s">
        <v>3326</v>
      </c>
      <c r="Z9" s="3480" t="s">
        <v>3327</v>
      </c>
      <c r="AA9" s="3480" t="s">
        <v>3327</v>
      </c>
      <c r="AB9" s="3480" t="s">
        <v>3328</v>
      </c>
      <c r="AC9" s="3480" t="s">
        <v>3286</v>
      </c>
      <c r="AD9" s="3480" t="s">
        <v>3329</v>
      </c>
      <c r="AE9" s="3480">
        <v>1800</v>
      </c>
      <c r="AF9" s="3480">
        <v>1985</v>
      </c>
      <c r="AG9" s="3480">
        <v>2000</v>
      </c>
      <c r="AH9" s="3480">
        <v>264.67</v>
      </c>
      <c r="AI9" s="3480">
        <v>266.67</v>
      </c>
      <c r="AJ9" s="3480">
        <v>1354.94</v>
      </c>
      <c r="AK9" s="3480">
        <v>1365.19</v>
      </c>
      <c r="AL9" s="3480" t="s">
        <v>2823</v>
      </c>
      <c r="AM9" s="3480" t="s">
        <v>2823</v>
      </c>
      <c r="AN9" s="3480">
        <v>0.76</v>
      </c>
      <c r="AO9" s="3480" t="s">
        <v>3296</v>
      </c>
      <c r="AP9" s="3480" t="s">
        <v>2823</v>
      </c>
      <c r="AQ9" s="3480" t="s">
        <v>2823</v>
      </c>
      <c r="AR9" s="3480" t="s">
        <v>2823</v>
      </c>
    </row>
    <row r="10" spans="1:44" s="3477" customFormat="1" ht="12">
      <c r="A10" s="3477" t="s">
        <v>3330</v>
      </c>
      <c r="B10" s="3477" t="s">
        <v>3275</v>
      </c>
      <c r="C10" s="3477" t="s">
        <v>3276</v>
      </c>
      <c r="D10" s="3477" t="s">
        <v>3227</v>
      </c>
      <c r="E10" s="3477" t="s">
        <v>2823</v>
      </c>
      <c r="F10" s="3477" t="s">
        <v>3330</v>
      </c>
      <c r="G10" s="3477" t="s">
        <v>3277</v>
      </c>
      <c r="H10" s="3477" t="s">
        <v>3331</v>
      </c>
      <c r="I10" s="3477" t="s">
        <v>3279</v>
      </c>
      <c r="J10" s="3477">
        <v>14934.7</v>
      </c>
      <c r="K10" s="3477">
        <v>38979.57</v>
      </c>
      <c r="L10" s="3477" t="s">
        <v>3332</v>
      </c>
      <c r="M10" s="3477" t="s">
        <v>2823</v>
      </c>
      <c r="N10" s="3477" t="s">
        <v>3281</v>
      </c>
      <c r="O10" s="3477" t="s">
        <v>3325</v>
      </c>
      <c r="P10" s="3477" t="s">
        <v>2823</v>
      </c>
      <c r="Q10" s="3477" t="s">
        <v>2823</v>
      </c>
      <c r="R10" s="3477" t="s">
        <v>2823</v>
      </c>
      <c r="S10" s="3477" t="s">
        <v>2823</v>
      </c>
      <c r="T10" s="3477" t="s">
        <v>2823</v>
      </c>
      <c r="U10" s="3477" t="s">
        <v>2823</v>
      </c>
      <c r="V10" s="3477" t="s">
        <v>2823</v>
      </c>
      <c r="W10" s="3477" t="s">
        <v>3282</v>
      </c>
      <c r="X10" s="3477" t="s">
        <v>3326</v>
      </c>
      <c r="Y10" s="3477" t="s">
        <v>3326</v>
      </c>
      <c r="Z10" s="3477" t="s">
        <v>3327</v>
      </c>
      <c r="AA10" s="3477" t="s">
        <v>3327</v>
      </c>
      <c r="AB10" s="3477" t="s">
        <v>3333</v>
      </c>
      <c r="AC10" s="3477" t="s">
        <v>3286</v>
      </c>
      <c r="AD10" s="3477" t="s">
        <v>3334</v>
      </c>
      <c r="AE10" s="3477">
        <v>2800</v>
      </c>
      <c r="AF10" s="3477">
        <v>3026</v>
      </c>
      <c r="AG10" s="3477">
        <v>3094</v>
      </c>
      <c r="AH10" s="3477">
        <v>135.08000000000001</v>
      </c>
      <c r="AI10" s="3477">
        <v>138.11000000000001</v>
      </c>
      <c r="AJ10" s="3477">
        <v>776.3</v>
      </c>
      <c r="AK10" s="3477">
        <v>793.75</v>
      </c>
      <c r="AL10" s="3477" t="s">
        <v>2823</v>
      </c>
      <c r="AM10" s="3477" t="s">
        <v>2823</v>
      </c>
      <c r="AN10" s="3477">
        <v>2.25</v>
      </c>
      <c r="AO10" s="3477" t="s">
        <v>3288</v>
      </c>
      <c r="AP10" s="3477" t="s">
        <v>2823</v>
      </c>
      <c r="AQ10" s="3477" t="s">
        <v>2823</v>
      </c>
      <c r="AR10" s="3477" t="s">
        <v>2823</v>
      </c>
    </row>
    <row r="11" spans="1:44" s="3478" customFormat="1" ht="12">
      <c r="A11" s="3478" t="s">
        <v>3305</v>
      </c>
      <c r="B11" s="3478" t="s">
        <v>3275</v>
      </c>
      <c r="C11" s="3478" t="s">
        <v>3290</v>
      </c>
      <c r="D11" s="3478" t="s">
        <v>3227</v>
      </c>
      <c r="E11" s="3478" t="s">
        <v>2823</v>
      </c>
      <c r="F11" s="3478" t="s">
        <v>3305</v>
      </c>
      <c r="G11" s="3478" t="s">
        <v>3277</v>
      </c>
      <c r="H11" s="3478" t="s">
        <v>3335</v>
      </c>
      <c r="I11" s="3478" t="s">
        <v>3307</v>
      </c>
      <c r="J11" s="3478">
        <v>28841.38</v>
      </c>
      <c r="K11" s="3478">
        <v>57682.76</v>
      </c>
      <c r="L11" s="3478" t="s">
        <v>3308</v>
      </c>
      <c r="M11" s="3478" t="s">
        <v>2823</v>
      </c>
      <c r="N11" s="3478" t="s">
        <v>3281</v>
      </c>
      <c r="O11" s="3478" t="s">
        <v>3281</v>
      </c>
      <c r="P11" s="3478" t="s">
        <v>2823</v>
      </c>
      <c r="Q11" s="3478" t="s">
        <v>2823</v>
      </c>
      <c r="R11" s="3478" t="s">
        <v>2823</v>
      </c>
      <c r="S11" s="3478" t="s">
        <v>2823</v>
      </c>
      <c r="T11" s="3478" t="s">
        <v>2823</v>
      </c>
      <c r="U11" s="3478" t="s">
        <v>2823</v>
      </c>
      <c r="V11" s="3478" t="s">
        <v>2823</v>
      </c>
      <c r="W11" s="3478" t="s">
        <v>3282</v>
      </c>
      <c r="X11" s="3478" t="s">
        <v>3336</v>
      </c>
      <c r="Y11" s="3478" t="s">
        <v>3336</v>
      </c>
      <c r="Z11" s="3478" t="s">
        <v>3337</v>
      </c>
      <c r="AA11" s="3478" t="s">
        <v>3337</v>
      </c>
      <c r="AB11" s="3478" t="s">
        <v>3338</v>
      </c>
      <c r="AC11" s="3478" t="s">
        <v>3286</v>
      </c>
      <c r="AD11" s="3478" t="s">
        <v>3310</v>
      </c>
      <c r="AE11" s="3478">
        <v>11000</v>
      </c>
      <c r="AF11" s="3478">
        <v>12200</v>
      </c>
      <c r="AG11" s="3478">
        <v>15500</v>
      </c>
      <c r="AH11" s="3478">
        <v>282</v>
      </c>
      <c r="AI11" s="3478">
        <v>358.28</v>
      </c>
      <c r="AJ11" s="3478">
        <v>2115.0100000000002</v>
      </c>
      <c r="AK11" s="3478">
        <v>2687.11</v>
      </c>
      <c r="AL11" s="3478" t="s">
        <v>2823</v>
      </c>
      <c r="AM11" s="3478" t="s">
        <v>2823</v>
      </c>
      <c r="AN11" s="3478">
        <v>27.05</v>
      </c>
      <c r="AO11" s="3478" t="s">
        <v>3296</v>
      </c>
      <c r="AP11" s="3478" t="s">
        <v>2823</v>
      </c>
      <c r="AQ11" s="3478" t="s">
        <v>2823</v>
      </c>
      <c r="AR11" s="3478" t="s">
        <v>2823</v>
      </c>
    </row>
    <row r="12" spans="1:44" s="3477" customFormat="1" ht="12">
      <c r="A12" s="3477" t="s">
        <v>3339</v>
      </c>
      <c r="B12" s="3477" t="s">
        <v>3275</v>
      </c>
      <c r="C12" s="3477" t="s">
        <v>3290</v>
      </c>
      <c r="D12" s="3477" t="s">
        <v>3227</v>
      </c>
      <c r="E12" s="3477" t="s">
        <v>2823</v>
      </c>
      <c r="F12" s="3477" t="s">
        <v>3339</v>
      </c>
      <c r="G12" s="3477" t="s">
        <v>3277</v>
      </c>
      <c r="H12" s="3477" t="s">
        <v>3340</v>
      </c>
      <c r="I12" s="3477" t="s">
        <v>3307</v>
      </c>
      <c r="J12" s="3477">
        <v>14827.52</v>
      </c>
      <c r="K12" s="3477">
        <v>29655.040000000001</v>
      </c>
      <c r="L12" s="3477" t="s">
        <v>3308</v>
      </c>
      <c r="M12" s="3477" t="s">
        <v>2823</v>
      </c>
      <c r="N12" s="3477" t="s">
        <v>3281</v>
      </c>
      <c r="O12" s="3477" t="s">
        <v>3300</v>
      </c>
      <c r="P12" s="3477" t="s">
        <v>2823</v>
      </c>
      <c r="Q12" s="3477" t="s">
        <v>2823</v>
      </c>
      <c r="R12" s="3477" t="s">
        <v>2823</v>
      </c>
      <c r="S12" s="3477" t="s">
        <v>2823</v>
      </c>
      <c r="T12" s="3477" t="s">
        <v>2823</v>
      </c>
      <c r="U12" s="3477" t="s">
        <v>2823</v>
      </c>
      <c r="V12" s="3477" t="s">
        <v>2823</v>
      </c>
      <c r="W12" s="3477" t="s">
        <v>3282</v>
      </c>
      <c r="X12" s="3477" t="s">
        <v>3336</v>
      </c>
      <c r="Y12" s="3477" t="s">
        <v>3336</v>
      </c>
      <c r="Z12" s="3477" t="s">
        <v>3337</v>
      </c>
      <c r="AA12" s="3477" t="s">
        <v>3337</v>
      </c>
      <c r="AB12" s="3477" t="s">
        <v>3341</v>
      </c>
      <c r="AC12" s="3477" t="s">
        <v>3286</v>
      </c>
      <c r="AD12" s="3477" t="s">
        <v>3319</v>
      </c>
      <c r="AE12" s="3477">
        <v>6200</v>
      </c>
      <c r="AF12" s="3477">
        <v>6800</v>
      </c>
      <c r="AG12" s="3477">
        <v>12100</v>
      </c>
      <c r="AH12" s="3477">
        <v>305.74</v>
      </c>
      <c r="AI12" s="3477">
        <v>544.03</v>
      </c>
      <c r="AJ12" s="3477">
        <v>2293.0300000000002</v>
      </c>
      <c r="AK12" s="3477">
        <v>4080.25</v>
      </c>
      <c r="AL12" s="3477" t="s">
        <v>2823</v>
      </c>
      <c r="AM12" s="3477" t="s">
        <v>2823</v>
      </c>
      <c r="AN12" s="3477">
        <v>77.94</v>
      </c>
      <c r="AO12" s="3477" t="s">
        <v>3296</v>
      </c>
      <c r="AP12" s="3477" t="s">
        <v>2823</v>
      </c>
      <c r="AQ12" s="3477" t="s">
        <v>2823</v>
      </c>
      <c r="AR12" s="3477" t="s">
        <v>2823</v>
      </c>
    </row>
    <row r="13" spans="1:44" s="3477" customFormat="1" ht="12">
      <c r="A13" s="3477" t="s">
        <v>3342</v>
      </c>
      <c r="B13" s="3477" t="s">
        <v>3275</v>
      </c>
      <c r="C13" s="3477" t="s">
        <v>3290</v>
      </c>
      <c r="D13" s="3477" t="s">
        <v>3227</v>
      </c>
      <c r="E13" s="3477" t="s">
        <v>2823</v>
      </c>
      <c r="F13" s="3477" t="s">
        <v>3342</v>
      </c>
      <c r="G13" s="3477" t="s">
        <v>3277</v>
      </c>
      <c r="H13" s="3477" t="s">
        <v>3343</v>
      </c>
      <c r="I13" s="3477" t="s">
        <v>3307</v>
      </c>
      <c r="J13" s="3477">
        <v>5025.71</v>
      </c>
      <c r="K13" s="3477">
        <v>10051.42</v>
      </c>
      <c r="L13" s="3477" t="s">
        <v>3308</v>
      </c>
      <c r="M13" s="3477" t="s">
        <v>2823</v>
      </c>
      <c r="N13" s="3477" t="s">
        <v>3281</v>
      </c>
      <c r="O13" s="3477" t="s">
        <v>3344</v>
      </c>
      <c r="P13" s="3477" t="s">
        <v>2823</v>
      </c>
      <c r="Q13" s="3477" t="s">
        <v>2823</v>
      </c>
      <c r="R13" s="3477" t="s">
        <v>2823</v>
      </c>
      <c r="S13" s="3477" t="s">
        <v>2823</v>
      </c>
      <c r="T13" s="3477" t="s">
        <v>2823</v>
      </c>
      <c r="U13" s="3477" t="s">
        <v>2823</v>
      </c>
      <c r="V13" s="3477" t="s">
        <v>2823</v>
      </c>
      <c r="W13" s="3477" t="s">
        <v>3282</v>
      </c>
      <c r="X13" s="3477" t="s">
        <v>3336</v>
      </c>
      <c r="Y13" s="3477" t="s">
        <v>3345</v>
      </c>
      <c r="Z13" s="3477" t="s">
        <v>3337</v>
      </c>
      <c r="AA13" s="3477" t="s">
        <v>3337</v>
      </c>
      <c r="AB13" s="3477" t="s">
        <v>3346</v>
      </c>
      <c r="AC13" s="3477" t="s">
        <v>3286</v>
      </c>
      <c r="AD13" s="3477" t="s">
        <v>3319</v>
      </c>
      <c r="AE13" s="3477">
        <v>2100</v>
      </c>
      <c r="AF13" s="3477">
        <v>2300</v>
      </c>
      <c r="AG13" s="3477">
        <v>4100</v>
      </c>
      <c r="AH13" s="3477">
        <v>305.10000000000002</v>
      </c>
      <c r="AI13" s="3477">
        <v>543.87</v>
      </c>
      <c r="AJ13" s="3477">
        <v>2288.23</v>
      </c>
      <c r="AK13" s="3477">
        <v>4079.03</v>
      </c>
      <c r="AL13" s="3477" t="s">
        <v>2823</v>
      </c>
      <c r="AM13" s="3477" t="s">
        <v>2823</v>
      </c>
      <c r="AN13" s="3477">
        <v>78.260000000000005</v>
      </c>
      <c r="AO13" s="3477" t="s">
        <v>3296</v>
      </c>
      <c r="AP13" s="3477" t="s">
        <v>2823</v>
      </c>
      <c r="AQ13" s="3477" t="s">
        <v>2823</v>
      </c>
      <c r="AR13" s="3477" t="s">
        <v>2823</v>
      </c>
    </row>
    <row r="14" spans="1:44" s="3480" customFormat="1" ht="12">
      <c r="A14" s="3480" t="s">
        <v>3347</v>
      </c>
      <c r="B14" s="3480" t="s">
        <v>3275</v>
      </c>
      <c r="C14" s="3480" t="s">
        <v>3290</v>
      </c>
      <c r="D14" s="3480" t="s">
        <v>3227</v>
      </c>
      <c r="E14" s="3480" t="s">
        <v>2823</v>
      </c>
      <c r="F14" s="3480" t="s">
        <v>3347</v>
      </c>
      <c r="G14" s="3480" t="s">
        <v>3277</v>
      </c>
      <c r="H14" s="3480" t="s">
        <v>3348</v>
      </c>
      <c r="I14" s="3480" t="s">
        <v>3307</v>
      </c>
      <c r="J14" s="3480">
        <v>32483.93</v>
      </c>
      <c r="K14" s="3480">
        <v>48725.9</v>
      </c>
      <c r="L14" s="3480" t="s">
        <v>3349</v>
      </c>
      <c r="M14" s="3480" t="s">
        <v>2823</v>
      </c>
      <c r="N14" s="3480" t="s">
        <v>3281</v>
      </c>
      <c r="O14" s="3480" t="s">
        <v>3281</v>
      </c>
      <c r="P14" s="3480" t="s">
        <v>2823</v>
      </c>
      <c r="Q14" s="3480" t="s">
        <v>2823</v>
      </c>
      <c r="R14" s="3480" t="s">
        <v>2823</v>
      </c>
      <c r="S14" s="3480" t="s">
        <v>2823</v>
      </c>
      <c r="T14" s="3480" t="s">
        <v>2823</v>
      </c>
      <c r="U14" s="3480" t="s">
        <v>2823</v>
      </c>
      <c r="V14" s="3480" t="s">
        <v>2823</v>
      </c>
      <c r="W14" s="3480" t="s">
        <v>3282</v>
      </c>
      <c r="X14" s="3480" t="s">
        <v>3336</v>
      </c>
      <c r="Y14" s="3480" t="s">
        <v>3345</v>
      </c>
      <c r="Z14" s="3480" t="s">
        <v>3337</v>
      </c>
      <c r="AA14" s="3480" t="s">
        <v>3337</v>
      </c>
      <c r="AB14" s="3480" t="s">
        <v>3350</v>
      </c>
      <c r="AC14" s="3480" t="s">
        <v>3286</v>
      </c>
      <c r="AD14" s="3480" t="s">
        <v>3351</v>
      </c>
      <c r="AE14" s="3480">
        <v>4700</v>
      </c>
      <c r="AF14" s="3480">
        <v>5200</v>
      </c>
      <c r="AG14" s="3480">
        <v>7300</v>
      </c>
      <c r="AH14" s="3480">
        <v>106.72</v>
      </c>
      <c r="AI14" s="3480">
        <v>149.82</v>
      </c>
      <c r="AJ14" s="3480">
        <v>1067.19</v>
      </c>
      <c r="AK14" s="3480">
        <v>1498.18</v>
      </c>
      <c r="AL14" s="3480" t="s">
        <v>2823</v>
      </c>
      <c r="AM14" s="3480" t="s">
        <v>2823</v>
      </c>
      <c r="AN14" s="3480">
        <v>40.380000000000003</v>
      </c>
      <c r="AO14" s="3480" t="s">
        <v>3296</v>
      </c>
      <c r="AP14" s="3480" t="s">
        <v>2823</v>
      </c>
      <c r="AQ14" s="3480" t="s">
        <v>2823</v>
      </c>
      <c r="AR14" s="3480" t="s">
        <v>2823</v>
      </c>
    </row>
    <row r="15" spans="1:44" s="3477" customFormat="1" ht="12">
      <c r="A15" s="3477" t="s">
        <v>3352</v>
      </c>
      <c r="B15" s="3477" t="s">
        <v>3275</v>
      </c>
      <c r="C15" s="3477" t="s">
        <v>3290</v>
      </c>
      <c r="D15" s="3477" t="s">
        <v>3227</v>
      </c>
      <c r="E15" s="3477" t="s">
        <v>2823</v>
      </c>
      <c r="F15" s="3477" t="s">
        <v>3352</v>
      </c>
      <c r="G15" s="3477" t="s">
        <v>3277</v>
      </c>
      <c r="H15" s="3477" t="s">
        <v>3353</v>
      </c>
      <c r="I15" s="3477" t="s">
        <v>3307</v>
      </c>
      <c r="J15" s="3477">
        <v>55733.06</v>
      </c>
      <c r="K15" s="3477">
        <v>111466.1</v>
      </c>
      <c r="L15" s="3477" t="s">
        <v>3308</v>
      </c>
      <c r="M15" s="3477" t="s">
        <v>2823</v>
      </c>
      <c r="N15" s="3477" t="s">
        <v>3281</v>
      </c>
      <c r="O15" s="3477" t="s">
        <v>3300</v>
      </c>
      <c r="P15" s="3477" t="s">
        <v>2823</v>
      </c>
      <c r="Q15" s="3477" t="s">
        <v>2823</v>
      </c>
      <c r="R15" s="3477" t="s">
        <v>2823</v>
      </c>
      <c r="S15" s="3477" t="s">
        <v>2823</v>
      </c>
      <c r="T15" s="3477" t="s">
        <v>2823</v>
      </c>
      <c r="U15" s="3477" t="s">
        <v>2823</v>
      </c>
      <c r="V15" s="3477" t="s">
        <v>2823</v>
      </c>
      <c r="W15" s="3477" t="s">
        <v>3282</v>
      </c>
      <c r="X15" s="3477" t="s">
        <v>3336</v>
      </c>
      <c r="Y15" s="3477" t="s">
        <v>3336</v>
      </c>
      <c r="Z15" s="3477" t="s">
        <v>3337</v>
      </c>
      <c r="AA15" s="3477" t="s">
        <v>3337</v>
      </c>
      <c r="AB15" s="3477" t="s">
        <v>3354</v>
      </c>
      <c r="AC15" s="3477" t="s">
        <v>3286</v>
      </c>
      <c r="AD15" s="3477" t="s">
        <v>3319</v>
      </c>
      <c r="AE15" s="3477">
        <v>23000</v>
      </c>
      <c r="AF15" s="3477">
        <v>25500</v>
      </c>
      <c r="AG15" s="3477">
        <v>45200</v>
      </c>
      <c r="AH15" s="3477">
        <v>305.02999999999997</v>
      </c>
      <c r="AI15" s="3477">
        <v>540.66999999999996</v>
      </c>
      <c r="AJ15" s="3477">
        <v>2287.69</v>
      </c>
      <c r="AK15" s="3477">
        <v>4055.03</v>
      </c>
      <c r="AL15" s="3477" t="s">
        <v>2823</v>
      </c>
      <c r="AM15" s="3477" t="s">
        <v>2823</v>
      </c>
      <c r="AN15" s="3477">
        <v>77.25</v>
      </c>
      <c r="AO15" s="3477" t="s">
        <v>3296</v>
      </c>
      <c r="AP15" s="3477" t="s">
        <v>2823</v>
      </c>
      <c r="AQ15" s="3477" t="s">
        <v>2823</v>
      </c>
      <c r="AR15" s="3477" t="s">
        <v>2823</v>
      </c>
    </row>
    <row r="16" spans="1:44" s="3477" customFormat="1" ht="12">
      <c r="A16" s="3477" t="s">
        <v>3355</v>
      </c>
      <c r="B16" s="3477" t="s">
        <v>3275</v>
      </c>
      <c r="C16" s="3477" t="s">
        <v>3290</v>
      </c>
      <c r="D16" s="3477" t="s">
        <v>3227</v>
      </c>
      <c r="E16" s="3477" t="s">
        <v>2823</v>
      </c>
      <c r="F16" s="3477" t="s">
        <v>3355</v>
      </c>
      <c r="G16" s="3477" t="s">
        <v>3356</v>
      </c>
      <c r="H16" s="3477" t="s">
        <v>3357</v>
      </c>
      <c r="I16" s="3477" t="s">
        <v>3292</v>
      </c>
      <c r="J16" s="3477">
        <v>1632.2</v>
      </c>
      <c r="K16" s="3477">
        <v>3264.4</v>
      </c>
      <c r="L16" s="3477" t="s">
        <v>3358</v>
      </c>
      <c r="M16" s="3477" t="s">
        <v>2823</v>
      </c>
      <c r="N16" s="3477" t="s">
        <v>3281</v>
      </c>
      <c r="O16" s="3477" t="s">
        <v>3344</v>
      </c>
      <c r="P16" s="3477" t="s">
        <v>2823</v>
      </c>
      <c r="Q16" s="3477" t="s">
        <v>2823</v>
      </c>
      <c r="R16" s="3477" t="s">
        <v>2823</v>
      </c>
      <c r="S16" s="3477" t="s">
        <v>2823</v>
      </c>
      <c r="T16" s="3477" t="s">
        <v>2823</v>
      </c>
      <c r="U16" s="3477" t="s">
        <v>2823</v>
      </c>
      <c r="V16" s="3477" t="s">
        <v>2823</v>
      </c>
      <c r="W16" s="3477" t="s">
        <v>3282</v>
      </c>
      <c r="X16" s="3477" t="s">
        <v>3359</v>
      </c>
      <c r="Y16" s="3477" t="s">
        <v>3360</v>
      </c>
      <c r="Z16" s="3477" t="s">
        <v>3360</v>
      </c>
      <c r="AA16" s="3477" t="s">
        <v>3360</v>
      </c>
      <c r="AB16" s="3477" t="s">
        <v>3361</v>
      </c>
      <c r="AC16" s="3477" t="s">
        <v>3286</v>
      </c>
      <c r="AD16" s="3477" t="s">
        <v>3362</v>
      </c>
      <c r="AE16" s="3477">
        <v>670</v>
      </c>
      <c r="AF16" s="3477">
        <v>736</v>
      </c>
      <c r="AG16" s="3477">
        <v>1096</v>
      </c>
      <c r="AH16" s="3477">
        <v>300.62</v>
      </c>
      <c r="AI16" s="3477">
        <v>447.66</v>
      </c>
      <c r="AJ16" s="3477">
        <v>2254.62</v>
      </c>
      <c r="AK16" s="3477">
        <v>3357.42</v>
      </c>
      <c r="AL16" s="3477" t="s">
        <v>2823</v>
      </c>
      <c r="AM16" s="3477" t="s">
        <v>2823</v>
      </c>
      <c r="AN16" s="3477">
        <v>48.91</v>
      </c>
      <c r="AO16" s="3477" t="s">
        <v>3296</v>
      </c>
      <c r="AP16" s="3477" t="s">
        <v>2823</v>
      </c>
      <c r="AQ16" s="3477" t="s">
        <v>2823</v>
      </c>
      <c r="AR16" s="3477" t="s">
        <v>2823</v>
      </c>
    </row>
    <row r="17" spans="1:44" s="3480" customFormat="1" ht="12">
      <c r="A17" s="3480" t="s">
        <v>3355</v>
      </c>
      <c r="B17" s="3480" t="s">
        <v>3275</v>
      </c>
      <c r="C17" s="3480" t="s">
        <v>3290</v>
      </c>
      <c r="D17" s="3480" t="s">
        <v>3227</v>
      </c>
      <c r="E17" s="3480" t="s">
        <v>2823</v>
      </c>
      <c r="F17" s="3480" t="s">
        <v>3355</v>
      </c>
      <c r="G17" s="3480" t="s">
        <v>3356</v>
      </c>
      <c r="H17" s="3480" t="s">
        <v>3363</v>
      </c>
      <c r="I17" s="3480" t="s">
        <v>3292</v>
      </c>
      <c r="J17" s="3480">
        <v>573.22</v>
      </c>
      <c r="K17" s="3480">
        <v>1146.44</v>
      </c>
      <c r="L17" s="3480" t="s">
        <v>3358</v>
      </c>
      <c r="M17" s="3480" t="s">
        <v>2823</v>
      </c>
      <c r="N17" s="3480" t="s">
        <v>3281</v>
      </c>
      <c r="O17" s="3480" t="s">
        <v>3344</v>
      </c>
      <c r="P17" s="3480" t="s">
        <v>2823</v>
      </c>
      <c r="Q17" s="3480" t="s">
        <v>2823</v>
      </c>
      <c r="R17" s="3480" t="s">
        <v>2823</v>
      </c>
      <c r="S17" s="3480" t="s">
        <v>2823</v>
      </c>
      <c r="T17" s="3480" t="s">
        <v>2823</v>
      </c>
      <c r="U17" s="3480" t="s">
        <v>2823</v>
      </c>
      <c r="V17" s="3480" t="s">
        <v>2823</v>
      </c>
      <c r="W17" s="3480" t="s">
        <v>3282</v>
      </c>
      <c r="X17" s="3480" t="s">
        <v>3359</v>
      </c>
      <c r="Y17" s="3480" t="s">
        <v>3360</v>
      </c>
      <c r="Z17" s="3480" t="s">
        <v>3360</v>
      </c>
      <c r="AA17" s="3480" t="s">
        <v>3360</v>
      </c>
      <c r="AB17" s="3480" t="s">
        <v>3364</v>
      </c>
      <c r="AC17" s="3480" t="s">
        <v>3286</v>
      </c>
      <c r="AD17" s="3480" t="s">
        <v>3362</v>
      </c>
      <c r="AE17" s="3480">
        <v>215</v>
      </c>
      <c r="AF17" s="3480">
        <v>234</v>
      </c>
      <c r="AG17" s="3480">
        <v>349</v>
      </c>
      <c r="AH17" s="3480">
        <v>272.14999999999998</v>
      </c>
      <c r="AI17" s="3480">
        <v>405.89</v>
      </c>
      <c r="AJ17" s="3480">
        <v>2041.1</v>
      </c>
      <c r="AK17" s="3480">
        <v>3044.21</v>
      </c>
      <c r="AL17" s="3480" t="s">
        <v>2823</v>
      </c>
      <c r="AM17" s="3480" t="s">
        <v>2823</v>
      </c>
      <c r="AN17" s="3480">
        <v>49.15</v>
      </c>
      <c r="AO17" s="3480" t="s">
        <v>3296</v>
      </c>
      <c r="AP17" s="3480" t="s">
        <v>2823</v>
      </c>
      <c r="AQ17" s="3480" t="s">
        <v>2823</v>
      </c>
      <c r="AR17" s="3480" t="s">
        <v>2823</v>
      </c>
    </row>
    <row r="18" spans="1:44" s="3477" customFormat="1" ht="12">
      <c r="A18" s="3477" t="s">
        <v>3355</v>
      </c>
      <c r="B18" s="3477" t="s">
        <v>3275</v>
      </c>
      <c r="C18" s="3477" t="s">
        <v>3290</v>
      </c>
      <c r="D18" s="3477" t="s">
        <v>3227</v>
      </c>
      <c r="E18" s="3477" t="s">
        <v>2823</v>
      </c>
      <c r="F18" s="3477" t="s">
        <v>3355</v>
      </c>
      <c r="G18" s="3477" t="s">
        <v>3356</v>
      </c>
      <c r="H18" s="3477" t="s">
        <v>3365</v>
      </c>
      <c r="I18" s="3477" t="s">
        <v>3292</v>
      </c>
      <c r="J18" s="3477">
        <v>51.27</v>
      </c>
      <c r="K18" s="3477">
        <v>102.54</v>
      </c>
      <c r="L18" s="3477" t="s">
        <v>3358</v>
      </c>
      <c r="M18" s="3477" t="s">
        <v>2823</v>
      </c>
      <c r="N18" s="3477" t="s">
        <v>3281</v>
      </c>
      <c r="O18" s="3477" t="s">
        <v>3344</v>
      </c>
      <c r="P18" s="3477" t="s">
        <v>2823</v>
      </c>
      <c r="Q18" s="3477" t="s">
        <v>2823</v>
      </c>
      <c r="R18" s="3477" t="s">
        <v>2823</v>
      </c>
      <c r="S18" s="3477" t="s">
        <v>2823</v>
      </c>
      <c r="T18" s="3477" t="s">
        <v>2823</v>
      </c>
      <c r="U18" s="3477" t="s">
        <v>2823</v>
      </c>
      <c r="V18" s="3477" t="s">
        <v>2823</v>
      </c>
      <c r="W18" s="3477" t="s">
        <v>3282</v>
      </c>
      <c r="X18" s="3477" t="s">
        <v>3359</v>
      </c>
      <c r="Y18" s="3477" t="s">
        <v>3360</v>
      </c>
      <c r="Z18" s="3477" t="s">
        <v>3360</v>
      </c>
      <c r="AA18" s="3477" t="s">
        <v>3360</v>
      </c>
      <c r="AB18" s="3477" t="s">
        <v>3366</v>
      </c>
      <c r="AC18" s="3477" t="s">
        <v>3286</v>
      </c>
      <c r="AD18" s="3477" t="s">
        <v>3362</v>
      </c>
      <c r="AE18" s="3477">
        <v>21</v>
      </c>
      <c r="AF18" s="3477">
        <v>22</v>
      </c>
      <c r="AG18" s="3477">
        <v>32</v>
      </c>
      <c r="AH18" s="3477">
        <v>286.07</v>
      </c>
      <c r="AI18" s="3477">
        <v>416.1</v>
      </c>
      <c r="AJ18" s="3477">
        <v>2145.5</v>
      </c>
      <c r="AK18" s="3477">
        <v>3120.73</v>
      </c>
      <c r="AL18" s="3477" t="s">
        <v>2823</v>
      </c>
      <c r="AM18" s="3477" t="s">
        <v>2823</v>
      </c>
      <c r="AN18" s="3477">
        <v>45.45</v>
      </c>
      <c r="AO18" s="3477" t="s">
        <v>3296</v>
      </c>
      <c r="AP18" s="3477" t="s">
        <v>2823</v>
      </c>
      <c r="AQ18" s="3477" t="s">
        <v>2823</v>
      </c>
      <c r="AR18" s="3477" t="s">
        <v>2823</v>
      </c>
    </row>
    <row r="19" spans="1:44" s="3477" customFormat="1" ht="12">
      <c r="A19" s="3477" t="s">
        <v>3355</v>
      </c>
      <c r="B19" s="3477" t="s">
        <v>3275</v>
      </c>
      <c r="C19" s="3477" t="s">
        <v>3290</v>
      </c>
      <c r="D19" s="3477" t="s">
        <v>3227</v>
      </c>
      <c r="E19" s="3477" t="s">
        <v>2823</v>
      </c>
      <c r="F19" s="3477" t="s">
        <v>3355</v>
      </c>
      <c r="G19" s="3477" t="s">
        <v>3356</v>
      </c>
      <c r="H19" s="3477" t="s">
        <v>3367</v>
      </c>
      <c r="I19" s="3477" t="s">
        <v>3292</v>
      </c>
      <c r="J19" s="3477">
        <v>644.53</v>
      </c>
      <c r="K19" s="3477">
        <v>1289.06</v>
      </c>
      <c r="L19" s="3477" t="s">
        <v>3358</v>
      </c>
      <c r="M19" s="3477" t="s">
        <v>2823</v>
      </c>
      <c r="N19" s="3477" t="s">
        <v>3281</v>
      </c>
      <c r="O19" s="3477" t="s">
        <v>3344</v>
      </c>
      <c r="P19" s="3477" t="s">
        <v>2823</v>
      </c>
      <c r="Q19" s="3477" t="s">
        <v>2823</v>
      </c>
      <c r="R19" s="3477" t="s">
        <v>2823</v>
      </c>
      <c r="S19" s="3477" t="s">
        <v>2823</v>
      </c>
      <c r="T19" s="3477" t="s">
        <v>2823</v>
      </c>
      <c r="U19" s="3477" t="s">
        <v>2823</v>
      </c>
      <c r="V19" s="3477" t="s">
        <v>2823</v>
      </c>
      <c r="W19" s="3477" t="s">
        <v>3282</v>
      </c>
      <c r="X19" s="3477" t="s">
        <v>3359</v>
      </c>
      <c r="Y19" s="3477" t="s">
        <v>3360</v>
      </c>
      <c r="Z19" s="3477" t="s">
        <v>3360</v>
      </c>
      <c r="AA19" s="3477" t="s">
        <v>3360</v>
      </c>
      <c r="AB19" s="3477" t="s">
        <v>3368</v>
      </c>
      <c r="AC19" s="3477" t="s">
        <v>3286</v>
      </c>
      <c r="AD19" s="3477" t="s">
        <v>3362</v>
      </c>
      <c r="AE19" s="3477">
        <v>240</v>
      </c>
      <c r="AF19" s="3477">
        <v>263</v>
      </c>
      <c r="AG19" s="3477">
        <v>393</v>
      </c>
      <c r="AH19" s="3477">
        <v>272.02999999999997</v>
      </c>
      <c r="AI19" s="3477">
        <v>406.5</v>
      </c>
      <c r="AJ19" s="3477">
        <v>2040.24</v>
      </c>
      <c r="AK19" s="3477">
        <v>3048.73</v>
      </c>
      <c r="AL19" s="3477" t="s">
        <v>2823</v>
      </c>
      <c r="AM19" s="3477" t="s">
        <v>2823</v>
      </c>
      <c r="AN19" s="3477">
        <v>49.43</v>
      </c>
      <c r="AO19" s="3477" t="s">
        <v>3296</v>
      </c>
      <c r="AP19" s="3477" t="s">
        <v>2823</v>
      </c>
      <c r="AQ19" s="3477" t="s">
        <v>2823</v>
      </c>
      <c r="AR19" s="3477" t="s">
        <v>2823</v>
      </c>
    </row>
    <row r="20" spans="1:44" s="3478" customFormat="1" ht="12">
      <c r="A20" s="3478" t="s">
        <v>3355</v>
      </c>
      <c r="B20" s="3478" t="s">
        <v>3275</v>
      </c>
      <c r="C20" s="3478" t="s">
        <v>3290</v>
      </c>
      <c r="D20" s="3478" t="s">
        <v>3227</v>
      </c>
      <c r="E20" s="3478" t="s">
        <v>2823</v>
      </c>
      <c r="F20" s="3478" t="s">
        <v>3355</v>
      </c>
      <c r="G20" s="3478" t="s">
        <v>3356</v>
      </c>
      <c r="H20" s="3478" t="s">
        <v>3369</v>
      </c>
      <c r="I20" s="3478" t="s">
        <v>3292</v>
      </c>
      <c r="J20" s="3478">
        <v>2110.6799999999998</v>
      </c>
      <c r="K20" s="3478">
        <v>4221.3599999999997</v>
      </c>
      <c r="L20" s="3478" t="s">
        <v>3358</v>
      </c>
      <c r="M20" s="3478" t="s">
        <v>2823</v>
      </c>
      <c r="N20" s="3478" t="s">
        <v>3281</v>
      </c>
      <c r="O20" s="3478" t="s">
        <v>3344</v>
      </c>
      <c r="P20" s="3478" t="s">
        <v>2823</v>
      </c>
      <c r="Q20" s="3478" t="s">
        <v>2823</v>
      </c>
      <c r="R20" s="3478" t="s">
        <v>2823</v>
      </c>
      <c r="S20" s="3478" t="s">
        <v>2823</v>
      </c>
      <c r="T20" s="3478" t="s">
        <v>2823</v>
      </c>
      <c r="U20" s="3478" t="s">
        <v>2823</v>
      </c>
      <c r="V20" s="3478" t="s">
        <v>2823</v>
      </c>
      <c r="W20" s="3478" t="s">
        <v>3282</v>
      </c>
      <c r="X20" s="3478" t="s">
        <v>3359</v>
      </c>
      <c r="Y20" s="3478" t="s">
        <v>3360</v>
      </c>
      <c r="Z20" s="3478" t="s">
        <v>3360</v>
      </c>
      <c r="AA20" s="3478" t="s">
        <v>3360</v>
      </c>
      <c r="AB20" s="3478" t="s">
        <v>3370</v>
      </c>
      <c r="AC20" s="3478" t="s">
        <v>3286</v>
      </c>
      <c r="AD20" s="3478" t="s">
        <v>3362</v>
      </c>
      <c r="AE20" s="3478">
        <v>780</v>
      </c>
      <c r="AF20" s="3478">
        <v>854</v>
      </c>
      <c r="AG20" s="3478">
        <v>1274</v>
      </c>
      <c r="AH20" s="3478">
        <v>269.74</v>
      </c>
      <c r="AI20" s="3478">
        <v>402.4</v>
      </c>
      <c r="AJ20" s="3478">
        <v>2023.04</v>
      </c>
      <c r="AK20" s="3478">
        <v>3017.98</v>
      </c>
      <c r="AL20" s="3478" t="s">
        <v>2823</v>
      </c>
      <c r="AM20" s="3478" t="s">
        <v>2823</v>
      </c>
      <c r="AN20" s="3478">
        <v>49.18</v>
      </c>
      <c r="AO20" s="3478" t="s">
        <v>3296</v>
      </c>
      <c r="AP20" s="3478" t="s">
        <v>2823</v>
      </c>
      <c r="AQ20" s="3478" t="s">
        <v>2823</v>
      </c>
      <c r="AR20" s="3478" t="s">
        <v>2823</v>
      </c>
    </row>
    <row r="21" spans="1:44" s="3477" customFormat="1" ht="12">
      <c r="A21" s="3477" t="s">
        <v>3371</v>
      </c>
      <c r="B21" s="3477" t="s">
        <v>3275</v>
      </c>
      <c r="C21" s="3477" t="s">
        <v>3276</v>
      </c>
      <c r="D21" s="3477" t="s">
        <v>3227</v>
      </c>
      <c r="E21" s="3477" t="s">
        <v>2823</v>
      </c>
      <c r="F21" s="3477" t="s">
        <v>3371</v>
      </c>
      <c r="G21" s="3477" t="s">
        <v>3372</v>
      </c>
      <c r="H21" s="3477" t="s">
        <v>3373</v>
      </c>
      <c r="I21" s="3477" t="s">
        <v>3374</v>
      </c>
      <c r="J21" s="3477">
        <v>2503.4</v>
      </c>
      <c r="K21" s="3477">
        <v>6909.38</v>
      </c>
      <c r="L21" s="3477" t="s">
        <v>3375</v>
      </c>
      <c r="M21" s="3477" t="s">
        <v>2823</v>
      </c>
      <c r="N21" s="3477" t="s">
        <v>3281</v>
      </c>
      <c r="O21" s="3477" t="s">
        <v>3300</v>
      </c>
      <c r="P21" s="3477" t="s">
        <v>2823</v>
      </c>
      <c r="Q21" s="3477" t="s">
        <v>2823</v>
      </c>
      <c r="R21" s="3477" t="s">
        <v>2823</v>
      </c>
      <c r="S21" s="3477" t="s">
        <v>2823</v>
      </c>
      <c r="T21" s="3477" t="s">
        <v>2823</v>
      </c>
      <c r="U21" s="3477" t="s">
        <v>2823</v>
      </c>
      <c r="V21" s="3477" t="s">
        <v>2823</v>
      </c>
      <c r="W21" s="3477" t="s">
        <v>3376</v>
      </c>
      <c r="X21" s="3477" t="s">
        <v>3377</v>
      </c>
      <c r="Y21" s="3477" t="s">
        <v>3378</v>
      </c>
      <c r="Z21" s="3477" t="s">
        <v>3379</v>
      </c>
      <c r="AA21" s="3477" t="s">
        <v>3379</v>
      </c>
      <c r="AB21" s="3477" t="s">
        <v>3380</v>
      </c>
      <c r="AC21" s="3477" t="s">
        <v>3286</v>
      </c>
      <c r="AD21" s="3477" t="s">
        <v>3381</v>
      </c>
      <c r="AE21" s="3477">
        <v>980</v>
      </c>
      <c r="AF21" s="3477">
        <v>1067</v>
      </c>
      <c r="AG21" s="3477">
        <v>1087</v>
      </c>
      <c r="AH21" s="3477">
        <v>284.14999999999998</v>
      </c>
      <c r="AI21" s="3477">
        <v>289.47000000000003</v>
      </c>
      <c r="AJ21" s="3477">
        <v>1544.27</v>
      </c>
      <c r="AK21" s="3477">
        <v>1573.22</v>
      </c>
      <c r="AL21" s="3477" t="s">
        <v>2823</v>
      </c>
      <c r="AM21" s="3477" t="s">
        <v>2823</v>
      </c>
      <c r="AN21" s="3477">
        <v>1.87</v>
      </c>
      <c r="AO21" s="3477" t="s">
        <v>3382</v>
      </c>
      <c r="AP21" s="3477" t="s">
        <v>2823</v>
      </c>
      <c r="AQ21" s="3477" t="s">
        <v>2823</v>
      </c>
      <c r="AR21" s="3477" t="s">
        <v>2823</v>
      </c>
    </row>
    <row r="22" spans="1:44" s="3477" customFormat="1" ht="12">
      <c r="A22" s="3477" t="s">
        <v>3383</v>
      </c>
      <c r="B22" s="3477" t="s">
        <v>3275</v>
      </c>
      <c r="C22" s="3477" t="s">
        <v>3290</v>
      </c>
      <c r="D22" s="3477" t="s">
        <v>3227</v>
      </c>
      <c r="E22" s="3477" t="s">
        <v>2823</v>
      </c>
      <c r="F22" s="3477" t="s">
        <v>3383</v>
      </c>
      <c r="G22" s="3477" t="s">
        <v>3372</v>
      </c>
      <c r="H22" s="3477" t="s">
        <v>3384</v>
      </c>
      <c r="I22" s="3477" t="s">
        <v>3385</v>
      </c>
      <c r="J22" s="3477">
        <v>5999.1</v>
      </c>
      <c r="K22" s="3477">
        <v>11998.2</v>
      </c>
      <c r="L22" s="3477" t="s">
        <v>3358</v>
      </c>
      <c r="M22" s="3477" t="s">
        <v>2823</v>
      </c>
      <c r="N22" s="3477" t="s">
        <v>3281</v>
      </c>
      <c r="O22" s="3477" t="s">
        <v>3281</v>
      </c>
      <c r="P22" s="3477" t="s">
        <v>2823</v>
      </c>
      <c r="Q22" s="3477" t="s">
        <v>2823</v>
      </c>
      <c r="R22" s="3477" t="s">
        <v>2823</v>
      </c>
      <c r="S22" s="3477" t="s">
        <v>2823</v>
      </c>
      <c r="T22" s="3477" t="s">
        <v>2823</v>
      </c>
      <c r="U22" s="3477" t="s">
        <v>2823</v>
      </c>
      <c r="V22" s="3477" t="s">
        <v>2823</v>
      </c>
      <c r="W22" s="3477" t="s">
        <v>3376</v>
      </c>
      <c r="X22" s="3477" t="s">
        <v>3377</v>
      </c>
      <c r="Y22" s="3477" t="s">
        <v>3378</v>
      </c>
      <c r="Z22" s="3477" t="s">
        <v>3379</v>
      </c>
      <c r="AA22" s="3477" t="s">
        <v>3379</v>
      </c>
      <c r="AB22" s="3477" t="s">
        <v>3386</v>
      </c>
      <c r="AC22" s="3477" t="s">
        <v>3286</v>
      </c>
      <c r="AD22" s="3477" t="s">
        <v>3387</v>
      </c>
      <c r="AE22" s="3477">
        <v>590</v>
      </c>
      <c r="AF22" s="3477">
        <v>641</v>
      </c>
      <c r="AG22" s="3477">
        <v>661</v>
      </c>
      <c r="AH22" s="3477">
        <v>71.23</v>
      </c>
      <c r="AI22" s="3477">
        <v>73.459999999999994</v>
      </c>
      <c r="AJ22" s="3477">
        <v>534.24</v>
      </c>
      <c r="AK22" s="3477">
        <v>550.91</v>
      </c>
      <c r="AL22" s="3477" t="s">
        <v>2823</v>
      </c>
      <c r="AM22" s="3477" t="s">
        <v>2823</v>
      </c>
      <c r="AN22" s="3477">
        <v>3.12</v>
      </c>
      <c r="AO22" s="3477" t="s">
        <v>3296</v>
      </c>
      <c r="AP22" s="3477" t="s">
        <v>2823</v>
      </c>
      <c r="AQ22" s="3477" t="s">
        <v>2823</v>
      </c>
      <c r="AR22" s="3477" t="s">
        <v>2823</v>
      </c>
    </row>
    <row r="23" spans="1:44" s="3477" customFormat="1" ht="12">
      <c r="A23" s="3477" t="s">
        <v>3388</v>
      </c>
      <c r="B23" s="3477" t="s">
        <v>3275</v>
      </c>
      <c r="C23" s="3477" t="s">
        <v>3276</v>
      </c>
      <c r="D23" s="3477" t="s">
        <v>3227</v>
      </c>
      <c r="E23" s="3477" t="s">
        <v>2823</v>
      </c>
      <c r="F23" s="3477" t="s">
        <v>3388</v>
      </c>
      <c r="G23" s="3477" t="s">
        <v>3277</v>
      </c>
      <c r="H23" s="3477" t="s">
        <v>3389</v>
      </c>
      <c r="I23" s="3477" t="s">
        <v>3390</v>
      </c>
      <c r="J23" s="3477">
        <v>5329.51</v>
      </c>
      <c r="K23" s="3477">
        <v>13323.78</v>
      </c>
      <c r="L23" s="3477" t="s">
        <v>3391</v>
      </c>
      <c r="M23" s="3477" t="s">
        <v>2823</v>
      </c>
      <c r="N23" s="3477" t="s">
        <v>3281</v>
      </c>
      <c r="O23" s="3477" t="s">
        <v>3281</v>
      </c>
      <c r="P23" s="3477" t="s">
        <v>2823</v>
      </c>
      <c r="Q23" s="3477" t="s">
        <v>2823</v>
      </c>
      <c r="R23" s="3477" t="s">
        <v>2823</v>
      </c>
      <c r="S23" s="3477" t="s">
        <v>2823</v>
      </c>
      <c r="T23" s="3477" t="s">
        <v>2823</v>
      </c>
      <c r="U23" s="3477" t="s">
        <v>2823</v>
      </c>
      <c r="V23" s="3477" t="s">
        <v>2823</v>
      </c>
      <c r="W23" s="3477" t="s">
        <v>3376</v>
      </c>
      <c r="X23" s="3477" t="s">
        <v>3392</v>
      </c>
      <c r="Y23" s="3477" t="s">
        <v>3393</v>
      </c>
      <c r="Z23" s="3477" t="s">
        <v>3394</v>
      </c>
      <c r="AA23" s="3477" t="s">
        <v>3394</v>
      </c>
      <c r="AB23" s="3477" t="s">
        <v>3395</v>
      </c>
      <c r="AC23" s="3477" t="s">
        <v>3286</v>
      </c>
      <c r="AD23" s="3477" t="s">
        <v>3287</v>
      </c>
      <c r="AE23" s="3477">
        <v>950</v>
      </c>
      <c r="AF23" s="3477">
        <v>1050</v>
      </c>
      <c r="AG23" s="3477">
        <v>1080</v>
      </c>
      <c r="AH23" s="3477">
        <v>131.34</v>
      </c>
      <c r="AI23" s="3477">
        <v>135.1</v>
      </c>
      <c r="AJ23" s="3477">
        <v>788.06</v>
      </c>
      <c r="AK23" s="3477">
        <v>810.58</v>
      </c>
      <c r="AL23" s="3477" t="s">
        <v>2823</v>
      </c>
      <c r="AM23" s="3477" t="s">
        <v>2823</v>
      </c>
      <c r="AN23" s="3477">
        <v>2.86</v>
      </c>
      <c r="AO23" s="3477" t="s">
        <v>3396</v>
      </c>
      <c r="AP23" s="3477" t="s">
        <v>2823</v>
      </c>
      <c r="AQ23" s="3477" t="s">
        <v>2823</v>
      </c>
      <c r="AR23" s="3477" t="s">
        <v>2823</v>
      </c>
    </row>
    <row r="24" spans="1:44" s="3477" customFormat="1" ht="12">
      <c r="A24" s="3477" t="s">
        <v>3397</v>
      </c>
      <c r="B24" s="3477" t="s">
        <v>3275</v>
      </c>
      <c r="C24" s="3477" t="s">
        <v>3290</v>
      </c>
      <c r="D24" s="3477" t="s">
        <v>3227</v>
      </c>
      <c r="E24" s="3477" t="s">
        <v>2823</v>
      </c>
      <c r="F24" s="3477" t="s">
        <v>3397</v>
      </c>
      <c r="G24" s="3477" t="s">
        <v>3277</v>
      </c>
      <c r="H24" s="3477" t="s">
        <v>3398</v>
      </c>
      <c r="I24" s="3477" t="s">
        <v>3292</v>
      </c>
      <c r="J24" s="3477">
        <v>4345.2299999999996</v>
      </c>
      <c r="K24" s="3477">
        <v>12731.52</v>
      </c>
      <c r="L24" s="3477" t="s">
        <v>3399</v>
      </c>
      <c r="M24" s="3477" t="s">
        <v>2823</v>
      </c>
      <c r="N24" s="3477" t="s">
        <v>3281</v>
      </c>
      <c r="O24" s="3477" t="s">
        <v>3281</v>
      </c>
      <c r="P24" s="3477" t="s">
        <v>2823</v>
      </c>
      <c r="Q24" s="3477" t="s">
        <v>2823</v>
      </c>
      <c r="R24" s="3477" t="s">
        <v>2823</v>
      </c>
      <c r="S24" s="3477" t="s">
        <v>2823</v>
      </c>
      <c r="T24" s="3477" t="s">
        <v>2823</v>
      </c>
      <c r="U24" s="3477" t="s">
        <v>2823</v>
      </c>
      <c r="V24" s="3477" t="s">
        <v>2823</v>
      </c>
      <c r="W24" s="3477" t="s">
        <v>3376</v>
      </c>
      <c r="X24" s="3477" t="s">
        <v>3392</v>
      </c>
      <c r="Y24" s="3477" t="s">
        <v>3393</v>
      </c>
      <c r="Z24" s="3477" t="s">
        <v>3394</v>
      </c>
      <c r="AA24" s="3477" t="s">
        <v>3394</v>
      </c>
      <c r="AB24" s="3477" t="s">
        <v>3400</v>
      </c>
      <c r="AC24" s="3477" t="s">
        <v>3286</v>
      </c>
      <c r="AD24" s="3477" t="s">
        <v>3329</v>
      </c>
      <c r="AE24" s="3477">
        <v>780</v>
      </c>
      <c r="AF24" s="3477">
        <v>860</v>
      </c>
      <c r="AG24" s="3477">
        <v>890</v>
      </c>
      <c r="AH24" s="3477">
        <v>131.94999999999999</v>
      </c>
      <c r="AI24" s="3477">
        <v>136.55000000000001</v>
      </c>
      <c r="AJ24" s="3477">
        <v>675.48</v>
      </c>
      <c r="AK24" s="3477">
        <v>699.04</v>
      </c>
      <c r="AL24" s="3477" t="s">
        <v>2823</v>
      </c>
      <c r="AM24" s="3477" t="s">
        <v>2823</v>
      </c>
      <c r="AN24" s="3477">
        <v>3.49</v>
      </c>
      <c r="AO24" s="3477" t="s">
        <v>3296</v>
      </c>
      <c r="AP24" s="3477" t="s">
        <v>2823</v>
      </c>
      <c r="AQ24" s="3477" t="s">
        <v>2823</v>
      </c>
      <c r="AR24" s="3477" t="s">
        <v>2823</v>
      </c>
    </row>
    <row r="25" spans="1:44" s="3477" customFormat="1" ht="12">
      <c r="A25" s="3477" t="s">
        <v>3401</v>
      </c>
      <c r="B25" s="3477" t="s">
        <v>3275</v>
      </c>
      <c r="C25" s="3477" t="s">
        <v>3276</v>
      </c>
      <c r="D25" s="3477" t="s">
        <v>3227</v>
      </c>
      <c r="E25" s="3477" t="s">
        <v>2823</v>
      </c>
      <c r="F25" s="3477" t="s">
        <v>3401</v>
      </c>
      <c r="G25" s="3477" t="s">
        <v>3277</v>
      </c>
      <c r="H25" s="3477" t="s">
        <v>3402</v>
      </c>
      <c r="I25" s="3477" t="s">
        <v>3390</v>
      </c>
      <c r="J25" s="3477">
        <v>4318.7700000000004</v>
      </c>
      <c r="K25" s="3477">
        <v>14424.69</v>
      </c>
      <c r="L25" s="3477" t="s">
        <v>3403</v>
      </c>
      <c r="M25" s="3477" t="s">
        <v>2823</v>
      </c>
      <c r="N25" s="3477" t="s">
        <v>3281</v>
      </c>
      <c r="O25" s="3477" t="s">
        <v>3300</v>
      </c>
      <c r="P25" s="3477" t="s">
        <v>2823</v>
      </c>
      <c r="Q25" s="3477" t="s">
        <v>2823</v>
      </c>
      <c r="R25" s="3477" t="s">
        <v>2823</v>
      </c>
      <c r="S25" s="3477" t="s">
        <v>2823</v>
      </c>
      <c r="T25" s="3477" t="s">
        <v>2823</v>
      </c>
      <c r="U25" s="3477" t="s">
        <v>2823</v>
      </c>
      <c r="V25" s="3477" t="s">
        <v>2823</v>
      </c>
      <c r="W25" s="3477" t="s">
        <v>3376</v>
      </c>
      <c r="X25" s="3477" t="s">
        <v>3404</v>
      </c>
      <c r="Y25" s="3477" t="s">
        <v>3404</v>
      </c>
      <c r="Z25" s="3477" t="s">
        <v>3405</v>
      </c>
      <c r="AA25" s="3477" t="s">
        <v>3405</v>
      </c>
      <c r="AB25" s="3477" t="s">
        <v>3406</v>
      </c>
      <c r="AC25" s="3477" t="s">
        <v>3286</v>
      </c>
      <c r="AD25" s="3477" t="s">
        <v>3407</v>
      </c>
      <c r="AE25" s="3477">
        <v>830</v>
      </c>
      <c r="AF25" s="3477">
        <v>920</v>
      </c>
      <c r="AG25" s="3477">
        <v>955</v>
      </c>
      <c r="AH25" s="3477">
        <v>142.02000000000001</v>
      </c>
      <c r="AI25" s="3477">
        <v>147.41999999999999</v>
      </c>
      <c r="AJ25" s="3477">
        <v>637.79</v>
      </c>
      <c r="AK25" s="3477">
        <v>662.05</v>
      </c>
      <c r="AL25" s="3477" t="s">
        <v>2823</v>
      </c>
      <c r="AM25" s="3477" t="s">
        <v>2823</v>
      </c>
      <c r="AN25" s="3477">
        <v>3.8</v>
      </c>
      <c r="AO25" s="3477" t="s">
        <v>3396</v>
      </c>
      <c r="AP25" s="3477" t="s">
        <v>2823</v>
      </c>
      <c r="AQ25" s="3477" t="s">
        <v>2823</v>
      </c>
      <c r="AR25" s="3477" t="s">
        <v>2823</v>
      </c>
    </row>
    <row r="26" spans="1:44" s="3477" customFormat="1" ht="12">
      <c r="A26" s="3477" t="s">
        <v>3408</v>
      </c>
      <c r="B26" s="3477" t="s">
        <v>3275</v>
      </c>
      <c r="C26" s="3477" t="s">
        <v>3276</v>
      </c>
      <c r="D26" s="3477" t="s">
        <v>3227</v>
      </c>
      <c r="E26" s="3477" t="s">
        <v>2823</v>
      </c>
      <c r="F26" s="3477" t="s">
        <v>3408</v>
      </c>
      <c r="G26" s="3477" t="s">
        <v>3277</v>
      </c>
      <c r="H26" s="3477" t="s">
        <v>3409</v>
      </c>
      <c r="I26" s="3477" t="s">
        <v>3390</v>
      </c>
      <c r="J26" s="3477">
        <v>3316.1</v>
      </c>
      <c r="K26" s="3477">
        <v>10114.11</v>
      </c>
      <c r="L26" s="3477" t="s">
        <v>3410</v>
      </c>
      <c r="M26" s="3477" t="s">
        <v>2823</v>
      </c>
      <c r="N26" s="3477" t="s">
        <v>3281</v>
      </c>
      <c r="O26" s="3477" t="s">
        <v>3300</v>
      </c>
      <c r="P26" s="3477" t="s">
        <v>2823</v>
      </c>
      <c r="Q26" s="3477" t="s">
        <v>2823</v>
      </c>
      <c r="R26" s="3477" t="s">
        <v>2823</v>
      </c>
      <c r="S26" s="3477" t="s">
        <v>2823</v>
      </c>
      <c r="T26" s="3477" t="s">
        <v>2823</v>
      </c>
      <c r="U26" s="3477" t="s">
        <v>2823</v>
      </c>
      <c r="V26" s="3477" t="s">
        <v>2823</v>
      </c>
      <c r="W26" s="3477" t="s">
        <v>3376</v>
      </c>
      <c r="X26" s="3477" t="s">
        <v>3404</v>
      </c>
      <c r="Y26" s="3477" t="s">
        <v>3411</v>
      </c>
      <c r="Z26" s="3477" t="s">
        <v>3405</v>
      </c>
      <c r="AA26" s="3477" t="s">
        <v>3405</v>
      </c>
      <c r="AB26" s="3477" t="s">
        <v>3412</v>
      </c>
      <c r="AC26" s="3477" t="s">
        <v>3286</v>
      </c>
      <c r="AD26" s="3477" t="s">
        <v>3413</v>
      </c>
      <c r="AE26" s="3477">
        <v>625</v>
      </c>
      <c r="AF26" s="3477">
        <v>690</v>
      </c>
      <c r="AG26" s="3477">
        <v>711.79</v>
      </c>
      <c r="AH26" s="3477">
        <v>138.72</v>
      </c>
      <c r="AI26" s="3477">
        <v>143.1</v>
      </c>
      <c r="AJ26" s="3477">
        <v>682.21</v>
      </c>
      <c r="AK26" s="3477">
        <v>703.76</v>
      </c>
      <c r="AL26" s="3477" t="s">
        <v>2823</v>
      </c>
      <c r="AM26" s="3477" t="s">
        <v>2823</v>
      </c>
      <c r="AN26" s="3477">
        <v>3.16</v>
      </c>
      <c r="AO26" s="3477" t="s">
        <v>3396</v>
      </c>
      <c r="AP26" s="3477" t="s">
        <v>2823</v>
      </c>
      <c r="AQ26" s="3477" t="s">
        <v>2823</v>
      </c>
      <c r="AR26" s="3477" t="s">
        <v>2823</v>
      </c>
    </row>
    <row r="27" spans="1:44" s="3477" customFormat="1" ht="12">
      <c r="A27" s="3477" t="s">
        <v>3414</v>
      </c>
      <c r="B27" s="3477" t="s">
        <v>3275</v>
      </c>
      <c r="C27" s="3477" t="s">
        <v>3290</v>
      </c>
      <c r="D27" s="3477" t="s">
        <v>3227</v>
      </c>
      <c r="E27" s="3477" t="s">
        <v>2823</v>
      </c>
      <c r="F27" s="3477" t="s">
        <v>3414</v>
      </c>
      <c r="G27" s="3477" t="s">
        <v>3277</v>
      </c>
      <c r="H27" s="3477" t="s">
        <v>3415</v>
      </c>
      <c r="I27" s="3477" t="s">
        <v>3307</v>
      </c>
      <c r="J27" s="3477">
        <v>25825.07</v>
      </c>
      <c r="K27" s="3477">
        <v>30990.080000000002</v>
      </c>
      <c r="L27" s="3477" t="s">
        <v>3416</v>
      </c>
      <c r="M27" s="3477" t="s">
        <v>2823</v>
      </c>
      <c r="N27" s="3477" t="s">
        <v>3281</v>
      </c>
      <c r="O27" s="3477" t="s">
        <v>3281</v>
      </c>
      <c r="P27" s="3477" t="s">
        <v>2823</v>
      </c>
      <c r="Q27" s="3477" t="s">
        <v>2823</v>
      </c>
      <c r="R27" s="3477" t="s">
        <v>2823</v>
      </c>
      <c r="S27" s="3477" t="s">
        <v>2823</v>
      </c>
      <c r="T27" s="3477" t="s">
        <v>2823</v>
      </c>
      <c r="U27" s="3477" t="s">
        <v>2823</v>
      </c>
      <c r="V27" s="3477" t="s">
        <v>2823</v>
      </c>
      <c r="W27" s="3477" t="s">
        <v>3376</v>
      </c>
      <c r="X27" s="3477" t="s">
        <v>3411</v>
      </c>
      <c r="Y27" s="3477" t="s">
        <v>3411</v>
      </c>
      <c r="Z27" s="3477" t="s">
        <v>3405</v>
      </c>
      <c r="AA27" s="3477" t="s">
        <v>3405</v>
      </c>
      <c r="AB27" s="3477" t="s">
        <v>3417</v>
      </c>
      <c r="AC27" s="3477" t="s">
        <v>3286</v>
      </c>
      <c r="AD27" s="3477" t="s">
        <v>3418</v>
      </c>
      <c r="AE27" s="3477">
        <v>3300</v>
      </c>
      <c r="AF27" s="3477">
        <v>3600</v>
      </c>
      <c r="AG27" s="3477">
        <v>3800</v>
      </c>
      <c r="AH27" s="3477">
        <v>92.93</v>
      </c>
      <c r="AI27" s="3477">
        <v>98.1</v>
      </c>
      <c r="AJ27" s="3477">
        <v>1161.6600000000001</v>
      </c>
      <c r="AK27" s="3477">
        <v>1226.2</v>
      </c>
      <c r="AL27" s="3477" t="s">
        <v>2823</v>
      </c>
      <c r="AM27" s="3477" t="s">
        <v>2823</v>
      </c>
      <c r="AN27" s="3477">
        <v>5.56</v>
      </c>
      <c r="AO27" s="3477" t="s">
        <v>3296</v>
      </c>
      <c r="AP27" s="3477" t="s">
        <v>2823</v>
      </c>
      <c r="AQ27" s="3477" t="s">
        <v>2823</v>
      </c>
      <c r="AR27" s="3477" t="s">
        <v>2823</v>
      </c>
    </row>
    <row r="28" spans="1:44" s="3477" customFormat="1" ht="12">
      <c r="A28" s="3477" t="s">
        <v>3371</v>
      </c>
      <c r="B28" s="3477" t="s">
        <v>3275</v>
      </c>
      <c r="C28" s="3477" t="s">
        <v>3290</v>
      </c>
      <c r="D28" s="3477" t="s">
        <v>3227</v>
      </c>
      <c r="E28" s="3477" t="s">
        <v>2823</v>
      </c>
      <c r="F28" s="3477" t="s">
        <v>3371</v>
      </c>
      <c r="G28" s="3477" t="s">
        <v>3277</v>
      </c>
      <c r="H28" s="3477" t="s">
        <v>3419</v>
      </c>
      <c r="I28" s="3477" t="s">
        <v>3292</v>
      </c>
      <c r="J28" s="3477">
        <v>13850.86</v>
      </c>
      <c r="K28" s="3477">
        <v>38228.370000000003</v>
      </c>
      <c r="L28" s="3477" t="s">
        <v>3375</v>
      </c>
      <c r="M28" s="3477" t="s">
        <v>2823</v>
      </c>
      <c r="N28" s="3477" t="s">
        <v>3281</v>
      </c>
      <c r="O28" s="3477" t="s">
        <v>3300</v>
      </c>
      <c r="P28" s="3477" t="s">
        <v>2823</v>
      </c>
      <c r="Q28" s="3477" t="s">
        <v>2823</v>
      </c>
      <c r="R28" s="3477" t="s">
        <v>2823</v>
      </c>
      <c r="S28" s="3477" t="s">
        <v>2823</v>
      </c>
      <c r="T28" s="3477" t="s">
        <v>2823</v>
      </c>
      <c r="U28" s="3477" t="s">
        <v>2823</v>
      </c>
      <c r="V28" s="3477" t="s">
        <v>2823</v>
      </c>
      <c r="W28" s="3477" t="s">
        <v>3376</v>
      </c>
      <c r="X28" s="3477" t="s">
        <v>3404</v>
      </c>
      <c r="Y28" s="3477" t="s">
        <v>3404</v>
      </c>
      <c r="Z28" s="3477" t="s">
        <v>3405</v>
      </c>
      <c r="AA28" s="3477" t="s">
        <v>3405</v>
      </c>
      <c r="AB28" s="3477" t="s">
        <v>3420</v>
      </c>
      <c r="AC28" s="3477" t="s">
        <v>3286</v>
      </c>
      <c r="AD28" s="3477" t="s">
        <v>3381</v>
      </c>
      <c r="AE28" s="3477">
        <v>2350</v>
      </c>
      <c r="AF28" s="3477">
        <v>2600</v>
      </c>
      <c r="AG28" s="3477">
        <v>2650</v>
      </c>
      <c r="AH28" s="3477">
        <v>125.14</v>
      </c>
      <c r="AI28" s="3477">
        <v>127.55</v>
      </c>
      <c r="AJ28" s="3477">
        <v>680.12</v>
      </c>
      <c r="AK28" s="3477">
        <v>693.2</v>
      </c>
      <c r="AL28" s="3477" t="s">
        <v>2823</v>
      </c>
      <c r="AM28" s="3477" t="s">
        <v>2823</v>
      </c>
      <c r="AN28" s="3477">
        <v>1.92</v>
      </c>
      <c r="AO28" s="3477" t="s">
        <v>3296</v>
      </c>
      <c r="AP28" s="3477" t="s">
        <v>2823</v>
      </c>
      <c r="AQ28" s="3477" t="s">
        <v>2823</v>
      </c>
      <c r="AR28" s="3477" t="s">
        <v>2823</v>
      </c>
    </row>
    <row r="29" spans="1:44" s="3477" customFormat="1" ht="12">
      <c r="A29" s="3477" t="s">
        <v>3421</v>
      </c>
      <c r="B29" s="3477" t="s">
        <v>3275</v>
      </c>
      <c r="C29" s="3477" t="s">
        <v>3276</v>
      </c>
      <c r="D29" s="3477" t="s">
        <v>3227</v>
      </c>
      <c r="E29" s="3477" t="s">
        <v>2823</v>
      </c>
      <c r="F29" s="3477" t="s">
        <v>3421</v>
      </c>
      <c r="G29" s="3477" t="s">
        <v>3277</v>
      </c>
      <c r="H29" s="3477" t="s">
        <v>3422</v>
      </c>
      <c r="I29" s="3477" t="s">
        <v>3390</v>
      </c>
      <c r="J29" s="3477">
        <v>5010.87</v>
      </c>
      <c r="K29" s="3477">
        <v>14731.96</v>
      </c>
      <c r="L29" s="3477" t="s">
        <v>3423</v>
      </c>
      <c r="M29" s="3477" t="s">
        <v>2823</v>
      </c>
      <c r="N29" s="3477" t="s">
        <v>3281</v>
      </c>
      <c r="O29" s="3477" t="s">
        <v>3344</v>
      </c>
      <c r="P29" s="3477" t="s">
        <v>2823</v>
      </c>
      <c r="Q29" s="3477" t="s">
        <v>2823</v>
      </c>
      <c r="R29" s="3477" t="s">
        <v>2823</v>
      </c>
      <c r="S29" s="3477" t="s">
        <v>2823</v>
      </c>
      <c r="T29" s="3477" t="s">
        <v>2823</v>
      </c>
      <c r="U29" s="3477" t="s">
        <v>2823</v>
      </c>
      <c r="V29" s="3477" t="s">
        <v>2823</v>
      </c>
      <c r="W29" s="3477" t="s">
        <v>3376</v>
      </c>
      <c r="X29" s="3477" t="s">
        <v>3411</v>
      </c>
      <c r="Y29" s="3477" t="s">
        <v>3411</v>
      </c>
      <c r="Z29" s="3477" t="s">
        <v>3405</v>
      </c>
      <c r="AA29" s="3477" t="s">
        <v>3405</v>
      </c>
      <c r="AB29" s="3477" t="s">
        <v>3424</v>
      </c>
      <c r="AC29" s="3477" t="s">
        <v>3286</v>
      </c>
      <c r="AD29" s="3477" t="s">
        <v>3425</v>
      </c>
      <c r="AE29" s="3477">
        <v>870</v>
      </c>
      <c r="AF29" s="3477">
        <v>960</v>
      </c>
      <c r="AG29" s="3477">
        <v>1013</v>
      </c>
      <c r="AH29" s="3477">
        <v>127.72</v>
      </c>
      <c r="AI29" s="3477">
        <v>134.77000000000001</v>
      </c>
      <c r="AJ29" s="3477">
        <v>651.64</v>
      </c>
      <c r="AK29" s="3477">
        <v>687.62</v>
      </c>
      <c r="AL29" s="3477" t="s">
        <v>2823</v>
      </c>
      <c r="AM29" s="3477" t="s">
        <v>2823</v>
      </c>
      <c r="AN29" s="3477">
        <v>5.52</v>
      </c>
      <c r="AO29" s="3477" t="s">
        <v>3396</v>
      </c>
      <c r="AP29" s="3477" t="s">
        <v>2823</v>
      </c>
      <c r="AQ29" s="3477" t="s">
        <v>2823</v>
      </c>
      <c r="AR29" s="3477" t="s">
        <v>2823</v>
      </c>
    </row>
    <row r="30" spans="1:44" s="3477" customFormat="1" ht="12">
      <c r="A30" s="3477" t="s">
        <v>3297</v>
      </c>
      <c r="B30" s="3477" t="s">
        <v>3275</v>
      </c>
      <c r="C30" s="3477" t="s">
        <v>3276</v>
      </c>
      <c r="D30" s="3477" t="s">
        <v>3227</v>
      </c>
      <c r="E30" s="3477" t="s">
        <v>2823</v>
      </c>
      <c r="F30" s="3477" t="s">
        <v>3297</v>
      </c>
      <c r="G30" s="3477" t="s">
        <v>3277</v>
      </c>
      <c r="H30" s="3477" t="s">
        <v>3426</v>
      </c>
      <c r="I30" s="3477" t="s">
        <v>3390</v>
      </c>
      <c r="J30" s="3477">
        <v>19364.759999999998</v>
      </c>
      <c r="K30" s="3477">
        <v>51897.56</v>
      </c>
      <c r="L30" s="3477" t="s">
        <v>3427</v>
      </c>
      <c r="M30" s="3477" t="s">
        <v>2823</v>
      </c>
      <c r="N30" s="3477" t="s">
        <v>3281</v>
      </c>
      <c r="O30" s="3477" t="s">
        <v>3281</v>
      </c>
      <c r="P30" s="3477" t="s">
        <v>2823</v>
      </c>
      <c r="Q30" s="3477" t="s">
        <v>2823</v>
      </c>
      <c r="R30" s="3477" t="s">
        <v>2823</v>
      </c>
      <c r="S30" s="3477" t="s">
        <v>2823</v>
      </c>
      <c r="T30" s="3477" t="s">
        <v>2823</v>
      </c>
      <c r="U30" s="3477" t="s">
        <v>2823</v>
      </c>
      <c r="V30" s="3477" t="s">
        <v>2823</v>
      </c>
      <c r="W30" s="3477" t="s">
        <v>3376</v>
      </c>
      <c r="X30" s="3477" t="s">
        <v>3404</v>
      </c>
      <c r="Y30" s="3477" t="s">
        <v>3404</v>
      </c>
      <c r="Z30" s="3477" t="s">
        <v>3405</v>
      </c>
      <c r="AA30" s="3477" t="s">
        <v>3405</v>
      </c>
      <c r="AB30" s="3477" t="s">
        <v>3428</v>
      </c>
      <c r="AC30" s="3477" t="s">
        <v>3286</v>
      </c>
      <c r="AD30" s="3477" t="s">
        <v>3304</v>
      </c>
      <c r="AE30" s="3477">
        <v>3560</v>
      </c>
      <c r="AF30" s="3477">
        <v>3950</v>
      </c>
      <c r="AG30" s="3477">
        <v>4030</v>
      </c>
      <c r="AH30" s="3477">
        <v>135.99</v>
      </c>
      <c r="AI30" s="3477">
        <v>138.74</v>
      </c>
      <c r="AJ30" s="3477">
        <v>761.11</v>
      </c>
      <c r="AK30" s="3477">
        <v>776.52</v>
      </c>
      <c r="AL30" s="3477" t="s">
        <v>2823</v>
      </c>
      <c r="AM30" s="3477" t="s">
        <v>2823</v>
      </c>
      <c r="AN30" s="3477">
        <v>2.0299999999999998</v>
      </c>
      <c r="AO30" s="3477" t="s">
        <v>3396</v>
      </c>
      <c r="AP30" s="3477" t="s">
        <v>2823</v>
      </c>
      <c r="AQ30" s="3477" t="s">
        <v>2823</v>
      </c>
      <c r="AR30" s="3477" t="s">
        <v>2823</v>
      </c>
    </row>
    <row r="31" spans="1:44" s="3477" customFormat="1" ht="12">
      <c r="A31" s="3477" t="s">
        <v>3429</v>
      </c>
      <c r="B31" s="3477" t="s">
        <v>3275</v>
      </c>
      <c r="C31" s="3477" t="s">
        <v>3276</v>
      </c>
      <c r="D31" s="3477" t="s">
        <v>3227</v>
      </c>
      <c r="E31" s="3477" t="s">
        <v>2823</v>
      </c>
      <c r="F31" s="3477" t="s">
        <v>3429</v>
      </c>
      <c r="G31" s="3477" t="s">
        <v>3277</v>
      </c>
      <c r="H31" s="3477" t="s">
        <v>3430</v>
      </c>
      <c r="I31" s="3477" t="s">
        <v>3390</v>
      </c>
      <c r="J31" s="3477">
        <v>8164.18</v>
      </c>
      <c r="K31" s="3477">
        <v>21880</v>
      </c>
      <c r="L31" s="3477" t="s">
        <v>3427</v>
      </c>
      <c r="M31" s="3477" t="s">
        <v>2823</v>
      </c>
      <c r="N31" s="3477" t="s">
        <v>3281</v>
      </c>
      <c r="O31" s="3477" t="s">
        <v>3281</v>
      </c>
      <c r="P31" s="3477" t="s">
        <v>2823</v>
      </c>
      <c r="Q31" s="3477" t="s">
        <v>2823</v>
      </c>
      <c r="R31" s="3477" t="s">
        <v>2823</v>
      </c>
      <c r="S31" s="3477" t="s">
        <v>2823</v>
      </c>
      <c r="T31" s="3477" t="s">
        <v>2823</v>
      </c>
      <c r="U31" s="3477" t="s">
        <v>2823</v>
      </c>
      <c r="V31" s="3477" t="s">
        <v>2823</v>
      </c>
      <c r="W31" s="3477" t="s">
        <v>3376</v>
      </c>
      <c r="X31" s="3477" t="s">
        <v>3404</v>
      </c>
      <c r="Y31" s="3477" t="s">
        <v>3404</v>
      </c>
      <c r="Z31" s="3477" t="s">
        <v>3405</v>
      </c>
      <c r="AA31" s="3477" t="s">
        <v>3405</v>
      </c>
      <c r="AB31" s="3477" t="s">
        <v>3431</v>
      </c>
      <c r="AC31" s="3477" t="s">
        <v>3286</v>
      </c>
      <c r="AD31" s="3477" t="s">
        <v>3304</v>
      </c>
      <c r="AE31" s="3477">
        <v>1520</v>
      </c>
      <c r="AF31" s="3477">
        <v>1680</v>
      </c>
      <c r="AG31" s="3477">
        <v>1755</v>
      </c>
      <c r="AH31" s="3477">
        <v>137.18</v>
      </c>
      <c r="AI31" s="3477">
        <v>143.31</v>
      </c>
      <c r="AJ31" s="3477">
        <v>767.82</v>
      </c>
      <c r="AK31" s="3477">
        <v>802.1</v>
      </c>
      <c r="AL31" s="3477" t="s">
        <v>2823</v>
      </c>
      <c r="AM31" s="3477" t="s">
        <v>2823</v>
      </c>
      <c r="AN31" s="3477">
        <v>4.46</v>
      </c>
      <c r="AO31" s="3477" t="s">
        <v>3396</v>
      </c>
      <c r="AP31" s="3477" t="s">
        <v>2823</v>
      </c>
      <c r="AQ31" s="3477" t="s">
        <v>2823</v>
      </c>
      <c r="AR31" s="3477" t="s">
        <v>2823</v>
      </c>
    </row>
    <row r="32" spans="1:44" s="3477" customFormat="1" ht="12">
      <c r="A32" s="3477" t="s">
        <v>3414</v>
      </c>
      <c r="B32" s="3477" t="s">
        <v>3275</v>
      </c>
      <c r="C32" s="3477" t="s">
        <v>3290</v>
      </c>
      <c r="D32" s="3477" t="s">
        <v>3227</v>
      </c>
      <c r="E32" s="3477" t="s">
        <v>2823</v>
      </c>
      <c r="F32" s="3477" t="s">
        <v>3414</v>
      </c>
      <c r="G32" s="3477" t="s">
        <v>3277</v>
      </c>
      <c r="H32" s="3477" t="s">
        <v>3432</v>
      </c>
      <c r="I32" s="3477" t="s">
        <v>3307</v>
      </c>
      <c r="J32" s="3477">
        <v>57784.03</v>
      </c>
      <c r="K32" s="3477">
        <v>69340.84</v>
      </c>
      <c r="L32" s="3477" t="s">
        <v>3416</v>
      </c>
      <c r="M32" s="3477" t="s">
        <v>2823</v>
      </c>
      <c r="N32" s="3477" t="s">
        <v>3281</v>
      </c>
      <c r="O32" s="3477" t="s">
        <v>3281</v>
      </c>
      <c r="P32" s="3477" t="s">
        <v>2823</v>
      </c>
      <c r="Q32" s="3477" t="s">
        <v>2823</v>
      </c>
      <c r="R32" s="3477" t="s">
        <v>2823</v>
      </c>
      <c r="S32" s="3477" t="s">
        <v>2823</v>
      </c>
      <c r="T32" s="3477" t="s">
        <v>2823</v>
      </c>
      <c r="U32" s="3477" t="s">
        <v>2823</v>
      </c>
      <c r="V32" s="3477" t="s">
        <v>2823</v>
      </c>
      <c r="W32" s="3477" t="s">
        <v>3376</v>
      </c>
      <c r="X32" s="3477" t="s">
        <v>3433</v>
      </c>
      <c r="Y32" s="3477" t="s">
        <v>3433</v>
      </c>
      <c r="Z32" s="3477" t="s">
        <v>3434</v>
      </c>
      <c r="AA32" s="3477" t="s">
        <v>3434</v>
      </c>
      <c r="AB32" s="3477" t="s">
        <v>3435</v>
      </c>
      <c r="AC32" s="3477" t="s">
        <v>3286</v>
      </c>
      <c r="AD32" s="3477" t="s">
        <v>3418</v>
      </c>
      <c r="AE32" s="3477">
        <v>7200</v>
      </c>
      <c r="AF32" s="3477">
        <v>7900</v>
      </c>
      <c r="AG32" s="3477">
        <v>8300</v>
      </c>
      <c r="AH32" s="3477">
        <v>91.14</v>
      </c>
      <c r="AI32" s="3477">
        <v>95.76</v>
      </c>
      <c r="AJ32" s="3477">
        <v>1139.29</v>
      </c>
      <c r="AK32" s="3477">
        <v>1196.99</v>
      </c>
      <c r="AL32" s="3477" t="s">
        <v>2823</v>
      </c>
      <c r="AM32" s="3477" t="s">
        <v>2823</v>
      </c>
      <c r="AN32" s="3477">
        <v>5.0599999999999996</v>
      </c>
      <c r="AO32" s="3477" t="s">
        <v>3296</v>
      </c>
      <c r="AP32" s="3477" t="s">
        <v>2823</v>
      </c>
      <c r="AQ32" s="3477" t="s">
        <v>2823</v>
      </c>
      <c r="AR32" s="3477" t="s">
        <v>2823</v>
      </c>
    </row>
    <row r="33" spans="1:44" s="3477" customFormat="1" ht="12">
      <c r="A33" s="3477" t="s">
        <v>3414</v>
      </c>
      <c r="B33" s="3477" t="s">
        <v>3275</v>
      </c>
      <c r="C33" s="3477" t="s">
        <v>3290</v>
      </c>
      <c r="D33" s="3477" t="s">
        <v>3227</v>
      </c>
      <c r="E33" s="3477" t="s">
        <v>2823</v>
      </c>
      <c r="F33" s="3477" t="s">
        <v>3414</v>
      </c>
      <c r="G33" s="3477" t="s">
        <v>3277</v>
      </c>
      <c r="H33" s="3477" t="s">
        <v>3436</v>
      </c>
      <c r="I33" s="3477" t="s">
        <v>3307</v>
      </c>
      <c r="J33" s="3477">
        <v>66685.66</v>
      </c>
      <c r="K33" s="3477">
        <v>80022.789999999994</v>
      </c>
      <c r="L33" s="3477" t="s">
        <v>3416</v>
      </c>
      <c r="M33" s="3477" t="s">
        <v>2823</v>
      </c>
      <c r="N33" s="3477" t="s">
        <v>3281</v>
      </c>
      <c r="O33" s="3477" t="s">
        <v>3281</v>
      </c>
      <c r="P33" s="3477" t="s">
        <v>2823</v>
      </c>
      <c r="Q33" s="3477" t="s">
        <v>2823</v>
      </c>
      <c r="R33" s="3477" t="s">
        <v>2823</v>
      </c>
      <c r="S33" s="3477" t="s">
        <v>2823</v>
      </c>
      <c r="T33" s="3477" t="s">
        <v>2823</v>
      </c>
      <c r="U33" s="3477" t="s">
        <v>2823</v>
      </c>
      <c r="V33" s="3477" t="s">
        <v>2823</v>
      </c>
      <c r="W33" s="3477" t="s">
        <v>3376</v>
      </c>
      <c r="X33" s="3477" t="s">
        <v>3433</v>
      </c>
      <c r="Y33" s="3477" t="s">
        <v>3433</v>
      </c>
      <c r="Z33" s="3477" t="s">
        <v>3434</v>
      </c>
      <c r="AA33" s="3477" t="s">
        <v>3434</v>
      </c>
      <c r="AB33" s="3477" t="s">
        <v>3437</v>
      </c>
      <c r="AC33" s="3477" t="s">
        <v>3286</v>
      </c>
      <c r="AD33" s="3477" t="s">
        <v>3418</v>
      </c>
      <c r="AE33" s="3477">
        <v>8200</v>
      </c>
      <c r="AF33" s="3477">
        <v>9100</v>
      </c>
      <c r="AG33" s="3477">
        <v>9600</v>
      </c>
      <c r="AH33" s="3477">
        <v>90.97</v>
      </c>
      <c r="AI33" s="3477">
        <v>95.97</v>
      </c>
      <c r="AJ33" s="3477">
        <v>1137.17</v>
      </c>
      <c r="AK33" s="3477">
        <v>1199.6600000000001</v>
      </c>
      <c r="AL33" s="3477" t="s">
        <v>2823</v>
      </c>
      <c r="AM33" s="3477" t="s">
        <v>2823</v>
      </c>
      <c r="AN33" s="3477">
        <v>5.49</v>
      </c>
      <c r="AO33" s="3477" t="s">
        <v>3296</v>
      </c>
      <c r="AP33" s="3477" t="s">
        <v>2823</v>
      </c>
      <c r="AQ33" s="3477" t="s">
        <v>2823</v>
      </c>
      <c r="AR33" s="3477" t="s">
        <v>2823</v>
      </c>
    </row>
    <row r="34" spans="1:44" s="3477" customFormat="1" ht="12">
      <c r="A34" s="3477" t="s">
        <v>3438</v>
      </c>
      <c r="B34" s="3477" t="s">
        <v>3275</v>
      </c>
      <c r="C34" s="3477" t="s">
        <v>3276</v>
      </c>
      <c r="D34" s="3477" t="s">
        <v>3227</v>
      </c>
      <c r="E34" s="3477" t="s">
        <v>2823</v>
      </c>
      <c r="F34" s="3477" t="s">
        <v>3438</v>
      </c>
      <c r="G34" s="3477" t="s">
        <v>3372</v>
      </c>
      <c r="H34" s="3477" t="s">
        <v>3439</v>
      </c>
      <c r="I34" s="3477" t="s">
        <v>3292</v>
      </c>
      <c r="J34" s="3477">
        <v>202.5</v>
      </c>
      <c r="K34" s="3477">
        <v>672.3</v>
      </c>
      <c r="L34" s="3477" t="s">
        <v>3440</v>
      </c>
      <c r="M34" s="3477" t="s">
        <v>2823</v>
      </c>
      <c r="N34" s="3477" t="s">
        <v>3281</v>
      </c>
      <c r="O34" s="3477" t="s">
        <v>3344</v>
      </c>
      <c r="P34" s="3477" t="s">
        <v>2823</v>
      </c>
      <c r="Q34" s="3477" t="s">
        <v>2823</v>
      </c>
      <c r="R34" s="3477" t="s">
        <v>2823</v>
      </c>
      <c r="S34" s="3477" t="s">
        <v>2823</v>
      </c>
      <c r="T34" s="3477" t="s">
        <v>2823</v>
      </c>
      <c r="U34" s="3477" t="s">
        <v>2823</v>
      </c>
      <c r="V34" s="3477" t="s">
        <v>2823</v>
      </c>
      <c r="W34" s="3477" t="s">
        <v>3376</v>
      </c>
      <c r="X34" s="3477" t="s">
        <v>3441</v>
      </c>
      <c r="Y34" s="3477" t="s">
        <v>3442</v>
      </c>
      <c r="Z34" s="3477" t="s">
        <v>3443</v>
      </c>
      <c r="AA34" s="3477" t="s">
        <v>3443</v>
      </c>
      <c r="AB34" s="3477" t="s">
        <v>3444</v>
      </c>
      <c r="AC34" s="3477" t="s">
        <v>3286</v>
      </c>
      <c r="AD34" s="3477" t="s">
        <v>3445</v>
      </c>
      <c r="AE34" s="3477">
        <v>40</v>
      </c>
      <c r="AF34" s="3477">
        <v>44</v>
      </c>
      <c r="AG34" s="3477">
        <v>56</v>
      </c>
      <c r="AH34" s="3477">
        <v>144.86000000000001</v>
      </c>
      <c r="AI34" s="3477">
        <v>184.36</v>
      </c>
      <c r="AJ34" s="3477">
        <v>654.46</v>
      </c>
      <c r="AK34" s="3477">
        <v>832.96</v>
      </c>
      <c r="AL34" s="3477" t="s">
        <v>2823</v>
      </c>
      <c r="AM34" s="3477" t="s">
        <v>2823</v>
      </c>
      <c r="AN34" s="3477">
        <v>27.27</v>
      </c>
      <c r="AO34" s="3477" t="s">
        <v>3296</v>
      </c>
      <c r="AP34" s="3477" t="s">
        <v>2823</v>
      </c>
      <c r="AQ34" s="3477" t="s">
        <v>2823</v>
      </c>
      <c r="AR34" s="3477" t="s">
        <v>2823</v>
      </c>
    </row>
    <row r="35" spans="1:44" s="3477" customFormat="1" ht="12">
      <c r="A35" s="3477" t="s">
        <v>3438</v>
      </c>
      <c r="B35" s="3477" t="s">
        <v>3275</v>
      </c>
      <c r="C35" s="3477" t="s">
        <v>3290</v>
      </c>
      <c r="D35" s="3477" t="s">
        <v>3227</v>
      </c>
      <c r="E35" s="3477" t="s">
        <v>2823</v>
      </c>
      <c r="F35" s="3477" t="s">
        <v>3438</v>
      </c>
      <c r="G35" s="3477" t="s">
        <v>3372</v>
      </c>
      <c r="H35" s="3477" t="s">
        <v>3446</v>
      </c>
      <c r="I35" s="3477" t="s">
        <v>3292</v>
      </c>
      <c r="J35" s="3477">
        <v>233.1</v>
      </c>
      <c r="K35" s="3477">
        <v>773.89</v>
      </c>
      <c r="L35" s="3477" t="s">
        <v>3440</v>
      </c>
      <c r="M35" s="3477" t="s">
        <v>2823</v>
      </c>
      <c r="N35" s="3477" t="s">
        <v>3281</v>
      </c>
      <c r="O35" s="3477" t="s">
        <v>3344</v>
      </c>
      <c r="P35" s="3477" t="s">
        <v>2823</v>
      </c>
      <c r="Q35" s="3477" t="s">
        <v>2823</v>
      </c>
      <c r="R35" s="3477" t="s">
        <v>2823</v>
      </c>
      <c r="S35" s="3477" t="s">
        <v>2823</v>
      </c>
      <c r="T35" s="3477" t="s">
        <v>2823</v>
      </c>
      <c r="U35" s="3477" t="s">
        <v>2823</v>
      </c>
      <c r="V35" s="3477" t="s">
        <v>2823</v>
      </c>
      <c r="W35" s="3477" t="s">
        <v>3376</v>
      </c>
      <c r="X35" s="3477" t="s">
        <v>3441</v>
      </c>
      <c r="Y35" s="3477" t="s">
        <v>3442</v>
      </c>
      <c r="Z35" s="3477" t="s">
        <v>3443</v>
      </c>
      <c r="AA35" s="3477" t="s">
        <v>3443</v>
      </c>
      <c r="AB35" s="3477" t="s">
        <v>3447</v>
      </c>
      <c r="AC35" s="3477" t="s">
        <v>3286</v>
      </c>
      <c r="AD35" s="3477" t="s">
        <v>3445</v>
      </c>
      <c r="AE35" s="3477">
        <v>44</v>
      </c>
      <c r="AF35" s="3477">
        <v>48</v>
      </c>
      <c r="AG35" s="3477">
        <v>50</v>
      </c>
      <c r="AH35" s="3477">
        <v>137.28</v>
      </c>
      <c r="AI35" s="3477">
        <v>143</v>
      </c>
      <c r="AJ35" s="3477">
        <v>620.24</v>
      </c>
      <c r="AK35" s="3477">
        <v>646.09</v>
      </c>
      <c r="AL35" s="3477" t="s">
        <v>2823</v>
      </c>
      <c r="AM35" s="3477" t="s">
        <v>2823</v>
      </c>
      <c r="AN35" s="3477">
        <v>4.17</v>
      </c>
      <c r="AO35" s="3477" t="s">
        <v>3296</v>
      </c>
      <c r="AP35" s="3477" t="s">
        <v>2823</v>
      </c>
      <c r="AQ35" s="3477" t="s">
        <v>2823</v>
      </c>
      <c r="AR35" s="3477" t="s">
        <v>2823</v>
      </c>
    </row>
    <row r="36" spans="1:44" s="3477" customFormat="1" ht="12">
      <c r="A36" s="3477" t="s">
        <v>3448</v>
      </c>
      <c r="B36" s="3477" t="s">
        <v>3275</v>
      </c>
      <c r="C36" s="3477" t="s">
        <v>3276</v>
      </c>
      <c r="D36" s="3477" t="s">
        <v>3227</v>
      </c>
      <c r="E36" s="3477" t="s">
        <v>2823</v>
      </c>
      <c r="F36" s="3477" t="s">
        <v>3448</v>
      </c>
      <c r="G36" s="3477" t="s">
        <v>3277</v>
      </c>
      <c r="H36" s="3477" t="s">
        <v>3449</v>
      </c>
      <c r="I36" s="3477" t="s">
        <v>3292</v>
      </c>
      <c r="J36" s="3477">
        <v>16706.7</v>
      </c>
      <c r="K36" s="3477">
        <v>43604.49</v>
      </c>
      <c r="L36" s="3477" t="s">
        <v>3450</v>
      </c>
      <c r="M36" s="3477" t="s">
        <v>2823</v>
      </c>
      <c r="N36" s="3477" t="s">
        <v>3281</v>
      </c>
      <c r="O36" s="3477" t="s">
        <v>3325</v>
      </c>
      <c r="P36" s="3477" t="s">
        <v>2823</v>
      </c>
      <c r="Q36" s="3477" t="s">
        <v>2823</v>
      </c>
      <c r="R36" s="3477" t="s">
        <v>2823</v>
      </c>
      <c r="S36" s="3477" t="s">
        <v>2823</v>
      </c>
      <c r="T36" s="3477" t="s">
        <v>2823</v>
      </c>
      <c r="U36" s="3477" t="s">
        <v>2823</v>
      </c>
      <c r="V36" s="3477" t="s">
        <v>2823</v>
      </c>
      <c r="W36" s="3477" t="s">
        <v>3376</v>
      </c>
      <c r="X36" s="3477" t="s">
        <v>3451</v>
      </c>
      <c r="Y36" s="3477" t="s">
        <v>3452</v>
      </c>
      <c r="Z36" s="3477" t="s">
        <v>3452</v>
      </c>
      <c r="AA36" s="3477" t="s">
        <v>3452</v>
      </c>
      <c r="AB36" s="3477" t="s">
        <v>3453</v>
      </c>
      <c r="AC36" s="3477" t="s">
        <v>3286</v>
      </c>
      <c r="AD36" s="3477" t="s">
        <v>3334</v>
      </c>
      <c r="AE36" s="3477">
        <v>3000</v>
      </c>
      <c r="AF36" s="3477">
        <v>3304</v>
      </c>
      <c r="AG36" s="3477">
        <v>3403</v>
      </c>
      <c r="AH36" s="3477">
        <v>131.84</v>
      </c>
      <c r="AI36" s="3477">
        <v>135.79</v>
      </c>
      <c r="AJ36" s="3477">
        <v>757.72</v>
      </c>
      <c r="AK36" s="3477">
        <v>780.41</v>
      </c>
      <c r="AL36" s="3477" t="s">
        <v>2823</v>
      </c>
      <c r="AM36" s="3477" t="s">
        <v>2823</v>
      </c>
      <c r="AN36" s="3477">
        <v>3</v>
      </c>
      <c r="AO36" s="3477" t="s">
        <v>3296</v>
      </c>
      <c r="AP36" s="3477" t="s">
        <v>2823</v>
      </c>
      <c r="AQ36" s="3477" t="s">
        <v>2823</v>
      </c>
      <c r="AR36" s="3477" t="s">
        <v>2823</v>
      </c>
    </row>
    <row r="37" spans="1:44" s="3477" customFormat="1" ht="12">
      <c r="A37" s="3477" t="s">
        <v>3454</v>
      </c>
      <c r="B37" s="3477" t="s">
        <v>3275</v>
      </c>
      <c r="C37" s="3477" t="s">
        <v>3290</v>
      </c>
      <c r="D37" s="3477" t="s">
        <v>3227</v>
      </c>
      <c r="E37" s="3477" t="s">
        <v>2823</v>
      </c>
      <c r="F37" s="3477" t="s">
        <v>3454</v>
      </c>
      <c r="G37" s="3477" t="s">
        <v>3372</v>
      </c>
      <c r="H37" s="3477" t="s">
        <v>3455</v>
      </c>
      <c r="I37" s="3477" t="s">
        <v>3292</v>
      </c>
      <c r="J37" s="3477">
        <v>34237.53</v>
      </c>
      <c r="K37" s="3477">
        <v>68475.06</v>
      </c>
      <c r="L37" s="3477" t="s">
        <v>3358</v>
      </c>
      <c r="M37" s="3477" t="s">
        <v>2823</v>
      </c>
      <c r="N37" s="3477" t="s">
        <v>3281</v>
      </c>
      <c r="O37" s="3477" t="s">
        <v>3300</v>
      </c>
      <c r="P37" s="3477" t="s">
        <v>2823</v>
      </c>
      <c r="Q37" s="3477" t="s">
        <v>2823</v>
      </c>
      <c r="R37" s="3477" t="s">
        <v>2823</v>
      </c>
      <c r="S37" s="3477" t="s">
        <v>2823</v>
      </c>
      <c r="T37" s="3477" t="s">
        <v>2823</v>
      </c>
      <c r="U37" s="3477" t="s">
        <v>2823</v>
      </c>
      <c r="V37" s="3477" t="s">
        <v>2823</v>
      </c>
      <c r="W37" s="3477" t="s">
        <v>3376</v>
      </c>
      <c r="X37" s="3477" t="s">
        <v>3456</v>
      </c>
      <c r="Y37" s="3477" t="s">
        <v>3456</v>
      </c>
      <c r="Z37" s="3477" t="s">
        <v>3457</v>
      </c>
      <c r="AA37" s="3477" t="s">
        <v>3457</v>
      </c>
      <c r="AB37" s="3477" t="s">
        <v>3458</v>
      </c>
      <c r="AC37" s="3477" t="s">
        <v>3286</v>
      </c>
      <c r="AD37" s="3477" t="s">
        <v>3319</v>
      </c>
      <c r="AE37" s="3477">
        <v>12000</v>
      </c>
      <c r="AF37" s="3477">
        <v>12973</v>
      </c>
      <c r="AG37" s="3477">
        <v>18810</v>
      </c>
      <c r="AH37" s="3477">
        <v>252.61</v>
      </c>
      <c r="AI37" s="3477">
        <v>366.26</v>
      </c>
      <c r="AJ37" s="3477">
        <v>1894.55</v>
      </c>
      <c r="AK37" s="3477">
        <v>2746.98</v>
      </c>
      <c r="AL37" s="3477" t="s">
        <v>2823</v>
      </c>
      <c r="AM37" s="3477" t="s">
        <v>2823</v>
      </c>
      <c r="AN37" s="3477">
        <v>44.99</v>
      </c>
      <c r="AO37" s="3477" t="s">
        <v>3296</v>
      </c>
      <c r="AP37" s="3477" t="s">
        <v>2823</v>
      </c>
      <c r="AQ37" s="3477" t="s">
        <v>2823</v>
      </c>
      <c r="AR37" s="3477" t="s">
        <v>2823</v>
      </c>
    </row>
    <row r="38" spans="1:44" s="3477" customFormat="1" ht="12">
      <c r="A38" s="3477" t="s">
        <v>3459</v>
      </c>
      <c r="B38" s="3477" t="s">
        <v>3275</v>
      </c>
      <c r="C38" s="3477" t="s">
        <v>3290</v>
      </c>
      <c r="D38" s="3477" t="s">
        <v>3227</v>
      </c>
      <c r="E38" s="3477" t="s">
        <v>2823</v>
      </c>
      <c r="F38" s="3477" t="s">
        <v>3459</v>
      </c>
      <c r="G38" s="3477" t="s">
        <v>3277</v>
      </c>
      <c r="H38" s="3477" t="s">
        <v>3460</v>
      </c>
      <c r="I38" s="3477" t="s">
        <v>3292</v>
      </c>
      <c r="J38" s="3477">
        <v>47164.85</v>
      </c>
      <c r="K38" s="3477">
        <v>94329.7</v>
      </c>
      <c r="L38" s="3477" t="s">
        <v>3358</v>
      </c>
      <c r="M38" s="3477" t="s">
        <v>2823</v>
      </c>
      <c r="N38" s="3477" t="s">
        <v>3281</v>
      </c>
      <c r="O38" s="3477" t="s">
        <v>3281</v>
      </c>
      <c r="P38" s="3477" t="s">
        <v>2823</v>
      </c>
      <c r="Q38" s="3477" t="s">
        <v>2823</v>
      </c>
      <c r="R38" s="3477" t="s">
        <v>2823</v>
      </c>
      <c r="S38" s="3477" t="s">
        <v>2823</v>
      </c>
      <c r="T38" s="3477" t="s">
        <v>2823</v>
      </c>
      <c r="U38" s="3477" t="s">
        <v>2823</v>
      </c>
      <c r="V38" s="3477" t="s">
        <v>2823</v>
      </c>
      <c r="W38" s="3477" t="s">
        <v>3376</v>
      </c>
      <c r="X38" s="3477" t="s">
        <v>3456</v>
      </c>
      <c r="Y38" s="3477" t="s">
        <v>3457</v>
      </c>
      <c r="Z38" s="3477" t="s">
        <v>3457</v>
      </c>
      <c r="AA38" s="3477" t="s">
        <v>3457</v>
      </c>
      <c r="AB38" s="3477" t="s">
        <v>3461</v>
      </c>
      <c r="AC38" s="3477" t="s">
        <v>3286</v>
      </c>
      <c r="AD38" s="3477" t="s">
        <v>3319</v>
      </c>
      <c r="AE38" s="3477">
        <v>9300</v>
      </c>
      <c r="AF38" s="3477">
        <v>10219</v>
      </c>
      <c r="AG38" s="3477">
        <v>14816</v>
      </c>
      <c r="AH38" s="3477">
        <v>144.44</v>
      </c>
      <c r="AI38" s="3477">
        <v>209.42</v>
      </c>
      <c r="AJ38" s="3477">
        <v>1083.32</v>
      </c>
      <c r="AK38" s="3477">
        <v>1570.66</v>
      </c>
      <c r="AL38" s="3477" t="s">
        <v>2823</v>
      </c>
      <c r="AM38" s="3477" t="s">
        <v>2823</v>
      </c>
      <c r="AN38" s="3477">
        <v>44.98</v>
      </c>
      <c r="AO38" s="3477" t="s">
        <v>3296</v>
      </c>
      <c r="AP38" s="3477" t="s">
        <v>2823</v>
      </c>
      <c r="AQ38" s="3477" t="s">
        <v>2823</v>
      </c>
      <c r="AR38" s="3477" t="s">
        <v>2823</v>
      </c>
    </row>
    <row r="39" spans="1:44" s="3480" customFormat="1" ht="12">
      <c r="A39" s="3480" t="s">
        <v>3462</v>
      </c>
      <c r="B39" s="3480" t="s">
        <v>3275</v>
      </c>
      <c r="C39" s="3480" t="s">
        <v>3290</v>
      </c>
      <c r="D39" s="3480" t="s">
        <v>3227</v>
      </c>
      <c r="E39" s="3480" t="s">
        <v>2823</v>
      </c>
      <c r="F39" s="3480" t="s">
        <v>3462</v>
      </c>
      <c r="G39" s="3480" t="s">
        <v>3372</v>
      </c>
      <c r="H39" s="3480" t="s">
        <v>3463</v>
      </c>
      <c r="I39" s="3480" t="s">
        <v>3292</v>
      </c>
      <c r="J39" s="3480">
        <v>21565.200000000001</v>
      </c>
      <c r="K39" s="3480">
        <v>43130.400000000001</v>
      </c>
      <c r="L39" s="3480" t="s">
        <v>3358</v>
      </c>
      <c r="M39" s="3480" t="s">
        <v>2823</v>
      </c>
      <c r="N39" s="3480" t="s">
        <v>3281</v>
      </c>
      <c r="O39" s="3480" t="s">
        <v>3300</v>
      </c>
      <c r="P39" s="3480" t="s">
        <v>2823</v>
      </c>
      <c r="Q39" s="3480" t="s">
        <v>2823</v>
      </c>
      <c r="R39" s="3480" t="s">
        <v>2823</v>
      </c>
      <c r="S39" s="3480" t="s">
        <v>2823</v>
      </c>
      <c r="T39" s="3480" t="s">
        <v>2823</v>
      </c>
      <c r="U39" s="3480" t="s">
        <v>2823</v>
      </c>
      <c r="V39" s="3480" t="s">
        <v>2823</v>
      </c>
      <c r="W39" s="3480" t="s">
        <v>3376</v>
      </c>
      <c r="X39" s="3480" t="s">
        <v>3456</v>
      </c>
      <c r="Y39" s="3480" t="s">
        <v>3456</v>
      </c>
      <c r="Z39" s="3480" t="s">
        <v>3457</v>
      </c>
      <c r="AA39" s="3480" t="s">
        <v>3457</v>
      </c>
      <c r="AB39" s="3480" t="s">
        <v>3464</v>
      </c>
      <c r="AC39" s="3480" t="s">
        <v>3286</v>
      </c>
      <c r="AD39" s="3480" t="s">
        <v>3319</v>
      </c>
      <c r="AE39" s="3480">
        <v>7500</v>
      </c>
      <c r="AF39" s="3480">
        <v>8158</v>
      </c>
      <c r="AG39" s="3480">
        <v>11828</v>
      </c>
      <c r="AH39" s="3480">
        <v>252.2</v>
      </c>
      <c r="AI39" s="3480">
        <v>365.65</v>
      </c>
      <c r="AJ39" s="3480">
        <v>1891.47</v>
      </c>
      <c r="AK39" s="3480">
        <v>2742.38</v>
      </c>
      <c r="AL39" s="3480" t="s">
        <v>2823</v>
      </c>
      <c r="AM39" s="3480" t="s">
        <v>2823</v>
      </c>
      <c r="AN39" s="3480">
        <v>44.99</v>
      </c>
      <c r="AO39" s="3480" t="s">
        <v>3296</v>
      </c>
      <c r="AP39" s="3480" t="s">
        <v>2823</v>
      </c>
      <c r="AQ39" s="3480" t="s">
        <v>2823</v>
      </c>
      <c r="AR39" s="3480" t="s">
        <v>2823</v>
      </c>
    </row>
    <row r="40" spans="1:44" s="3477" customFormat="1" ht="12">
      <c r="A40" s="3477" t="s">
        <v>3465</v>
      </c>
      <c r="B40" s="3477" t="s">
        <v>3275</v>
      </c>
      <c r="C40" s="3477" t="s">
        <v>3290</v>
      </c>
      <c r="D40" s="3477" t="s">
        <v>3227</v>
      </c>
      <c r="E40" s="3477" t="s">
        <v>2823</v>
      </c>
      <c r="F40" s="3477" t="s">
        <v>3465</v>
      </c>
      <c r="G40" s="3477" t="s">
        <v>3372</v>
      </c>
      <c r="H40" s="3477" t="s">
        <v>3466</v>
      </c>
      <c r="I40" s="3477" t="s">
        <v>3292</v>
      </c>
      <c r="J40" s="3477">
        <v>66350.600000000006</v>
      </c>
      <c r="K40" s="3477">
        <v>132701.20000000001</v>
      </c>
      <c r="L40" s="3477" t="s">
        <v>3358</v>
      </c>
      <c r="M40" s="3477" t="s">
        <v>2823</v>
      </c>
      <c r="N40" s="3477" t="s">
        <v>3281</v>
      </c>
      <c r="O40" s="3477" t="s">
        <v>3281</v>
      </c>
      <c r="P40" s="3477" t="s">
        <v>2823</v>
      </c>
      <c r="Q40" s="3477" t="s">
        <v>2823</v>
      </c>
      <c r="R40" s="3477" t="s">
        <v>2823</v>
      </c>
      <c r="S40" s="3477" t="s">
        <v>2823</v>
      </c>
      <c r="T40" s="3477" t="s">
        <v>2823</v>
      </c>
      <c r="U40" s="3477" t="s">
        <v>2823</v>
      </c>
      <c r="V40" s="3477" t="s">
        <v>2823</v>
      </c>
      <c r="W40" s="3477" t="s">
        <v>3376</v>
      </c>
      <c r="X40" s="3477" t="s">
        <v>3456</v>
      </c>
      <c r="Y40" s="3477" t="s">
        <v>3456</v>
      </c>
      <c r="Z40" s="3477" t="s">
        <v>3457</v>
      </c>
      <c r="AA40" s="3477" t="s">
        <v>3457</v>
      </c>
      <c r="AB40" s="3477" t="s">
        <v>3467</v>
      </c>
      <c r="AC40" s="3477" t="s">
        <v>3286</v>
      </c>
      <c r="AD40" s="3477" t="s">
        <v>3319</v>
      </c>
      <c r="AE40" s="3477">
        <v>13000</v>
      </c>
      <c r="AF40" s="3477">
        <v>14336</v>
      </c>
      <c r="AG40" s="3477">
        <v>20786</v>
      </c>
      <c r="AH40" s="3477">
        <v>144.04</v>
      </c>
      <c r="AI40" s="3477">
        <v>208.85</v>
      </c>
      <c r="AJ40" s="3477">
        <v>1080.32</v>
      </c>
      <c r="AK40" s="3477">
        <v>1566.38</v>
      </c>
      <c r="AL40" s="3477" t="s">
        <v>2823</v>
      </c>
      <c r="AM40" s="3477" t="s">
        <v>2823</v>
      </c>
      <c r="AN40" s="3477">
        <v>44.99</v>
      </c>
      <c r="AO40" s="3477" t="s">
        <v>3296</v>
      </c>
      <c r="AP40" s="3477" t="s">
        <v>2823</v>
      </c>
      <c r="AQ40" s="3477" t="s">
        <v>2823</v>
      </c>
      <c r="AR40" s="3477" t="s">
        <v>2823</v>
      </c>
    </row>
    <row r="41" spans="1:44" s="3477" customFormat="1" ht="12">
      <c r="A41" s="3477" t="s">
        <v>3468</v>
      </c>
      <c r="B41" s="3477" t="s">
        <v>3275</v>
      </c>
      <c r="C41" s="3477" t="s">
        <v>3290</v>
      </c>
      <c r="D41" s="3477" t="s">
        <v>3227</v>
      </c>
      <c r="E41" s="3477" t="s">
        <v>2823</v>
      </c>
      <c r="F41" s="3477" t="s">
        <v>3468</v>
      </c>
      <c r="G41" s="3477" t="s">
        <v>3277</v>
      </c>
      <c r="H41" s="3477" t="s">
        <v>3469</v>
      </c>
      <c r="I41" s="3477" t="s">
        <v>3292</v>
      </c>
      <c r="J41" s="3477">
        <v>13873.3</v>
      </c>
      <c r="K41" s="3477">
        <v>27746.6</v>
      </c>
      <c r="L41" s="3477" t="s">
        <v>3358</v>
      </c>
      <c r="M41" s="3477" t="s">
        <v>2823</v>
      </c>
      <c r="N41" s="3477" t="s">
        <v>3281</v>
      </c>
      <c r="O41" s="3477" t="s">
        <v>3470</v>
      </c>
      <c r="P41" s="3477" t="s">
        <v>2823</v>
      </c>
      <c r="Q41" s="3477" t="s">
        <v>2823</v>
      </c>
      <c r="R41" s="3477" t="s">
        <v>2823</v>
      </c>
      <c r="S41" s="3477" t="s">
        <v>2823</v>
      </c>
      <c r="T41" s="3477" t="s">
        <v>2823</v>
      </c>
      <c r="U41" s="3477" t="s">
        <v>2823</v>
      </c>
      <c r="V41" s="3477" t="s">
        <v>2823</v>
      </c>
      <c r="W41" s="3477" t="s">
        <v>3376</v>
      </c>
      <c r="X41" s="3477" t="s">
        <v>3471</v>
      </c>
      <c r="Y41" s="3477" t="s">
        <v>3472</v>
      </c>
      <c r="Z41" s="3477" t="s">
        <v>3472</v>
      </c>
      <c r="AA41" s="3477" t="s">
        <v>3472</v>
      </c>
      <c r="AB41" s="3477" t="s">
        <v>3473</v>
      </c>
      <c r="AC41" s="3477" t="s">
        <v>3286</v>
      </c>
      <c r="AD41" s="3477" t="s">
        <v>3474</v>
      </c>
      <c r="AE41" s="3477">
        <v>2300</v>
      </c>
      <c r="AF41" s="3477">
        <v>2483</v>
      </c>
      <c r="AG41" s="3477">
        <v>2543</v>
      </c>
      <c r="AH41" s="3477">
        <v>119.32</v>
      </c>
      <c r="AI41" s="3477">
        <v>122.2</v>
      </c>
      <c r="AJ41" s="3477">
        <v>894.88</v>
      </c>
      <c r="AK41" s="3477">
        <v>916.5</v>
      </c>
      <c r="AL41" s="3477" t="s">
        <v>2823</v>
      </c>
      <c r="AM41" s="3477" t="s">
        <v>2823</v>
      </c>
      <c r="AN41" s="3477">
        <v>2.42</v>
      </c>
      <c r="AO41" s="3477" t="s">
        <v>3296</v>
      </c>
      <c r="AP41" s="3477" t="s">
        <v>2823</v>
      </c>
      <c r="AQ41" s="3477" t="s">
        <v>2823</v>
      </c>
      <c r="AR41" s="3477" t="s">
        <v>2823</v>
      </c>
    </row>
    <row r="42" spans="1:44" s="3477" customFormat="1" ht="12">
      <c r="A42" s="3477" t="s">
        <v>3475</v>
      </c>
      <c r="B42" s="3477" t="s">
        <v>3275</v>
      </c>
      <c r="C42" s="3477" t="s">
        <v>3290</v>
      </c>
      <c r="D42" s="3477" t="s">
        <v>3227</v>
      </c>
      <c r="E42" s="3477" t="s">
        <v>2823</v>
      </c>
      <c r="F42" s="3477" t="s">
        <v>3475</v>
      </c>
      <c r="G42" s="3477" t="s">
        <v>3277</v>
      </c>
      <c r="H42" s="3477" t="s">
        <v>3476</v>
      </c>
      <c r="I42" s="3477" t="s">
        <v>3292</v>
      </c>
      <c r="J42" s="3477">
        <v>19517.2</v>
      </c>
      <c r="K42" s="3477">
        <v>39034.400000000001</v>
      </c>
      <c r="L42" s="3477" t="s">
        <v>3358</v>
      </c>
      <c r="M42" s="3477" t="s">
        <v>2823</v>
      </c>
      <c r="N42" s="3477" t="s">
        <v>3281</v>
      </c>
      <c r="O42" s="3477" t="s">
        <v>3344</v>
      </c>
      <c r="P42" s="3477" t="s">
        <v>2823</v>
      </c>
      <c r="Q42" s="3477" t="s">
        <v>2823</v>
      </c>
      <c r="R42" s="3477" t="s">
        <v>2823</v>
      </c>
      <c r="S42" s="3477" t="s">
        <v>2823</v>
      </c>
      <c r="T42" s="3477" t="s">
        <v>2823</v>
      </c>
      <c r="U42" s="3477" t="s">
        <v>2823</v>
      </c>
      <c r="V42" s="3477" t="s">
        <v>2823</v>
      </c>
      <c r="W42" s="3477" t="s">
        <v>3376</v>
      </c>
      <c r="X42" s="3477" t="s">
        <v>3471</v>
      </c>
      <c r="Y42" s="3477" t="s">
        <v>3472</v>
      </c>
      <c r="Z42" s="3477" t="s">
        <v>3472</v>
      </c>
      <c r="AA42" s="3477" t="s">
        <v>3472</v>
      </c>
      <c r="AB42" s="3477" t="s">
        <v>3477</v>
      </c>
      <c r="AC42" s="3477" t="s">
        <v>3286</v>
      </c>
      <c r="AD42" s="3477" t="s">
        <v>3474</v>
      </c>
      <c r="AE42" s="3477">
        <v>3200</v>
      </c>
      <c r="AF42" s="3477">
        <v>3485</v>
      </c>
      <c r="AG42" s="3477">
        <v>3555</v>
      </c>
      <c r="AH42" s="3477">
        <v>119.04</v>
      </c>
      <c r="AI42" s="3477">
        <v>121.43</v>
      </c>
      <c r="AJ42" s="3477">
        <v>892.8</v>
      </c>
      <c r="AK42" s="3477">
        <v>910.74</v>
      </c>
      <c r="AL42" s="3477" t="s">
        <v>2823</v>
      </c>
      <c r="AM42" s="3477" t="s">
        <v>2823</v>
      </c>
      <c r="AN42" s="3477">
        <v>2.0099999999999998</v>
      </c>
      <c r="AO42" s="3477" t="s">
        <v>3296</v>
      </c>
      <c r="AP42" s="3477" t="s">
        <v>2823</v>
      </c>
      <c r="AQ42" s="3477" t="s">
        <v>2823</v>
      </c>
      <c r="AR42" s="3477" t="s">
        <v>2823</v>
      </c>
    </row>
    <row r="43" spans="1:44" s="3477" customFormat="1" ht="12">
      <c r="A43" s="3477" t="s">
        <v>3478</v>
      </c>
      <c r="B43" s="3477" t="s">
        <v>3275</v>
      </c>
      <c r="C43" s="3477" t="s">
        <v>3290</v>
      </c>
      <c r="D43" s="3477" t="s">
        <v>3227</v>
      </c>
      <c r="E43" s="3477" t="s">
        <v>2823</v>
      </c>
      <c r="F43" s="3477" t="s">
        <v>3478</v>
      </c>
      <c r="G43" s="3477" t="s">
        <v>3372</v>
      </c>
      <c r="H43" s="3477" t="s">
        <v>3479</v>
      </c>
      <c r="I43" s="3477" t="s">
        <v>3292</v>
      </c>
      <c r="J43" s="3477">
        <v>4084.8</v>
      </c>
      <c r="K43" s="3477">
        <v>13602.38</v>
      </c>
      <c r="L43" s="3477" t="s">
        <v>3480</v>
      </c>
      <c r="M43" s="3477" t="s">
        <v>2823</v>
      </c>
      <c r="N43" s="3477" t="s">
        <v>3281</v>
      </c>
      <c r="O43" s="3477" t="s">
        <v>3281</v>
      </c>
      <c r="P43" s="3477" t="s">
        <v>2823</v>
      </c>
      <c r="Q43" s="3477" t="s">
        <v>2823</v>
      </c>
      <c r="R43" s="3477" t="s">
        <v>2823</v>
      </c>
      <c r="S43" s="3477" t="s">
        <v>2823</v>
      </c>
      <c r="T43" s="3477" t="s">
        <v>2823</v>
      </c>
      <c r="U43" s="3477" t="s">
        <v>2823</v>
      </c>
      <c r="V43" s="3477" t="s">
        <v>2823</v>
      </c>
      <c r="W43" s="3477" t="s">
        <v>3376</v>
      </c>
      <c r="X43" s="3477" t="s">
        <v>3471</v>
      </c>
      <c r="Y43" s="3477" t="s">
        <v>3471</v>
      </c>
      <c r="Z43" s="3477" t="s">
        <v>3472</v>
      </c>
      <c r="AA43" s="3477" t="s">
        <v>3472</v>
      </c>
      <c r="AB43" s="3477" t="s">
        <v>3481</v>
      </c>
      <c r="AC43" s="3477" t="s">
        <v>3286</v>
      </c>
      <c r="AD43" s="3477" t="s">
        <v>3482</v>
      </c>
      <c r="AE43" s="3477">
        <v>730</v>
      </c>
      <c r="AF43" s="3477">
        <v>809</v>
      </c>
      <c r="AG43" s="3477">
        <v>860</v>
      </c>
      <c r="AH43" s="3477">
        <v>132.03</v>
      </c>
      <c r="AI43" s="3477">
        <v>140.36000000000001</v>
      </c>
      <c r="AJ43" s="3477">
        <v>594.74</v>
      </c>
      <c r="AK43" s="3477">
        <v>632.24</v>
      </c>
      <c r="AL43" s="3477" t="s">
        <v>2823</v>
      </c>
      <c r="AM43" s="3477" t="s">
        <v>2823</v>
      </c>
      <c r="AN43" s="3477">
        <v>6.3</v>
      </c>
      <c r="AO43" s="3477" t="s">
        <v>3296</v>
      </c>
      <c r="AP43" s="3477" t="s">
        <v>2823</v>
      </c>
      <c r="AQ43" s="3477" t="s">
        <v>2823</v>
      </c>
      <c r="AR43" s="3477" t="s">
        <v>2823</v>
      </c>
    </row>
    <row r="44" spans="1:44" s="3477" customFormat="1" ht="12">
      <c r="A44" s="3477" t="s">
        <v>3483</v>
      </c>
      <c r="B44" s="3477" t="s">
        <v>3275</v>
      </c>
      <c r="C44" s="3477" t="s">
        <v>3290</v>
      </c>
      <c r="D44" s="3477" t="s">
        <v>3227</v>
      </c>
      <c r="E44" s="3477" t="s">
        <v>2823</v>
      </c>
      <c r="F44" s="3477" t="s">
        <v>3483</v>
      </c>
      <c r="G44" s="3477" t="s">
        <v>3277</v>
      </c>
      <c r="H44" s="3477" t="s">
        <v>3484</v>
      </c>
      <c r="I44" s="3477" t="s">
        <v>3292</v>
      </c>
      <c r="J44" s="3477">
        <v>19341.400000000001</v>
      </c>
      <c r="K44" s="3477">
        <v>64406.86</v>
      </c>
      <c r="L44" s="3477" t="s">
        <v>3480</v>
      </c>
      <c r="M44" s="3477" t="s">
        <v>2823</v>
      </c>
      <c r="N44" s="3477" t="s">
        <v>3281</v>
      </c>
      <c r="O44" s="3477" t="s">
        <v>3281</v>
      </c>
      <c r="P44" s="3477" t="s">
        <v>2823</v>
      </c>
      <c r="Q44" s="3477" t="s">
        <v>2823</v>
      </c>
      <c r="R44" s="3477" t="s">
        <v>2823</v>
      </c>
      <c r="S44" s="3477" t="s">
        <v>2823</v>
      </c>
      <c r="T44" s="3477" t="s">
        <v>2823</v>
      </c>
      <c r="U44" s="3477" t="s">
        <v>2823</v>
      </c>
      <c r="V44" s="3477" t="s">
        <v>2823</v>
      </c>
      <c r="W44" s="3477" t="s">
        <v>3376</v>
      </c>
      <c r="X44" s="3477" t="s">
        <v>3471</v>
      </c>
      <c r="Y44" s="3477" t="s">
        <v>3472</v>
      </c>
      <c r="Z44" s="3477" t="s">
        <v>3472</v>
      </c>
      <c r="AA44" s="3477" t="s">
        <v>3472</v>
      </c>
      <c r="AB44" s="3477" t="s">
        <v>3485</v>
      </c>
      <c r="AC44" s="3477" t="s">
        <v>3286</v>
      </c>
      <c r="AD44" s="3477" t="s">
        <v>3482</v>
      </c>
      <c r="AE44" s="3477">
        <v>3500</v>
      </c>
      <c r="AF44" s="3477">
        <v>3875</v>
      </c>
      <c r="AG44" s="3477">
        <v>3947</v>
      </c>
      <c r="AH44" s="3477">
        <v>133.56</v>
      </c>
      <c r="AI44" s="3477">
        <v>136.05000000000001</v>
      </c>
      <c r="AJ44" s="3477">
        <v>601.64</v>
      </c>
      <c r="AK44" s="3477">
        <v>612.82000000000005</v>
      </c>
      <c r="AL44" s="3477" t="s">
        <v>2823</v>
      </c>
      <c r="AM44" s="3477" t="s">
        <v>2823</v>
      </c>
      <c r="AN44" s="3477">
        <v>1.86</v>
      </c>
      <c r="AO44" s="3477" t="s">
        <v>3296</v>
      </c>
      <c r="AP44" s="3477" t="s">
        <v>2823</v>
      </c>
      <c r="AQ44" s="3477" t="s">
        <v>2823</v>
      </c>
      <c r="AR44" s="3477" t="s">
        <v>2823</v>
      </c>
    </row>
    <row r="45" spans="1:44" s="3477" customFormat="1" ht="12">
      <c r="A45" s="3477" t="s">
        <v>3486</v>
      </c>
      <c r="B45" s="3477" t="s">
        <v>3275</v>
      </c>
      <c r="C45" s="3477" t="s">
        <v>3290</v>
      </c>
      <c r="D45" s="3477" t="s">
        <v>3227</v>
      </c>
      <c r="E45" s="3477" t="s">
        <v>2823</v>
      </c>
      <c r="F45" s="3477" t="s">
        <v>3486</v>
      </c>
      <c r="G45" s="3477" t="s">
        <v>3372</v>
      </c>
      <c r="H45" s="3477" t="s">
        <v>3487</v>
      </c>
      <c r="I45" s="3477" t="s">
        <v>3292</v>
      </c>
      <c r="J45" s="3477">
        <v>1172.7</v>
      </c>
      <c r="K45" s="3477">
        <v>2931.75</v>
      </c>
      <c r="L45" s="3477" t="s">
        <v>3488</v>
      </c>
      <c r="M45" s="3477" t="s">
        <v>2823</v>
      </c>
      <c r="N45" s="3477" t="s">
        <v>3281</v>
      </c>
      <c r="O45" s="3477" t="s">
        <v>3281</v>
      </c>
      <c r="P45" s="3477" t="s">
        <v>2823</v>
      </c>
      <c r="Q45" s="3477" t="s">
        <v>2823</v>
      </c>
      <c r="R45" s="3477" t="s">
        <v>2823</v>
      </c>
      <c r="S45" s="3477" t="s">
        <v>2823</v>
      </c>
      <c r="T45" s="3477" t="s">
        <v>2823</v>
      </c>
      <c r="U45" s="3477" t="s">
        <v>2823</v>
      </c>
      <c r="V45" s="3477" t="s">
        <v>2823</v>
      </c>
      <c r="W45" s="3477" t="s">
        <v>3376</v>
      </c>
      <c r="X45" s="3477" t="s">
        <v>3489</v>
      </c>
      <c r="Y45" s="3477" t="s">
        <v>3490</v>
      </c>
      <c r="Z45" s="3477" t="s">
        <v>3491</v>
      </c>
      <c r="AA45" s="3477" t="s">
        <v>3491</v>
      </c>
      <c r="AB45" s="3477" t="s">
        <v>3492</v>
      </c>
      <c r="AC45" s="3477" t="s">
        <v>3286</v>
      </c>
      <c r="AD45" s="3477" t="s">
        <v>3334</v>
      </c>
      <c r="AE45" s="3477">
        <v>430</v>
      </c>
      <c r="AF45" s="3477">
        <v>473</v>
      </c>
      <c r="AG45" s="3477">
        <v>498</v>
      </c>
      <c r="AH45" s="3477">
        <v>268.89999999999998</v>
      </c>
      <c r="AI45" s="3477">
        <v>283.11</v>
      </c>
      <c r="AJ45" s="3477">
        <v>1613.37</v>
      </c>
      <c r="AK45" s="3477">
        <v>1698.64</v>
      </c>
      <c r="AL45" s="3477" t="s">
        <v>2823</v>
      </c>
      <c r="AM45" s="3477" t="s">
        <v>2823</v>
      </c>
      <c r="AN45" s="3477">
        <v>5.29</v>
      </c>
      <c r="AO45" s="3477" t="s">
        <v>3296</v>
      </c>
      <c r="AP45" s="3477" t="s">
        <v>2823</v>
      </c>
      <c r="AQ45" s="3477" t="s">
        <v>2823</v>
      </c>
      <c r="AR45" s="3477" t="s">
        <v>2823</v>
      </c>
    </row>
    <row r="46" spans="1:44" s="3477" customFormat="1" ht="12">
      <c r="A46" s="3477" t="s">
        <v>3493</v>
      </c>
      <c r="B46" s="3477" t="s">
        <v>3275</v>
      </c>
      <c r="C46" s="3477" t="s">
        <v>3290</v>
      </c>
      <c r="D46" s="3477" t="s">
        <v>3227</v>
      </c>
      <c r="E46" s="3477" t="s">
        <v>2823</v>
      </c>
      <c r="F46" s="3477" t="s">
        <v>3493</v>
      </c>
      <c r="G46" s="3477" t="s">
        <v>3372</v>
      </c>
      <c r="H46" s="3477" t="s">
        <v>3494</v>
      </c>
      <c r="I46" s="3477" t="s">
        <v>3292</v>
      </c>
      <c r="J46" s="3477">
        <v>9267.2999999999993</v>
      </c>
      <c r="K46" s="3477">
        <v>18534.599999999999</v>
      </c>
      <c r="L46" s="3477" t="s">
        <v>3308</v>
      </c>
      <c r="M46" s="3477" t="s">
        <v>2823</v>
      </c>
      <c r="N46" s="3477" t="s">
        <v>3281</v>
      </c>
      <c r="O46" s="3477" t="s">
        <v>3495</v>
      </c>
      <c r="P46" s="3477" t="s">
        <v>2823</v>
      </c>
      <c r="Q46" s="3477" t="s">
        <v>2823</v>
      </c>
      <c r="R46" s="3477" t="s">
        <v>2823</v>
      </c>
      <c r="S46" s="3477" t="s">
        <v>2823</v>
      </c>
      <c r="T46" s="3477" t="s">
        <v>2823</v>
      </c>
      <c r="U46" s="3477" t="s">
        <v>2823</v>
      </c>
      <c r="V46" s="3477" t="s">
        <v>2823</v>
      </c>
      <c r="W46" s="3477" t="s">
        <v>3376</v>
      </c>
      <c r="X46" s="3477" t="s">
        <v>3489</v>
      </c>
      <c r="Y46" s="3477" t="s">
        <v>3490</v>
      </c>
      <c r="Z46" s="3477" t="s">
        <v>3491</v>
      </c>
      <c r="AA46" s="3477" t="s">
        <v>3491</v>
      </c>
      <c r="AB46" s="3477" t="s">
        <v>3496</v>
      </c>
      <c r="AC46" s="3477" t="s">
        <v>3286</v>
      </c>
      <c r="AD46" s="3477" t="s">
        <v>3474</v>
      </c>
      <c r="AE46" s="3477">
        <v>2900</v>
      </c>
      <c r="AF46" s="3477">
        <v>3155</v>
      </c>
      <c r="AG46" s="3477">
        <v>3195</v>
      </c>
      <c r="AH46" s="3477">
        <v>226.96</v>
      </c>
      <c r="AI46" s="3477">
        <v>229.84</v>
      </c>
      <c r="AJ46" s="3477">
        <v>1702.22</v>
      </c>
      <c r="AK46" s="3477">
        <v>1723.79</v>
      </c>
      <c r="AL46" s="3477" t="s">
        <v>2823</v>
      </c>
      <c r="AM46" s="3477" t="s">
        <v>2823</v>
      </c>
      <c r="AN46" s="3477">
        <v>1.27</v>
      </c>
      <c r="AO46" s="3477" t="s">
        <v>3296</v>
      </c>
      <c r="AP46" s="3477" t="s">
        <v>2823</v>
      </c>
      <c r="AQ46" s="3477" t="s">
        <v>2823</v>
      </c>
      <c r="AR46" s="3477" t="s">
        <v>2823</v>
      </c>
    </row>
    <row r="47" spans="1:44" s="3477" customFormat="1" ht="12">
      <c r="A47" s="3477" t="s">
        <v>3497</v>
      </c>
      <c r="B47" s="3477" t="s">
        <v>3275</v>
      </c>
      <c r="C47" s="3477" t="s">
        <v>3290</v>
      </c>
      <c r="D47" s="3477" t="s">
        <v>3227</v>
      </c>
      <c r="E47" s="3477" t="s">
        <v>2823</v>
      </c>
      <c r="F47" s="3477" t="s">
        <v>3497</v>
      </c>
      <c r="G47" s="3477" t="s">
        <v>3372</v>
      </c>
      <c r="H47" s="3477" t="s">
        <v>3498</v>
      </c>
      <c r="I47" s="3477" t="s">
        <v>3292</v>
      </c>
      <c r="J47" s="3477">
        <v>4687.6000000000004</v>
      </c>
      <c r="K47" s="3477">
        <v>9375.2000000000007</v>
      </c>
      <c r="L47" s="3477" t="s">
        <v>3308</v>
      </c>
      <c r="M47" s="3477" t="s">
        <v>2823</v>
      </c>
      <c r="N47" s="3477" t="s">
        <v>3281</v>
      </c>
      <c r="O47" s="3477" t="s">
        <v>3495</v>
      </c>
      <c r="P47" s="3477" t="s">
        <v>2823</v>
      </c>
      <c r="Q47" s="3477" t="s">
        <v>2823</v>
      </c>
      <c r="R47" s="3477" t="s">
        <v>2823</v>
      </c>
      <c r="S47" s="3477" t="s">
        <v>2823</v>
      </c>
      <c r="T47" s="3477" t="s">
        <v>2823</v>
      </c>
      <c r="U47" s="3477" t="s">
        <v>2823</v>
      </c>
      <c r="V47" s="3477" t="s">
        <v>2823</v>
      </c>
      <c r="W47" s="3477" t="s">
        <v>3376</v>
      </c>
      <c r="X47" s="3477" t="s">
        <v>3489</v>
      </c>
      <c r="Y47" s="3477" t="s">
        <v>3490</v>
      </c>
      <c r="Z47" s="3477" t="s">
        <v>3491</v>
      </c>
      <c r="AA47" s="3477" t="s">
        <v>3491</v>
      </c>
      <c r="AB47" s="3477" t="s">
        <v>3499</v>
      </c>
      <c r="AC47" s="3477" t="s">
        <v>3286</v>
      </c>
      <c r="AD47" s="3477" t="s">
        <v>3474</v>
      </c>
      <c r="AE47" s="3477">
        <v>1650</v>
      </c>
      <c r="AF47" s="3477">
        <v>1815</v>
      </c>
      <c r="AG47" s="3477">
        <v>1855</v>
      </c>
      <c r="AH47" s="3477">
        <v>258.13</v>
      </c>
      <c r="AI47" s="3477">
        <v>263.82</v>
      </c>
      <c r="AJ47" s="3477">
        <v>1935.95</v>
      </c>
      <c r="AK47" s="3477">
        <v>1978.61</v>
      </c>
      <c r="AL47" s="3477" t="s">
        <v>2823</v>
      </c>
      <c r="AM47" s="3477" t="s">
        <v>2823</v>
      </c>
      <c r="AN47" s="3477">
        <v>2.2000000000000002</v>
      </c>
      <c r="AO47" s="3477" t="s">
        <v>3296</v>
      </c>
      <c r="AP47" s="3477" t="s">
        <v>2823</v>
      </c>
      <c r="AQ47" s="3477" t="s">
        <v>2823</v>
      </c>
      <c r="AR47" s="3477" t="s">
        <v>2823</v>
      </c>
    </row>
    <row r="48" spans="1:44" s="3477" customFormat="1" ht="12">
      <c r="A48" s="3477" t="s">
        <v>3500</v>
      </c>
      <c r="B48" s="3477" t="s">
        <v>3275</v>
      </c>
      <c r="C48" s="3477" t="s">
        <v>3290</v>
      </c>
      <c r="D48" s="3477" t="s">
        <v>3227</v>
      </c>
      <c r="E48" s="3477" t="s">
        <v>2823</v>
      </c>
      <c r="F48" s="3477" t="s">
        <v>3500</v>
      </c>
      <c r="G48" s="3477" t="s">
        <v>3372</v>
      </c>
      <c r="H48" s="3477" t="s">
        <v>3501</v>
      </c>
      <c r="I48" s="3477" t="s">
        <v>3292</v>
      </c>
      <c r="J48" s="3477">
        <v>10955.1</v>
      </c>
      <c r="K48" s="3477">
        <v>21910.2</v>
      </c>
      <c r="L48" s="3477" t="s">
        <v>3308</v>
      </c>
      <c r="M48" s="3477" t="s">
        <v>2823</v>
      </c>
      <c r="N48" s="3477" t="s">
        <v>3281</v>
      </c>
      <c r="O48" s="3477" t="s">
        <v>3502</v>
      </c>
      <c r="P48" s="3477" t="s">
        <v>2823</v>
      </c>
      <c r="Q48" s="3477" t="s">
        <v>2823</v>
      </c>
      <c r="R48" s="3477" t="s">
        <v>2823</v>
      </c>
      <c r="S48" s="3477" t="s">
        <v>2823</v>
      </c>
      <c r="T48" s="3477" t="s">
        <v>2823</v>
      </c>
      <c r="U48" s="3477" t="s">
        <v>2823</v>
      </c>
      <c r="V48" s="3477" t="s">
        <v>2823</v>
      </c>
      <c r="W48" s="3477" t="s">
        <v>3376</v>
      </c>
      <c r="X48" s="3477" t="s">
        <v>3489</v>
      </c>
      <c r="Y48" s="3477" t="s">
        <v>3490</v>
      </c>
      <c r="Z48" s="3477" t="s">
        <v>3491</v>
      </c>
      <c r="AA48" s="3477" t="s">
        <v>3491</v>
      </c>
      <c r="AB48" s="3477" t="s">
        <v>3503</v>
      </c>
      <c r="AC48" s="3477" t="s">
        <v>3286</v>
      </c>
      <c r="AD48" s="3477" t="s">
        <v>3474</v>
      </c>
      <c r="AE48" s="3477">
        <v>3400</v>
      </c>
      <c r="AF48" s="3477">
        <v>3727</v>
      </c>
      <c r="AG48" s="3477">
        <v>3787</v>
      </c>
      <c r="AH48" s="3477">
        <v>226.8</v>
      </c>
      <c r="AI48" s="3477">
        <v>230.46</v>
      </c>
      <c r="AJ48" s="3477">
        <v>1701.03</v>
      </c>
      <c r="AK48" s="3477">
        <v>1728.42</v>
      </c>
      <c r="AL48" s="3477" t="s">
        <v>2823</v>
      </c>
      <c r="AM48" s="3477" t="s">
        <v>2823</v>
      </c>
      <c r="AN48" s="3477">
        <v>1.61</v>
      </c>
      <c r="AO48" s="3477" t="s">
        <v>3296</v>
      </c>
      <c r="AP48" s="3477" t="s">
        <v>2823</v>
      </c>
      <c r="AQ48" s="3477" t="s">
        <v>2823</v>
      </c>
      <c r="AR48" s="3477" t="s">
        <v>2823</v>
      </c>
    </row>
    <row r="49" spans="1:44" s="3477" customFormat="1" ht="12">
      <c r="A49" s="3477" t="s">
        <v>3504</v>
      </c>
      <c r="B49" s="3477" t="s">
        <v>3275</v>
      </c>
      <c r="C49" s="3477" t="s">
        <v>3290</v>
      </c>
      <c r="D49" s="3477" t="s">
        <v>3227</v>
      </c>
      <c r="E49" s="3477" t="s">
        <v>2823</v>
      </c>
      <c r="F49" s="3477" t="s">
        <v>3504</v>
      </c>
      <c r="G49" s="3477" t="s">
        <v>3356</v>
      </c>
      <c r="H49" s="3477" t="s">
        <v>3505</v>
      </c>
      <c r="I49" s="3477" t="s">
        <v>3292</v>
      </c>
      <c r="J49" s="3477">
        <v>2834</v>
      </c>
      <c r="K49" s="3477">
        <v>7736.82</v>
      </c>
      <c r="L49" s="3477" t="s">
        <v>3506</v>
      </c>
      <c r="M49" s="3477" t="s">
        <v>2823</v>
      </c>
      <c r="N49" s="3477" t="s">
        <v>3281</v>
      </c>
      <c r="O49" s="3477" t="s">
        <v>3281</v>
      </c>
      <c r="P49" s="3477" t="s">
        <v>2823</v>
      </c>
      <c r="Q49" s="3477" t="s">
        <v>2823</v>
      </c>
      <c r="R49" s="3477" t="s">
        <v>2823</v>
      </c>
      <c r="S49" s="3477" t="s">
        <v>2823</v>
      </c>
      <c r="T49" s="3477" t="s">
        <v>2823</v>
      </c>
      <c r="U49" s="3477" t="s">
        <v>2823</v>
      </c>
      <c r="V49" s="3477" t="s">
        <v>2823</v>
      </c>
      <c r="W49" s="3477" t="s">
        <v>3376</v>
      </c>
      <c r="X49" s="3477" t="s">
        <v>3507</v>
      </c>
      <c r="Y49" s="3477" t="s">
        <v>3508</v>
      </c>
      <c r="Z49" s="3477" t="s">
        <v>3508</v>
      </c>
      <c r="AA49" s="3477" t="s">
        <v>3508</v>
      </c>
      <c r="AB49" s="3477" t="s">
        <v>3509</v>
      </c>
      <c r="AC49" s="3477" t="s">
        <v>3286</v>
      </c>
      <c r="AD49" s="3477" t="s">
        <v>3510</v>
      </c>
      <c r="AE49" s="3477">
        <v>1060</v>
      </c>
      <c r="AF49" s="3477">
        <v>1167</v>
      </c>
      <c r="AG49" s="3477">
        <v>1267</v>
      </c>
      <c r="AH49" s="3477">
        <v>274.52</v>
      </c>
      <c r="AI49" s="3477">
        <v>298.05</v>
      </c>
      <c r="AJ49" s="3477">
        <v>1508.37</v>
      </c>
      <c r="AK49" s="3477">
        <v>1637.61</v>
      </c>
      <c r="AL49" s="3477" t="s">
        <v>2823</v>
      </c>
      <c r="AM49" s="3477" t="s">
        <v>2823</v>
      </c>
      <c r="AN49" s="3477">
        <v>8.57</v>
      </c>
      <c r="AO49" s="3477" t="s">
        <v>3296</v>
      </c>
      <c r="AP49" s="3477" t="s">
        <v>2823</v>
      </c>
      <c r="AQ49" s="3477" t="s">
        <v>2823</v>
      </c>
      <c r="AR49" s="3477" t="s">
        <v>2823</v>
      </c>
    </row>
    <row r="50" spans="1:44" s="3479" customFormat="1" ht="12">
      <c r="A50" s="3479" t="s">
        <v>3511</v>
      </c>
      <c r="B50" s="3479" t="s">
        <v>3275</v>
      </c>
      <c r="C50" s="3479" t="s">
        <v>3290</v>
      </c>
      <c r="D50" s="3479" t="s">
        <v>3227</v>
      </c>
      <c r="E50" s="3479" t="s">
        <v>2823</v>
      </c>
      <c r="F50" s="3479" t="s">
        <v>3511</v>
      </c>
      <c r="G50" s="3479" t="s">
        <v>3356</v>
      </c>
      <c r="H50" s="3479" t="s">
        <v>3512</v>
      </c>
      <c r="I50" s="3479" t="s">
        <v>3292</v>
      </c>
      <c r="J50" s="3479">
        <v>13951.72</v>
      </c>
      <c r="K50" s="3479">
        <v>27903.439999999999</v>
      </c>
      <c r="L50" s="3479" t="s">
        <v>3308</v>
      </c>
      <c r="M50" s="3479" t="s">
        <v>2823</v>
      </c>
      <c r="N50" s="3479" t="s">
        <v>3281</v>
      </c>
      <c r="O50" s="3479" t="s">
        <v>3513</v>
      </c>
      <c r="P50" s="3479" t="s">
        <v>2823</v>
      </c>
      <c r="Q50" s="3479" t="s">
        <v>2823</v>
      </c>
      <c r="R50" s="3479" t="s">
        <v>2823</v>
      </c>
      <c r="S50" s="3479" t="s">
        <v>2823</v>
      </c>
      <c r="T50" s="3479" t="s">
        <v>2823</v>
      </c>
      <c r="U50" s="3479" t="s">
        <v>2823</v>
      </c>
      <c r="V50" s="3479" t="s">
        <v>2823</v>
      </c>
      <c r="W50" s="3479" t="s">
        <v>3376</v>
      </c>
      <c r="X50" s="3479" t="s">
        <v>3507</v>
      </c>
      <c r="Y50" s="3479" t="s">
        <v>3508</v>
      </c>
      <c r="Z50" s="3479" t="s">
        <v>3508</v>
      </c>
      <c r="AA50" s="3479" t="s">
        <v>3508</v>
      </c>
      <c r="AB50" s="3479" t="s">
        <v>3514</v>
      </c>
      <c r="AC50" s="3479" t="s">
        <v>3286</v>
      </c>
      <c r="AD50" s="3479" t="s">
        <v>3515</v>
      </c>
      <c r="AE50" s="3479">
        <v>4700</v>
      </c>
      <c r="AF50" s="3479">
        <v>5177</v>
      </c>
      <c r="AG50" s="3479">
        <v>7477</v>
      </c>
      <c r="AH50" s="3479">
        <v>247.38</v>
      </c>
      <c r="AI50" s="3479">
        <v>357.28</v>
      </c>
      <c r="AJ50" s="3479">
        <v>1855.32</v>
      </c>
      <c r="AK50" s="3479">
        <v>2679.59</v>
      </c>
      <c r="AL50" s="3479" t="s">
        <v>2823</v>
      </c>
      <c r="AM50" s="3479" t="s">
        <v>2823</v>
      </c>
      <c r="AN50" s="3479">
        <v>44.43</v>
      </c>
      <c r="AO50" s="3479" t="s">
        <v>3296</v>
      </c>
      <c r="AP50" s="3479" t="s">
        <v>2823</v>
      </c>
      <c r="AQ50" s="3479" t="s">
        <v>2823</v>
      </c>
      <c r="AR50" s="3479" t="s">
        <v>2823</v>
      </c>
    </row>
    <row r="51" spans="1:44" s="3477" customFormat="1" ht="12">
      <c r="A51" s="3477" t="s">
        <v>3504</v>
      </c>
      <c r="B51" s="3477" t="s">
        <v>3275</v>
      </c>
      <c r="C51" s="3477" t="s">
        <v>3276</v>
      </c>
      <c r="D51" s="3477" t="s">
        <v>3227</v>
      </c>
      <c r="E51" s="3477" t="s">
        <v>2823</v>
      </c>
      <c r="F51" s="3477" t="s">
        <v>3504</v>
      </c>
      <c r="G51" s="3477" t="s">
        <v>3356</v>
      </c>
      <c r="H51" s="3477" t="s">
        <v>3516</v>
      </c>
      <c r="I51" s="3477" t="s">
        <v>3390</v>
      </c>
      <c r="J51" s="3477">
        <v>2411.8000000000002</v>
      </c>
      <c r="K51" s="3477">
        <v>6584.21</v>
      </c>
      <c r="L51" s="3477" t="s">
        <v>3506</v>
      </c>
      <c r="M51" s="3477" t="s">
        <v>2823</v>
      </c>
      <c r="N51" s="3477" t="s">
        <v>3281</v>
      </c>
      <c r="O51" s="3477" t="s">
        <v>3281</v>
      </c>
      <c r="P51" s="3477" t="s">
        <v>2823</v>
      </c>
      <c r="Q51" s="3477" t="s">
        <v>2823</v>
      </c>
      <c r="R51" s="3477" t="s">
        <v>2823</v>
      </c>
      <c r="S51" s="3477" t="s">
        <v>2823</v>
      </c>
      <c r="T51" s="3477" t="s">
        <v>2823</v>
      </c>
      <c r="U51" s="3477" t="s">
        <v>2823</v>
      </c>
      <c r="V51" s="3477" t="s">
        <v>2823</v>
      </c>
      <c r="W51" s="3477" t="s">
        <v>3376</v>
      </c>
      <c r="X51" s="3477" t="s">
        <v>3507</v>
      </c>
      <c r="Y51" s="3477" t="s">
        <v>3508</v>
      </c>
      <c r="Z51" s="3477" t="s">
        <v>3508</v>
      </c>
      <c r="AA51" s="3477" t="s">
        <v>3508</v>
      </c>
      <c r="AB51" s="3477" t="s">
        <v>3517</v>
      </c>
      <c r="AC51" s="3477" t="s">
        <v>3286</v>
      </c>
      <c r="AD51" s="3477" t="s">
        <v>3510</v>
      </c>
      <c r="AE51" s="3477">
        <v>900</v>
      </c>
      <c r="AF51" s="3477">
        <v>999</v>
      </c>
      <c r="AG51" s="3477">
        <v>1059</v>
      </c>
      <c r="AH51" s="3477">
        <v>276.14</v>
      </c>
      <c r="AI51" s="3477">
        <v>292.73</v>
      </c>
      <c r="AJ51" s="3477">
        <v>1517.26</v>
      </c>
      <c r="AK51" s="3477">
        <v>1608.39</v>
      </c>
      <c r="AL51" s="3477" t="s">
        <v>2823</v>
      </c>
      <c r="AM51" s="3477" t="s">
        <v>2823</v>
      </c>
      <c r="AN51" s="3477">
        <v>6.01</v>
      </c>
      <c r="AO51" s="3477" t="s">
        <v>3518</v>
      </c>
      <c r="AP51" s="3477" t="s">
        <v>2823</v>
      </c>
      <c r="AQ51" s="3477" t="s">
        <v>2823</v>
      </c>
      <c r="AR51" s="3477" t="s">
        <v>2823</v>
      </c>
    </row>
  </sheetData>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71"/>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667" t="s">
        <v>523</v>
      </c>
      <c r="D4" s="3668"/>
      <c r="E4" s="3702" t="s">
        <v>524</v>
      </c>
      <c r="F4" s="3703"/>
      <c r="G4" s="3667" t="s">
        <v>525</v>
      </c>
      <c r="H4" s="3668"/>
      <c r="I4" s="3667" t="s">
        <v>526</v>
      </c>
      <c r="J4" s="3668"/>
      <c r="K4" s="514" t="s">
        <v>527</v>
      </c>
      <c r="L4" s="2134"/>
      <c r="M4" s="2135"/>
      <c r="N4" s="2135"/>
      <c r="O4" s="2135"/>
      <c r="P4" s="3669" t="s">
        <v>528</v>
      </c>
      <c r="Q4" s="3670"/>
      <c r="R4" s="3675" t="s">
        <v>524</v>
      </c>
      <c r="S4" s="3676"/>
      <c r="T4" s="3675" t="s">
        <v>525</v>
      </c>
      <c r="U4" s="3676"/>
      <c r="V4" s="3662" t="s">
        <v>526</v>
      </c>
      <c r="W4" s="3662"/>
      <c r="X4" s="1567"/>
      <c r="Y4" s="3675" t="s">
        <v>528</v>
      </c>
      <c r="Z4" s="3676"/>
      <c r="AA4" s="3664" t="s">
        <v>524</v>
      </c>
      <c r="AB4" s="3662" t="s">
        <v>525</v>
      </c>
      <c r="AC4" s="3664" t="s">
        <v>526</v>
      </c>
    </row>
    <row r="5" spans="1:29" ht="15">
      <c r="A5" s="515"/>
      <c r="B5" s="516"/>
      <c r="C5" s="3683" t="s">
        <v>2935</v>
      </c>
      <c r="D5" s="3684"/>
      <c r="E5" s="3704" t="s">
        <v>2936</v>
      </c>
      <c r="F5" s="3705"/>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2"/>
      <c r="AC5" s="3665"/>
    </row>
    <row r="6" spans="1:29" ht="15.75" thickBot="1">
      <c r="A6" s="517"/>
      <c r="B6" s="518"/>
      <c r="C6" s="3698" t="s">
        <v>2939</v>
      </c>
      <c r="D6" s="3699"/>
      <c r="E6" s="3700" t="s">
        <v>2939</v>
      </c>
      <c r="F6" s="3701"/>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2"/>
      <c r="AC6" s="3666"/>
    </row>
    <row r="7" spans="1:29" s="1219" customFormat="1" ht="15.75" thickBot="1">
      <c r="A7" s="2938"/>
      <c r="B7" s="2945" t="s">
        <v>530</v>
      </c>
      <c r="C7" s="519">
        <f>'数据-取费表'!B2</f>
        <v>43242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91" t="s">
        <v>531</v>
      </c>
      <c r="Q7" s="3693"/>
      <c r="R7" s="1568" t="s">
        <v>8</v>
      </c>
      <c r="S7" s="1569">
        <f t="shared" ref="S7:S15" si="0">F7</f>
        <v>0</v>
      </c>
      <c r="T7" s="1568" t="s">
        <v>8</v>
      </c>
      <c r="U7" s="1569">
        <f t="shared" ref="U7:U15" si="1">H7</f>
        <v>0</v>
      </c>
      <c r="V7" s="1568" t="s">
        <v>8</v>
      </c>
      <c r="W7" s="1569">
        <f t="shared" ref="W7:W15"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46" si="3">D8/F8</f>
        <v>#DIV/0!</v>
      </c>
      <c r="AB8" s="1571" t="e">
        <f t="shared" ref="AB8:AB46" si="4">D8/H8</f>
        <v>#DIV/0!</v>
      </c>
      <c r="AC8" s="1571" t="e">
        <f t="shared" ref="AC8:AC46" si="5">D8/J8</f>
        <v>#DIV/0!</v>
      </c>
    </row>
    <row r="9" spans="1:29" s="1219" customFormat="1" ht="15">
      <c r="A9" s="2940"/>
      <c r="B9" s="2947" t="s">
        <v>2761</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7">
      <c r="A10" s="2941"/>
      <c r="B10" s="2946" t="s">
        <v>2762</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6" t="s">
        <v>2763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61"/>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43"/>
      <c r="B12" s="2949">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71.25">
      <c r="A15" s="2936" t="s">
        <v>2759</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694" t="s">
        <v>541</v>
      </c>
      <c r="Q15" s="1572" t="str">
        <f t="shared" si="6"/>
        <v>商业繁华度</v>
      </c>
      <c r="R15" s="1573" t="s">
        <v>8</v>
      </c>
      <c r="S15" s="1574">
        <f t="shared" si="0"/>
        <v>100</v>
      </c>
      <c r="T15" s="1573" t="s">
        <v>8</v>
      </c>
      <c r="U15" s="1574">
        <f t="shared" si="1"/>
        <v>100</v>
      </c>
      <c r="V15" s="1573" t="s">
        <v>8</v>
      </c>
      <c r="W15" s="1574">
        <f t="shared" si="2"/>
        <v>100</v>
      </c>
      <c r="X15" s="1567"/>
      <c r="Y15" s="3694"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95"/>
      <c r="Q16" s="1572"/>
      <c r="R16" s="1573"/>
      <c r="S16" s="1574"/>
      <c r="T16" s="1573"/>
      <c r="U16" s="1574"/>
      <c r="V16" s="1573"/>
      <c r="W16" s="1574"/>
      <c r="X16" s="1567"/>
      <c r="Y16" s="369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695"/>
      <c r="Q17" s="1572" t="str">
        <f>B17</f>
        <v>交通便捷度</v>
      </c>
      <c r="R17" s="1573" t="s">
        <v>8</v>
      </c>
      <c r="S17" s="1574">
        <f>F17</f>
        <v>100</v>
      </c>
      <c r="T17" s="1573" t="s">
        <v>8</v>
      </c>
      <c r="U17" s="1574">
        <f>H17</f>
        <v>100</v>
      </c>
      <c r="V17" s="1573" t="s">
        <v>8</v>
      </c>
      <c r="W17" s="1574">
        <f>J17</f>
        <v>100</v>
      </c>
      <c r="X17" s="1567"/>
      <c r="Y17" s="369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95"/>
      <c r="Q18" s="1572"/>
      <c r="R18" s="1573"/>
      <c r="S18" s="1574"/>
      <c r="T18" s="1573"/>
      <c r="U18" s="1574"/>
      <c r="V18" s="1573"/>
      <c r="W18" s="1574"/>
      <c r="X18" s="1567"/>
      <c r="Y18" s="3695"/>
      <c r="Z18" s="1575"/>
      <c r="AA18" s="1576">
        <v>1</v>
      </c>
      <c r="AB18" s="1576">
        <v>1</v>
      </c>
      <c r="AC18" s="1576">
        <v>1</v>
      </c>
    </row>
    <row r="19" spans="1:29" ht="42.75">
      <c r="A19" s="532"/>
      <c r="B19" s="2625"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695"/>
      <c r="Q19" s="1572" t="str">
        <f>B19</f>
        <v>公共配套设施</v>
      </c>
      <c r="R19" s="1573" t="s">
        <v>8</v>
      </c>
      <c r="S19" s="1574">
        <f>F19</f>
        <v>100</v>
      </c>
      <c r="T19" s="1573" t="s">
        <v>8</v>
      </c>
      <c r="U19" s="1574">
        <f>H19</f>
        <v>100</v>
      </c>
      <c r="V19" s="1573" t="s">
        <v>8</v>
      </c>
      <c r="W19" s="1574">
        <f>J19</f>
        <v>100</v>
      </c>
      <c r="X19" s="1567"/>
      <c r="Y19" s="369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8.5">
      <c r="A21" s="532"/>
      <c r="B21" s="2618"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695"/>
      <c r="Q21" s="2604" t="str">
        <f>B21</f>
        <v>基础设施水平</v>
      </c>
      <c r="R21" s="1573" t="s">
        <v>8</v>
      </c>
      <c r="S21" s="1574">
        <f>F21</f>
        <v>100</v>
      </c>
      <c r="T21" s="1573" t="s">
        <v>8</v>
      </c>
      <c r="U21" s="1574">
        <f>H21</f>
        <v>100</v>
      </c>
      <c r="V21" s="1573" t="s">
        <v>8</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695"/>
      <c r="Q22" s="2604"/>
      <c r="R22" s="1573"/>
      <c r="S22" s="1574"/>
      <c r="T22" s="1573"/>
      <c r="U22" s="1574"/>
      <c r="V22" s="1573"/>
      <c r="W22" s="1574"/>
      <c r="X22" s="2606"/>
      <c r="Y22" s="3695"/>
      <c r="Z22" s="2605"/>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695"/>
      <c r="Q23" s="1572" t="str">
        <f>B23</f>
        <v>自然及人文环境</v>
      </c>
      <c r="R23" s="1573" t="s">
        <v>8</v>
      </c>
      <c r="S23" s="1574">
        <f>F23</f>
        <v>100</v>
      </c>
      <c r="T23" s="1573" t="s">
        <v>8</v>
      </c>
      <c r="U23" s="1574">
        <f>H23</f>
        <v>100</v>
      </c>
      <c r="V23" s="1573" t="s">
        <v>8</v>
      </c>
      <c r="W23" s="1574">
        <f>J23</f>
        <v>100</v>
      </c>
      <c r="X23" s="1567"/>
      <c r="Y23" s="369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695"/>
      <c r="Q24" s="1572"/>
      <c r="R24" s="1573"/>
      <c r="S24" s="1574"/>
      <c r="T24" s="1573"/>
      <c r="U24" s="1574"/>
      <c r="V24" s="1573"/>
      <c r="W24" s="1574"/>
      <c r="X24" s="1567"/>
      <c r="Y24" s="3695"/>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95"/>
      <c r="Q25" s="1572" t="str">
        <f t="shared" ref="Q25:Q46" si="11">B25</f>
        <v>临街状况</v>
      </c>
      <c r="R25" s="1573" t="s">
        <v>8</v>
      </c>
      <c r="S25" s="1574">
        <f>F25</f>
        <v>100</v>
      </c>
      <c r="T25" s="1573" t="s">
        <v>8</v>
      </c>
      <c r="U25" s="1574">
        <f>H25</f>
        <v>100</v>
      </c>
      <c r="V25" s="1573" t="s">
        <v>8</v>
      </c>
      <c r="W25" s="1574">
        <f>J25</f>
        <v>100</v>
      </c>
      <c r="X25" s="1567"/>
      <c r="Y25" s="3695"/>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95"/>
      <c r="Q26" s="1572" t="str">
        <f t="shared" si="11"/>
        <v>平面位置/可视性</v>
      </c>
      <c r="R26" s="1573" t="s">
        <v>8</v>
      </c>
      <c r="S26" s="1574">
        <f>F26</f>
        <v>100</v>
      </c>
      <c r="T26" s="1573" t="s">
        <v>8</v>
      </c>
      <c r="U26" s="1574">
        <f>H26</f>
        <v>100</v>
      </c>
      <c r="V26" s="1573" t="s">
        <v>8</v>
      </c>
      <c r="W26" s="1574">
        <f>J26</f>
        <v>100</v>
      </c>
      <c r="X26" s="1567"/>
      <c r="Y26" s="3695"/>
      <c r="Z26" s="1575" t="str">
        <f>Q26</f>
        <v>平面位置/可视性</v>
      </c>
      <c r="AA26" s="1576">
        <f t="shared" si="3"/>
        <v>1</v>
      </c>
      <c r="AB26" s="1576">
        <f t="shared" si="4"/>
        <v>1</v>
      </c>
      <c r="AC26" s="1576">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695"/>
      <c r="Q27" s="1150" t="str">
        <f t="shared" si="11"/>
        <v>人流量</v>
      </c>
      <c r="R27" s="1568" t="s">
        <v>8</v>
      </c>
      <c r="S27" s="1569">
        <f>F27</f>
        <v>100</v>
      </c>
      <c r="T27" s="1568" t="s">
        <v>8</v>
      </c>
      <c r="U27" s="1569">
        <f>H27</f>
        <v>100</v>
      </c>
      <c r="V27" s="1568" t="s">
        <v>8</v>
      </c>
      <c r="W27" s="1569">
        <f>J27</f>
        <v>100</v>
      </c>
      <c r="X27" s="1570"/>
      <c r="Y27" s="3695"/>
      <c r="Z27" s="1149"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9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9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95"/>
      <c r="Q29" s="1572">
        <f t="shared" si="11"/>
        <v>111</v>
      </c>
      <c r="R29" s="1573" t="s">
        <v>8</v>
      </c>
      <c r="S29" s="1574">
        <f t="shared" si="12"/>
        <v>100</v>
      </c>
      <c r="T29" s="1573" t="s">
        <v>8</v>
      </c>
      <c r="U29" s="1574">
        <f t="shared" si="13"/>
        <v>100</v>
      </c>
      <c r="V29" s="1573" t="s">
        <v>8</v>
      </c>
      <c r="W29" s="1574">
        <f t="shared" si="14"/>
        <v>100</v>
      </c>
      <c r="X29" s="1567"/>
      <c r="Y29" s="369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95"/>
      <c r="Q30" s="1572">
        <f t="shared" si="11"/>
        <v>111</v>
      </c>
      <c r="R30" s="1573" t="s">
        <v>8</v>
      </c>
      <c r="S30" s="1574">
        <f t="shared" si="12"/>
        <v>100</v>
      </c>
      <c r="T30" s="1573" t="s">
        <v>8</v>
      </c>
      <c r="U30" s="1574">
        <f t="shared" si="13"/>
        <v>100</v>
      </c>
      <c r="V30" s="1573" t="s">
        <v>8</v>
      </c>
      <c r="W30" s="1574">
        <f t="shared" si="14"/>
        <v>100</v>
      </c>
      <c r="X30" s="1567"/>
      <c r="Y30" s="369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95"/>
      <c r="Q31" s="1572">
        <f t="shared" si="11"/>
        <v>111</v>
      </c>
      <c r="R31" s="1573" t="s">
        <v>8</v>
      </c>
      <c r="S31" s="1574">
        <f t="shared" si="12"/>
        <v>100</v>
      </c>
      <c r="T31" s="1573" t="s">
        <v>8</v>
      </c>
      <c r="U31" s="1574">
        <f t="shared" si="13"/>
        <v>100</v>
      </c>
      <c r="V31" s="1573" t="s">
        <v>8</v>
      </c>
      <c r="W31" s="1574">
        <f t="shared" si="14"/>
        <v>100</v>
      </c>
      <c r="X31" s="1567"/>
      <c r="Y31" s="3695"/>
      <c r="Z31" s="1575">
        <f t="shared" si="15"/>
        <v>111</v>
      </c>
      <c r="AA31" s="1576">
        <f t="shared" si="3"/>
        <v>1</v>
      </c>
      <c r="AB31" s="1576">
        <f t="shared" si="4"/>
        <v>1</v>
      </c>
      <c r="AC31" s="1576">
        <f t="shared" si="5"/>
        <v>1</v>
      </c>
    </row>
    <row r="32" spans="1:29" ht="15">
      <c r="A32" s="2933" t="s">
        <v>2760</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96" t="s">
        <v>551</v>
      </c>
      <c r="Q32" s="1572" t="str">
        <f t="shared" si="11"/>
        <v>商业类型</v>
      </c>
      <c r="R32" s="1573" t="s">
        <v>8</v>
      </c>
      <c r="S32" s="1574">
        <f t="shared" si="12"/>
        <v>100</v>
      </c>
      <c r="T32" s="1573" t="s">
        <v>8</v>
      </c>
      <c r="U32" s="1574">
        <f t="shared" si="13"/>
        <v>100</v>
      </c>
      <c r="V32" s="1573" t="s">
        <v>8</v>
      </c>
      <c r="W32" s="1574">
        <f t="shared" si="14"/>
        <v>100</v>
      </c>
      <c r="X32" s="1567"/>
      <c r="Y32" s="3697" t="s">
        <v>551</v>
      </c>
      <c r="Z32" s="1575" t="str">
        <f t="shared" si="15"/>
        <v>商业类型</v>
      </c>
      <c r="AA32" s="1576">
        <f t="shared" si="3"/>
        <v>1</v>
      </c>
      <c r="AB32" s="1576">
        <f t="shared" si="4"/>
        <v>1</v>
      </c>
      <c r="AC32" s="1576">
        <f t="shared" si="5"/>
        <v>1</v>
      </c>
    </row>
    <row r="33" spans="1:29" s="1338" customFormat="1" ht="15">
      <c r="A33" s="603"/>
      <c r="B33" s="527" t="s">
        <v>727</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97"/>
      <c r="Q33" s="1605" t="str">
        <f t="shared" si="11"/>
        <v>项目建筑规模</v>
      </c>
      <c r="R33" s="1577" t="s">
        <v>8</v>
      </c>
      <c r="S33" s="1578" t="e">
        <f t="shared" si="12"/>
        <v>#N/A</v>
      </c>
      <c r="T33" s="1577" t="s">
        <v>8</v>
      </c>
      <c r="U33" s="1578" t="e">
        <f t="shared" si="13"/>
        <v>#N/A</v>
      </c>
      <c r="V33" s="1577" t="s">
        <v>8</v>
      </c>
      <c r="W33" s="1578" t="e">
        <f t="shared" si="14"/>
        <v>#N/A</v>
      </c>
      <c r="X33" s="1579"/>
      <c r="Y33" s="3697"/>
      <c r="Z33" s="1580" t="str">
        <f t="shared" si="15"/>
        <v>项目建筑规模</v>
      </c>
      <c r="AA33" s="1576" t="e">
        <f t="shared" si="3"/>
        <v>#N/A</v>
      </c>
      <c r="AB33" s="1576" t="e">
        <f t="shared" si="4"/>
        <v>#N/A</v>
      </c>
      <c r="AC33" s="1576"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697"/>
      <c r="Q34" s="1572" t="str">
        <f t="shared" si="11"/>
        <v>建筑结构</v>
      </c>
      <c r="R34" s="1573" t="s">
        <v>8</v>
      </c>
      <c r="S34" s="1574">
        <f t="shared" si="12"/>
        <v>100</v>
      </c>
      <c r="T34" s="1573" t="s">
        <v>8</v>
      </c>
      <c r="U34" s="1574">
        <f t="shared" si="13"/>
        <v>100</v>
      </c>
      <c r="V34" s="1573" t="s">
        <v>8</v>
      </c>
      <c r="W34" s="1574">
        <f t="shared" si="14"/>
        <v>100</v>
      </c>
      <c r="X34" s="1567"/>
      <c r="Y34" s="3697"/>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97"/>
      <c r="Q35" s="1572" t="str">
        <f t="shared" si="11"/>
        <v>公共部分装修</v>
      </c>
      <c r="R35" s="1573" t="s">
        <v>8</v>
      </c>
      <c r="S35" s="1574">
        <f t="shared" si="12"/>
        <v>100</v>
      </c>
      <c r="T35" s="1573" t="s">
        <v>8</v>
      </c>
      <c r="U35" s="1574">
        <f t="shared" si="13"/>
        <v>100</v>
      </c>
      <c r="V35" s="1573" t="s">
        <v>8</v>
      </c>
      <c r="W35" s="1574">
        <f t="shared" si="14"/>
        <v>100</v>
      </c>
      <c r="X35" s="1567"/>
      <c r="Y35" s="3697"/>
      <c r="Z35" s="1575" t="str">
        <f t="shared" si="15"/>
        <v>公共部分装修</v>
      </c>
      <c r="AA35" s="1576">
        <f t="shared" si="3"/>
        <v>1</v>
      </c>
      <c r="AB35" s="1576">
        <f t="shared" si="4"/>
        <v>1</v>
      </c>
      <c r="AC35" s="1576">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697"/>
      <c r="Q36" s="1572" t="str">
        <f t="shared" si="11"/>
        <v>成新度</v>
      </c>
      <c r="R36" s="1573" t="s">
        <v>8</v>
      </c>
      <c r="S36" s="1574" t="e">
        <f t="shared" si="12"/>
        <v>#N/A</v>
      </c>
      <c r="T36" s="1573" t="s">
        <v>8</v>
      </c>
      <c r="U36" s="1574" t="e">
        <f t="shared" si="13"/>
        <v>#N/A</v>
      </c>
      <c r="V36" s="1573" t="s">
        <v>8</v>
      </c>
      <c r="W36" s="1574" t="e">
        <f t="shared" si="14"/>
        <v>#N/A</v>
      </c>
      <c r="X36" s="1567"/>
      <c r="Y36" s="3697"/>
      <c r="Z36" s="1575" t="str">
        <f t="shared" si="15"/>
        <v>成新度</v>
      </c>
      <c r="AA36" s="1576" t="e">
        <f t="shared" si="3"/>
        <v>#N/A</v>
      </c>
      <c r="AB36" s="1576" t="e">
        <f t="shared" si="4"/>
        <v>#N/A</v>
      </c>
      <c r="AC36" s="1576" t="e">
        <f t="shared" si="5"/>
        <v>#N/A</v>
      </c>
    </row>
    <row r="37" spans="1:29" s="1219" customFormat="1" ht="15">
      <c r="A37" s="600"/>
      <c r="B37" s="1896" t="s">
        <v>2571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97"/>
      <c r="Q37" s="1150" t="str">
        <f t="shared" si="11"/>
        <v>市政基础设施</v>
      </c>
      <c r="R37" s="1568" t="s">
        <v>8</v>
      </c>
      <c r="S37" s="1569">
        <f t="shared" si="12"/>
        <v>100</v>
      </c>
      <c r="T37" s="1568" t="s">
        <v>8</v>
      </c>
      <c r="U37" s="1569">
        <f t="shared" si="13"/>
        <v>100</v>
      </c>
      <c r="V37" s="1568" t="s">
        <v>8</v>
      </c>
      <c r="W37" s="1569">
        <f t="shared" si="14"/>
        <v>100</v>
      </c>
      <c r="X37" s="1570"/>
      <c r="Y37" s="3697"/>
      <c r="Z37" s="1149"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97" t="s">
        <v>767</v>
      </c>
      <c r="Q38" s="1572" t="str">
        <f t="shared" si="11"/>
        <v>业态</v>
      </c>
      <c r="R38" s="1573" t="s">
        <v>8</v>
      </c>
      <c r="S38" s="1574">
        <f t="shared" si="12"/>
        <v>100</v>
      </c>
      <c r="T38" s="1573" t="s">
        <v>8</v>
      </c>
      <c r="U38" s="1574">
        <f t="shared" si="13"/>
        <v>100</v>
      </c>
      <c r="V38" s="1573" t="s">
        <v>8</v>
      </c>
      <c r="W38" s="1574">
        <f t="shared" si="14"/>
        <v>100</v>
      </c>
      <c r="X38" s="1567"/>
      <c r="Y38" s="3697"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7"/>
      <c r="Q39" s="1572" t="str">
        <f t="shared" si="11"/>
        <v>层高</v>
      </c>
      <c r="R39" s="1573" t="s">
        <v>8</v>
      </c>
      <c r="S39" s="1574">
        <f t="shared" si="12"/>
        <v>100</v>
      </c>
      <c r="T39" s="1573" t="s">
        <v>8</v>
      </c>
      <c r="U39" s="1574">
        <f t="shared" si="13"/>
        <v>100</v>
      </c>
      <c r="V39" s="1573" t="s">
        <v>8</v>
      </c>
      <c r="W39" s="1574">
        <f t="shared" si="14"/>
        <v>100</v>
      </c>
      <c r="X39" s="1567"/>
      <c r="Y39" s="3697"/>
      <c r="Z39" s="1575" t="str">
        <f t="shared" si="15"/>
        <v>层高</v>
      </c>
      <c r="AA39" s="1576">
        <f t="shared" si="3"/>
        <v>1</v>
      </c>
      <c r="AB39" s="1576">
        <f t="shared" si="4"/>
        <v>1</v>
      </c>
      <c r="AC39" s="1576">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697"/>
      <c r="Q40" s="1572" t="str">
        <f t="shared" si="11"/>
        <v>单套建筑面积</v>
      </c>
      <c r="R40" s="1573" t="s">
        <v>8</v>
      </c>
      <c r="S40" s="1574">
        <f t="shared" si="12"/>
        <v>100</v>
      </c>
      <c r="T40" s="1573" t="s">
        <v>8</v>
      </c>
      <c r="U40" s="1574">
        <f t="shared" si="13"/>
        <v>100</v>
      </c>
      <c r="V40" s="1573" t="s">
        <v>8</v>
      </c>
      <c r="W40" s="1574">
        <f t="shared" si="14"/>
        <v>100</v>
      </c>
      <c r="X40" s="1567"/>
      <c r="Y40" s="3697"/>
      <c r="Z40" s="1575" t="str">
        <f t="shared" si="15"/>
        <v>单套建筑面积</v>
      </c>
      <c r="AA40" s="1576">
        <f t="shared" si="3"/>
        <v>1</v>
      </c>
      <c r="AB40" s="1576">
        <f t="shared" si="4"/>
        <v>1</v>
      </c>
      <c r="AC40" s="1576">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97"/>
      <c r="Q41" s="1605" t="str">
        <f t="shared" si="11"/>
        <v>进深比</v>
      </c>
      <c r="R41" s="1577" t="s">
        <v>8</v>
      </c>
      <c r="S41" s="1578">
        <f t="shared" si="12"/>
        <v>100</v>
      </c>
      <c r="T41" s="1577" t="s">
        <v>8</v>
      </c>
      <c r="U41" s="1578">
        <f t="shared" si="13"/>
        <v>100</v>
      </c>
      <c r="V41" s="1577" t="s">
        <v>8</v>
      </c>
      <c r="W41" s="1578">
        <f t="shared" si="14"/>
        <v>100</v>
      </c>
      <c r="X41" s="1579"/>
      <c r="Y41" s="3697"/>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97"/>
      <c r="Q42" s="1572" t="str">
        <f t="shared" si="11"/>
        <v>内部装修</v>
      </c>
      <c r="R42" s="1573" t="s">
        <v>8</v>
      </c>
      <c r="S42" s="1574">
        <f t="shared" si="12"/>
        <v>100</v>
      </c>
      <c r="T42" s="1573" t="s">
        <v>8</v>
      </c>
      <c r="U42" s="1574">
        <f t="shared" si="13"/>
        <v>100</v>
      </c>
      <c r="V42" s="1573" t="s">
        <v>8</v>
      </c>
      <c r="W42" s="1574">
        <f t="shared" si="14"/>
        <v>100</v>
      </c>
      <c r="X42" s="1567"/>
      <c r="Y42" s="3697"/>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97"/>
      <c r="Q43" s="1572" t="str">
        <f t="shared" si="11"/>
        <v>内部装修维护情况</v>
      </c>
      <c r="R43" s="1573" t="s">
        <v>8</v>
      </c>
      <c r="S43" s="1574">
        <f t="shared" si="12"/>
        <v>100</v>
      </c>
      <c r="T43" s="1573" t="s">
        <v>8</v>
      </c>
      <c r="U43" s="1574">
        <f t="shared" si="13"/>
        <v>100</v>
      </c>
      <c r="V43" s="1573" t="s">
        <v>8</v>
      </c>
      <c r="W43" s="1574">
        <f t="shared" si="14"/>
        <v>100</v>
      </c>
      <c r="X43" s="1567"/>
      <c r="Y43" s="369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97"/>
      <c r="Q44" s="1150">
        <f t="shared" si="11"/>
        <v>111</v>
      </c>
      <c r="R44" s="1568" t="s">
        <v>8</v>
      </c>
      <c r="S44" s="1569">
        <f t="shared" si="12"/>
        <v>100</v>
      </c>
      <c r="T44" s="1568" t="s">
        <v>8</v>
      </c>
      <c r="U44" s="1569">
        <f t="shared" si="13"/>
        <v>100</v>
      </c>
      <c r="V44" s="1568" t="s">
        <v>8</v>
      </c>
      <c r="W44" s="1569">
        <f t="shared" si="14"/>
        <v>100</v>
      </c>
      <c r="X44" s="1570"/>
      <c r="Y44" s="369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97"/>
      <c r="Q45" s="1572">
        <f t="shared" si="11"/>
        <v>111</v>
      </c>
      <c r="R45" s="1573" t="s">
        <v>8</v>
      </c>
      <c r="S45" s="1574">
        <f t="shared" si="12"/>
        <v>100</v>
      </c>
      <c r="T45" s="1573" t="s">
        <v>8</v>
      </c>
      <c r="U45" s="1574">
        <f t="shared" si="13"/>
        <v>100</v>
      </c>
      <c r="V45" s="1573" t="s">
        <v>8</v>
      </c>
      <c r="W45" s="1574">
        <f t="shared" si="14"/>
        <v>100</v>
      </c>
      <c r="X45" s="1567"/>
      <c r="Y45" s="3697"/>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6"/>
      <c r="Q46" s="1572">
        <f t="shared" si="11"/>
        <v>111</v>
      </c>
      <c r="R46" s="1573" t="s">
        <v>8</v>
      </c>
      <c r="S46" s="1574">
        <f t="shared" si="12"/>
        <v>100</v>
      </c>
      <c r="T46" s="1573" t="s">
        <v>8</v>
      </c>
      <c r="U46" s="1574">
        <f t="shared" si="13"/>
        <v>100</v>
      </c>
      <c r="V46" s="1573" t="s">
        <v>8</v>
      </c>
      <c r="W46" s="1574">
        <f t="shared" si="14"/>
        <v>100</v>
      </c>
      <c r="X46" s="1567"/>
      <c r="Y46" s="3776"/>
      <c r="Z46" s="1575">
        <f t="shared" si="15"/>
        <v>111</v>
      </c>
      <c r="AA46" s="1576">
        <f t="shared" si="3"/>
        <v>1</v>
      </c>
      <c r="AB46" s="1576">
        <f t="shared" si="4"/>
        <v>1</v>
      </c>
      <c r="AC46" s="1576">
        <f t="shared" si="5"/>
        <v>1</v>
      </c>
    </row>
    <row r="47" spans="1:29" ht="15">
      <c r="A47" s="607" t="s">
        <v>737</v>
      </c>
      <c r="B47" s="886"/>
      <c r="C47" s="2652" t="s">
        <v>1</v>
      </c>
      <c r="D47" s="2653"/>
      <c r="E47" s="2654"/>
      <c r="F47" s="2655"/>
      <c r="G47" s="2656"/>
      <c r="H47" s="2657"/>
      <c r="I47" s="2654"/>
      <c r="J47" s="2657"/>
      <c r="K47" s="1611"/>
      <c r="L47" s="2145"/>
      <c r="M47" s="2146"/>
      <c r="N47" s="2135"/>
      <c r="O47" s="2146"/>
      <c r="P47" s="3661" t="str">
        <f>A47</f>
        <v>成交单价（元/平方米）</v>
      </c>
      <c r="Q47" s="3661"/>
      <c r="R47" s="3775">
        <f>E47</f>
        <v>0</v>
      </c>
      <c r="S47" s="3775"/>
      <c r="T47" s="3775">
        <f>G47</f>
        <v>0</v>
      </c>
      <c r="U47" s="3775"/>
      <c r="V47" s="3775">
        <f>I47</f>
        <v>0</v>
      </c>
      <c r="W47" s="3775"/>
      <c r="X47" s="1559"/>
      <c r="Y47" s="1581"/>
      <c r="Z47" s="1559"/>
      <c r="AA47" s="1559"/>
      <c r="AB47" s="1559"/>
      <c r="AC47" s="1559"/>
    </row>
    <row r="48" spans="1:29" ht="15.75" thickBot="1">
      <c r="A48" s="615" t="s">
        <v>2765</v>
      </c>
      <c r="B48" s="887"/>
      <c r="C48" s="2658" t="e">
        <f>R49</f>
        <v>#DIV/0!</v>
      </c>
      <c r="D48" s="2659"/>
      <c r="E48" s="2660" t="e">
        <f>R48</f>
        <v>#DIV/0!</v>
      </c>
      <c r="F48" s="2660"/>
      <c r="G48" s="2658" t="e">
        <f>T48</f>
        <v>#DIV/0!</v>
      </c>
      <c r="H48" s="2659"/>
      <c r="I48" s="2660" t="e">
        <f>V48</f>
        <v>#DIV/0!</v>
      </c>
      <c r="J48" s="2659"/>
      <c r="K48" s="1612"/>
      <c r="L48" s="2145"/>
      <c r="M48" s="2146"/>
      <c r="N48" s="2135"/>
      <c r="O48" s="2146"/>
      <c r="P48" s="3661" t="str">
        <f>A48</f>
        <v>比较价格（元/平方米）</v>
      </c>
      <c r="Q48" s="3661"/>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1559"/>
      <c r="Y48" s="1559"/>
      <c r="Z48" s="1559"/>
      <c r="AA48" s="1559"/>
      <c r="AB48" s="1559"/>
      <c r="AC48" s="1559"/>
    </row>
    <row r="49" spans="1:29" ht="15.75" thickBot="1">
      <c r="A49" s="621" t="s">
        <v>2941</v>
      </c>
      <c r="B49" s="622"/>
      <c r="C49" s="2661" t="e">
        <f>R49</f>
        <v>#DIV/0!</v>
      </c>
      <c r="D49" s="2661"/>
      <c r="E49" s="2661"/>
      <c r="F49" s="2661"/>
      <c r="G49" s="2661"/>
      <c r="H49" s="2661"/>
      <c r="I49" s="2661"/>
      <c r="J49" s="2661"/>
      <c r="K49" s="1613"/>
      <c r="L49" s="2145"/>
      <c r="M49" s="2146"/>
      <c r="N49" s="2135"/>
      <c r="O49" s="2146"/>
      <c r="P49" s="3658" t="str">
        <f>A49</f>
        <v>估价对象XX用房的比较价格（楼面单价，元/平方米）</v>
      </c>
      <c r="Q49" s="3659"/>
      <c r="R49" s="3774" t="e">
        <f>IF(F1="售价",ROUND(AVERAGE(R48:V48),0),ROUND(AVERAGE(R48:V48),1))</f>
        <v>#DIV/0!</v>
      </c>
      <c r="S49" s="3774"/>
      <c r="T49" s="3774"/>
      <c r="U49" s="3774"/>
      <c r="V49" s="3774"/>
      <c r="W49" s="377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530</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2563</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2564</v>
      </c>
      <c r="C82" s="2623" t="s">
        <v>2565</v>
      </c>
      <c r="D82" s="2623" t="s">
        <v>2566</v>
      </c>
      <c r="E82" s="2623" t="s">
        <v>2567</v>
      </c>
      <c r="F82" s="2623" t="s">
        <v>2568</v>
      </c>
      <c r="G82" s="2623" t="s">
        <v>2569</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772</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2562</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3"/>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667" t="s">
        <v>523</v>
      </c>
      <c r="D4" s="3668"/>
      <c r="E4" s="3702" t="s">
        <v>524</v>
      </c>
      <c r="F4" s="3703"/>
      <c r="G4" s="3667" t="s">
        <v>525</v>
      </c>
      <c r="H4" s="3668"/>
      <c r="I4" s="3667" t="s">
        <v>526</v>
      </c>
      <c r="J4" s="3668"/>
      <c r="K4" s="514" t="s">
        <v>527</v>
      </c>
      <c r="L4" s="2134"/>
      <c r="M4" s="2135"/>
      <c r="N4" s="2135"/>
      <c r="O4" s="2135"/>
      <c r="P4" s="3779" t="s">
        <v>528</v>
      </c>
      <c r="Q4" s="3670"/>
      <c r="R4" s="3675" t="s">
        <v>524</v>
      </c>
      <c r="S4" s="3676"/>
      <c r="T4" s="3675" t="s">
        <v>525</v>
      </c>
      <c r="U4" s="3676"/>
      <c r="V4" s="3662" t="s">
        <v>526</v>
      </c>
      <c r="W4" s="3662"/>
      <c r="X4" s="1567"/>
      <c r="Y4" s="3675" t="s">
        <v>528</v>
      </c>
      <c r="Z4" s="3676"/>
      <c r="AA4" s="3664" t="s">
        <v>524</v>
      </c>
      <c r="AB4" s="3664" t="s">
        <v>525</v>
      </c>
      <c r="AC4" s="3664" t="s">
        <v>526</v>
      </c>
    </row>
    <row r="5" spans="1:29" ht="15">
      <c r="A5" s="515"/>
      <c r="B5" s="516"/>
      <c r="C5" s="3683" t="s">
        <v>2935</v>
      </c>
      <c r="D5" s="3684"/>
      <c r="E5" s="3704" t="s">
        <v>2936</v>
      </c>
      <c r="F5" s="3705"/>
      <c r="G5" s="3683" t="s">
        <v>2937</v>
      </c>
      <c r="H5" s="3684"/>
      <c r="I5" s="3683" t="s">
        <v>2938</v>
      </c>
      <c r="J5" s="3684"/>
      <c r="K5" s="514"/>
      <c r="L5" s="2134"/>
      <c r="M5" s="2135"/>
      <c r="N5" s="2135"/>
      <c r="O5" s="2135"/>
      <c r="P5" s="3780"/>
      <c r="Q5" s="3672"/>
      <c r="R5" s="3677"/>
      <c r="S5" s="3678"/>
      <c r="T5" s="3677"/>
      <c r="U5" s="3678"/>
      <c r="V5" s="3662"/>
      <c r="W5" s="3662"/>
      <c r="X5" s="1567"/>
      <c r="Y5" s="3677"/>
      <c r="Z5" s="3678"/>
      <c r="AA5" s="3665"/>
      <c r="AB5" s="3665"/>
      <c r="AC5" s="3665"/>
    </row>
    <row r="6" spans="1:29" ht="15.75" thickBot="1">
      <c r="A6" s="517"/>
      <c r="B6" s="518"/>
      <c r="C6" s="3698" t="s">
        <v>2939</v>
      </c>
      <c r="D6" s="3699"/>
      <c r="E6" s="3700" t="s">
        <v>2939</v>
      </c>
      <c r="F6" s="3701"/>
      <c r="G6" s="3698" t="s">
        <v>2939</v>
      </c>
      <c r="H6" s="3699"/>
      <c r="I6" s="3698" t="s">
        <v>2939</v>
      </c>
      <c r="J6" s="3699"/>
      <c r="K6" s="514" t="s">
        <v>529</v>
      </c>
      <c r="L6" s="2134"/>
      <c r="M6" s="2135"/>
      <c r="N6" s="2135"/>
      <c r="O6" s="2135"/>
      <c r="P6" s="3781"/>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43242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93" t="s">
        <v>531</v>
      </c>
      <c r="Q7" s="3693"/>
      <c r="R7" s="1568" t="s">
        <v>8</v>
      </c>
      <c r="S7" s="1569">
        <f t="shared" ref="S7:S15" si="0">F7</f>
        <v>0</v>
      </c>
      <c r="T7" s="1568" t="s">
        <v>8</v>
      </c>
      <c r="U7" s="1569">
        <f t="shared" ref="U7:U15" si="1">H7</f>
        <v>0</v>
      </c>
      <c r="V7" s="1568" t="s">
        <v>8</v>
      </c>
      <c r="W7" s="1569">
        <f t="shared" ref="W7:W15"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93" t="s">
        <v>534</v>
      </c>
      <c r="Q8" s="3692"/>
      <c r="R8" s="1568" t="s">
        <v>8</v>
      </c>
      <c r="S8" s="1569">
        <f t="shared" si="0"/>
        <v>0</v>
      </c>
      <c r="T8" s="1568" t="s">
        <v>8</v>
      </c>
      <c r="U8" s="1569">
        <f t="shared" si="1"/>
        <v>0</v>
      </c>
      <c r="V8" s="1568" t="s">
        <v>8</v>
      </c>
      <c r="W8" s="1569">
        <f t="shared" si="2"/>
        <v>0</v>
      </c>
      <c r="X8" s="1570"/>
      <c r="Y8" s="3691" t="s">
        <v>534</v>
      </c>
      <c r="Z8" s="3692"/>
      <c r="AA8" s="1571" t="e">
        <f t="shared" ref="AA8:AA47" si="3">D8/F8</f>
        <v>#DIV/0!</v>
      </c>
      <c r="AB8" s="1571" t="e">
        <f t="shared" ref="AB8:AB47" si="4">D8/H8</f>
        <v>#DIV/0!</v>
      </c>
      <c r="AC8" s="1571" t="e">
        <f t="shared" ref="AC8:AC47" si="5">D8/J8</f>
        <v>#DIV/0!</v>
      </c>
    </row>
    <row r="9" spans="1:29" s="1219" customFormat="1" ht="15">
      <c r="A9" s="2940"/>
      <c r="B9" s="2947" t="s">
        <v>2761</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7">
      <c r="A10" s="2941"/>
      <c r="B10" s="2946" t="s">
        <v>2762</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6" t="s">
        <v>2763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61"/>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43"/>
      <c r="B12" s="2949">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75" thickBot="1">
      <c r="A14" s="2944"/>
      <c r="B14" s="2950">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71.25">
      <c r="A15" s="2936" t="s">
        <v>2759</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694" t="s">
        <v>541</v>
      </c>
      <c r="Q15" s="1572" t="str">
        <f t="shared" si="6"/>
        <v>办公集聚程度</v>
      </c>
      <c r="R15" s="1573" t="s">
        <v>8</v>
      </c>
      <c r="S15" s="1574">
        <f t="shared" si="0"/>
        <v>100</v>
      </c>
      <c r="T15" s="1573" t="s">
        <v>8</v>
      </c>
      <c r="U15" s="1574">
        <f t="shared" si="1"/>
        <v>100</v>
      </c>
      <c r="V15" s="1573" t="s">
        <v>8</v>
      </c>
      <c r="W15" s="1574">
        <f t="shared" si="2"/>
        <v>100</v>
      </c>
      <c r="X15" s="1567"/>
      <c r="Y15" s="3694"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695"/>
      <c r="Q16" s="1572"/>
      <c r="R16" s="1573"/>
      <c r="S16" s="1574"/>
      <c r="T16" s="1573"/>
      <c r="U16" s="1574"/>
      <c r="V16" s="1573"/>
      <c r="W16" s="1574"/>
      <c r="X16" s="1567"/>
      <c r="Y16" s="3695"/>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695"/>
      <c r="Q17" s="1572" t="str">
        <f>B17</f>
        <v>交通便捷度</v>
      </c>
      <c r="R17" s="1573" t="s">
        <v>8</v>
      </c>
      <c r="S17" s="1574">
        <f>F17</f>
        <v>100</v>
      </c>
      <c r="T17" s="1573" t="s">
        <v>8</v>
      </c>
      <c r="U17" s="1574">
        <f>H17</f>
        <v>100</v>
      </c>
      <c r="V17" s="1573" t="s">
        <v>8</v>
      </c>
      <c r="W17" s="1574">
        <f>J17</f>
        <v>100</v>
      </c>
      <c r="X17" s="1567"/>
      <c r="Y17" s="369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695"/>
      <c r="Q18" s="1572"/>
      <c r="R18" s="1573"/>
      <c r="S18" s="1574"/>
      <c r="T18" s="1573"/>
      <c r="U18" s="1574"/>
      <c r="V18" s="1573"/>
      <c r="W18" s="1574"/>
      <c r="X18" s="1567"/>
      <c r="Y18" s="3695"/>
      <c r="Z18" s="1575"/>
      <c r="AA18" s="1576">
        <v>1</v>
      </c>
      <c r="AB18" s="1576">
        <v>1</v>
      </c>
      <c r="AC18" s="1576">
        <v>1</v>
      </c>
    </row>
    <row r="19" spans="1:29" ht="42.75">
      <c r="A19" s="532"/>
      <c r="B19" s="2628" t="s">
        <v>2552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695"/>
      <c r="Q19" s="1572" t="str">
        <f>B19</f>
        <v>公共配套设施</v>
      </c>
      <c r="R19" s="1573" t="s">
        <v>8</v>
      </c>
      <c r="S19" s="1574">
        <f>F19</f>
        <v>100</v>
      </c>
      <c r="T19" s="1573" t="s">
        <v>8</v>
      </c>
      <c r="U19" s="1574">
        <f>H19</f>
        <v>100</v>
      </c>
      <c r="V19" s="1573" t="s">
        <v>8</v>
      </c>
      <c r="W19" s="1574">
        <f>J19</f>
        <v>100</v>
      </c>
      <c r="X19" s="1567"/>
      <c r="Y19" s="369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695"/>
      <c r="Q20" s="1572"/>
      <c r="R20" s="1573"/>
      <c r="S20" s="1574"/>
      <c r="T20" s="1573"/>
      <c r="U20" s="1574"/>
      <c r="V20" s="1573"/>
      <c r="W20" s="1574"/>
      <c r="X20" s="1567"/>
      <c r="Y20" s="3695"/>
      <c r="Z20" s="1575"/>
      <c r="AA20" s="1576">
        <v>1</v>
      </c>
      <c r="AB20" s="1576">
        <v>1</v>
      </c>
      <c r="AC20" s="1576">
        <v>1</v>
      </c>
    </row>
    <row r="21" spans="1:29" ht="28.5">
      <c r="A21" s="532"/>
      <c r="B21" s="2616" t="s">
        <v>2564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695"/>
      <c r="Q21" s="2604" t="str">
        <f>B21</f>
        <v>基础设施水平</v>
      </c>
      <c r="R21" s="1573" t="s">
        <v>8</v>
      </c>
      <c r="S21" s="1574">
        <f>F21</f>
        <v>100</v>
      </c>
      <c r="T21" s="1573" t="s">
        <v>8</v>
      </c>
      <c r="U21" s="1574">
        <f>H21</f>
        <v>100</v>
      </c>
      <c r="V21" s="1573" t="s">
        <v>8</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95"/>
      <c r="Q22" s="2604"/>
      <c r="R22" s="1573"/>
      <c r="S22" s="1574"/>
      <c r="T22" s="1573"/>
      <c r="U22" s="1574"/>
      <c r="V22" s="1573"/>
      <c r="W22" s="1574"/>
      <c r="X22" s="2606"/>
      <c r="Y22" s="3695"/>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695"/>
      <c r="Q23" s="1572" t="str">
        <f>B23</f>
        <v>环境质量</v>
      </c>
      <c r="R23" s="1573" t="s">
        <v>8</v>
      </c>
      <c r="S23" s="1574">
        <f>F23</f>
        <v>100</v>
      </c>
      <c r="T23" s="1573" t="s">
        <v>8</v>
      </c>
      <c r="U23" s="1574">
        <f>H23</f>
        <v>100</v>
      </c>
      <c r="V23" s="1573" t="s">
        <v>8</v>
      </c>
      <c r="W23" s="1574">
        <f>J23</f>
        <v>100</v>
      </c>
      <c r="X23" s="1567"/>
      <c r="Y23" s="369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695"/>
      <c r="Q24" s="1572"/>
      <c r="R24" s="1573"/>
      <c r="S24" s="1574"/>
      <c r="T24" s="1573"/>
      <c r="U24" s="1574"/>
      <c r="V24" s="1573"/>
      <c r="W24" s="1574"/>
      <c r="X24" s="1567"/>
      <c r="Y24" s="3695"/>
      <c r="Z24" s="1575"/>
      <c r="AA24" s="1576">
        <v>1</v>
      </c>
      <c r="AB24" s="1576">
        <v>1</v>
      </c>
      <c r="AC24" s="1576">
        <v>1</v>
      </c>
    </row>
    <row r="25" spans="1:29" ht="27">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695"/>
      <c r="Q25" s="1572" t="str">
        <f>B25</f>
        <v>毗邻道路的类型与等级</v>
      </c>
      <c r="R25" s="1573" t="s">
        <v>8</v>
      </c>
      <c r="S25" s="1574">
        <f>F25</f>
        <v>100</v>
      </c>
      <c r="T25" s="1573" t="s">
        <v>8</v>
      </c>
      <c r="U25" s="1574">
        <f>H25</f>
        <v>100</v>
      </c>
      <c r="V25" s="1573" t="s">
        <v>8</v>
      </c>
      <c r="W25" s="1574">
        <f>J25</f>
        <v>100</v>
      </c>
      <c r="X25" s="1567"/>
      <c r="Y25" s="369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695"/>
      <c r="Q26" s="1572"/>
      <c r="R26" s="1573"/>
      <c r="S26" s="1574"/>
      <c r="T26" s="1573"/>
      <c r="U26" s="1574"/>
      <c r="V26" s="1573"/>
      <c r="W26" s="1574"/>
      <c r="X26" s="1567"/>
      <c r="Y26" s="3695"/>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95"/>
      <c r="Q27" s="1572" t="str">
        <f t="shared" ref="Q27:Q47" si="11">B27</f>
        <v>楼层</v>
      </c>
      <c r="R27" s="1573" t="s">
        <v>8</v>
      </c>
      <c r="S27" s="1574">
        <f>F27</f>
        <v>100</v>
      </c>
      <c r="T27" s="1573" t="s">
        <v>8</v>
      </c>
      <c r="U27" s="1574">
        <f>H27</f>
        <v>100</v>
      </c>
      <c r="V27" s="1573" t="s">
        <v>8</v>
      </c>
      <c r="W27" s="1574">
        <f>J27</f>
        <v>100</v>
      </c>
      <c r="X27" s="1567"/>
      <c r="Y27" s="3695"/>
      <c r="Z27" s="1575" t="str">
        <f>Q27</f>
        <v>楼层</v>
      </c>
      <c r="AA27" s="1576">
        <f t="shared" si="3"/>
        <v>1</v>
      </c>
      <c r="AB27" s="1576">
        <f t="shared" si="4"/>
        <v>1</v>
      </c>
      <c r="AC27" s="1576">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695"/>
      <c r="Q28" s="1150" t="str">
        <f t="shared" si="11"/>
        <v>朝向</v>
      </c>
      <c r="R28" s="1568" t="s">
        <v>8</v>
      </c>
      <c r="S28" s="1569">
        <f>F28</f>
        <v>100</v>
      </c>
      <c r="T28" s="1568" t="s">
        <v>8</v>
      </c>
      <c r="U28" s="1569">
        <f>H28</f>
        <v>100</v>
      </c>
      <c r="V28" s="1568" t="s">
        <v>8</v>
      </c>
      <c r="W28" s="1569">
        <f>J28</f>
        <v>100</v>
      </c>
      <c r="X28" s="1570"/>
      <c r="Y28" s="3695"/>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695"/>
      <c r="Q29" s="1572">
        <f t="shared" si="11"/>
        <v>111</v>
      </c>
      <c r="R29" s="1573" t="s">
        <v>8</v>
      </c>
      <c r="S29" s="1574">
        <f t="shared" ref="S29:S47" si="12">F29</f>
        <v>100</v>
      </c>
      <c r="T29" s="1573" t="s">
        <v>8</v>
      </c>
      <c r="U29" s="1574">
        <f t="shared" ref="U29:U47" si="13">H29</f>
        <v>100</v>
      </c>
      <c r="V29" s="1573" t="s">
        <v>8</v>
      </c>
      <c r="W29" s="1574">
        <f t="shared" ref="W29:W47" si="14">J29</f>
        <v>100</v>
      </c>
      <c r="X29" s="1567"/>
      <c r="Y29" s="3695"/>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695"/>
      <c r="Q30" s="1572">
        <f t="shared" si="11"/>
        <v>111</v>
      </c>
      <c r="R30" s="1573" t="s">
        <v>8</v>
      </c>
      <c r="S30" s="1574">
        <f t="shared" si="12"/>
        <v>100</v>
      </c>
      <c r="T30" s="1573" t="s">
        <v>8</v>
      </c>
      <c r="U30" s="1574">
        <f t="shared" si="13"/>
        <v>100</v>
      </c>
      <c r="V30" s="1573" t="s">
        <v>8</v>
      </c>
      <c r="W30" s="1574">
        <f t="shared" si="14"/>
        <v>100</v>
      </c>
      <c r="X30" s="1567"/>
      <c r="Y30" s="3695"/>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695"/>
      <c r="Q31" s="1572">
        <f t="shared" si="11"/>
        <v>111</v>
      </c>
      <c r="R31" s="1573" t="s">
        <v>8</v>
      </c>
      <c r="S31" s="1574">
        <f t="shared" si="12"/>
        <v>100</v>
      </c>
      <c r="T31" s="1573" t="s">
        <v>8</v>
      </c>
      <c r="U31" s="1574">
        <f t="shared" si="13"/>
        <v>100</v>
      </c>
      <c r="V31" s="1573" t="s">
        <v>8</v>
      </c>
      <c r="W31" s="1574">
        <f t="shared" si="14"/>
        <v>100</v>
      </c>
      <c r="X31" s="1567"/>
      <c r="Y31" s="3695"/>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695"/>
      <c r="Q32" s="1572">
        <f t="shared" si="11"/>
        <v>111</v>
      </c>
      <c r="R32" s="1573" t="s">
        <v>8</v>
      </c>
      <c r="S32" s="1574">
        <f t="shared" si="12"/>
        <v>100</v>
      </c>
      <c r="T32" s="1573" t="s">
        <v>8</v>
      </c>
      <c r="U32" s="1574">
        <f t="shared" si="13"/>
        <v>100</v>
      </c>
      <c r="V32" s="1573" t="s">
        <v>8</v>
      </c>
      <c r="W32" s="1574">
        <f t="shared" si="14"/>
        <v>100</v>
      </c>
      <c r="X32" s="1567"/>
      <c r="Y32" s="3695"/>
      <c r="Z32" s="1575">
        <f t="shared" si="15"/>
        <v>111</v>
      </c>
      <c r="AA32" s="1576">
        <f t="shared" si="3"/>
        <v>1</v>
      </c>
      <c r="AB32" s="1576">
        <f t="shared" si="4"/>
        <v>1</v>
      </c>
      <c r="AC32" s="1576">
        <f t="shared" si="5"/>
        <v>1</v>
      </c>
    </row>
    <row r="33" spans="1:29" ht="15">
      <c r="A33" s="2933" t="s">
        <v>2760</v>
      </c>
      <c r="B33" s="172"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696" t="s">
        <v>551</v>
      </c>
      <c r="Q33" s="1572" t="str">
        <f t="shared" si="11"/>
        <v>建筑类型</v>
      </c>
      <c r="R33" s="1573" t="s">
        <v>8</v>
      </c>
      <c r="S33" s="1574">
        <f t="shared" si="12"/>
        <v>100</v>
      </c>
      <c r="T33" s="1573" t="s">
        <v>8</v>
      </c>
      <c r="U33" s="1574">
        <f t="shared" si="13"/>
        <v>100</v>
      </c>
      <c r="V33" s="1573" t="s">
        <v>8</v>
      </c>
      <c r="W33" s="1574">
        <f t="shared" si="14"/>
        <v>100</v>
      </c>
      <c r="X33" s="1567"/>
      <c r="Y33" s="3697" t="s">
        <v>551</v>
      </c>
      <c r="Z33" s="1575" t="str">
        <f t="shared" si="15"/>
        <v>建筑类型</v>
      </c>
      <c r="AA33" s="1576">
        <f t="shared" si="3"/>
        <v>1</v>
      </c>
      <c r="AB33" s="1576">
        <f t="shared" si="4"/>
        <v>1</v>
      </c>
      <c r="AC33" s="1576">
        <f t="shared" si="5"/>
        <v>1</v>
      </c>
    </row>
    <row r="34" spans="1:29" s="1338" customFormat="1" ht="15">
      <c r="A34" s="603"/>
      <c r="B34" s="527" t="s">
        <v>727</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97"/>
      <c r="Q34" s="1605" t="str">
        <f t="shared" si="11"/>
        <v>项目建筑规模</v>
      </c>
      <c r="R34" s="1577" t="s">
        <v>8</v>
      </c>
      <c r="S34" s="1578" t="e">
        <f t="shared" si="12"/>
        <v>#N/A</v>
      </c>
      <c r="T34" s="1577" t="s">
        <v>8</v>
      </c>
      <c r="U34" s="1578" t="e">
        <f t="shared" si="13"/>
        <v>#N/A</v>
      </c>
      <c r="V34" s="1577" t="s">
        <v>8</v>
      </c>
      <c r="W34" s="1578" t="e">
        <f t="shared" si="14"/>
        <v>#N/A</v>
      </c>
      <c r="X34" s="1579"/>
      <c r="Y34" s="3697"/>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97"/>
      <c r="Q35" s="1572" t="str">
        <f t="shared" si="11"/>
        <v>建筑结构</v>
      </c>
      <c r="R35" s="1573" t="s">
        <v>8</v>
      </c>
      <c r="S35" s="1574">
        <f t="shared" si="12"/>
        <v>100</v>
      </c>
      <c r="T35" s="1573" t="s">
        <v>8</v>
      </c>
      <c r="U35" s="1574">
        <f t="shared" si="13"/>
        <v>100</v>
      </c>
      <c r="V35" s="1573" t="s">
        <v>8</v>
      </c>
      <c r="W35" s="1574">
        <f t="shared" si="14"/>
        <v>100</v>
      </c>
      <c r="X35" s="1567"/>
      <c r="Y35" s="3697"/>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97"/>
      <c r="Q36" s="1572" t="str">
        <f t="shared" si="11"/>
        <v>公共部分装修</v>
      </c>
      <c r="R36" s="1573" t="s">
        <v>8</v>
      </c>
      <c r="S36" s="1574">
        <f t="shared" si="12"/>
        <v>100</v>
      </c>
      <c r="T36" s="1573" t="s">
        <v>8</v>
      </c>
      <c r="U36" s="1574">
        <f t="shared" si="13"/>
        <v>100</v>
      </c>
      <c r="V36" s="1573" t="s">
        <v>8</v>
      </c>
      <c r="W36" s="1574">
        <f t="shared" si="14"/>
        <v>100</v>
      </c>
      <c r="X36" s="1567"/>
      <c r="Y36" s="3697"/>
      <c r="Z36" s="1575" t="str">
        <f t="shared" si="15"/>
        <v>公共部分装修</v>
      </c>
      <c r="AA36" s="1576">
        <f t="shared" si="3"/>
        <v>1</v>
      </c>
      <c r="AB36" s="1576">
        <f t="shared" si="4"/>
        <v>1</v>
      </c>
      <c r="AC36" s="1576">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697"/>
      <c r="Q37" s="1572" t="str">
        <f t="shared" si="11"/>
        <v>成新度</v>
      </c>
      <c r="R37" s="1573" t="s">
        <v>8</v>
      </c>
      <c r="S37" s="1574" t="e">
        <f t="shared" si="12"/>
        <v>#N/A</v>
      </c>
      <c r="T37" s="1573" t="s">
        <v>8</v>
      </c>
      <c r="U37" s="1574" t="e">
        <f t="shared" si="13"/>
        <v>#N/A</v>
      </c>
      <c r="V37" s="1573" t="s">
        <v>8</v>
      </c>
      <c r="W37" s="1574" t="e">
        <f t="shared" si="14"/>
        <v>#N/A</v>
      </c>
      <c r="X37" s="1567"/>
      <c r="Y37" s="3697"/>
      <c r="Z37" s="1575" t="str">
        <f t="shared" si="15"/>
        <v>成新度</v>
      </c>
      <c r="AA37" s="1576" t="e">
        <f t="shared" si="3"/>
        <v>#N/A</v>
      </c>
      <c r="AB37" s="1576" t="e">
        <f t="shared" si="4"/>
        <v>#N/A</v>
      </c>
      <c r="AC37" s="1576" t="e">
        <f t="shared" si="5"/>
        <v>#N/A</v>
      </c>
    </row>
    <row r="38" spans="1:29" s="1219"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97"/>
      <c r="Q38" s="1150" t="str">
        <f t="shared" si="11"/>
        <v>写字楼等级</v>
      </c>
      <c r="R38" s="1568" t="s">
        <v>8</v>
      </c>
      <c r="S38" s="1569">
        <f t="shared" si="12"/>
        <v>100</v>
      </c>
      <c r="T38" s="1568" t="s">
        <v>8</v>
      </c>
      <c r="U38" s="1569">
        <f t="shared" si="13"/>
        <v>100</v>
      </c>
      <c r="V38" s="1568" t="s">
        <v>8</v>
      </c>
      <c r="W38" s="1569">
        <f t="shared" si="14"/>
        <v>100</v>
      </c>
      <c r="X38" s="1570"/>
      <c r="Y38" s="3697"/>
      <c r="Z38" s="1149"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97" t="s">
        <v>551</v>
      </c>
      <c r="Q39" s="1572" t="str">
        <f t="shared" si="11"/>
        <v>物业管理</v>
      </c>
      <c r="R39" s="1573" t="s">
        <v>8</v>
      </c>
      <c r="S39" s="1574">
        <f t="shared" si="12"/>
        <v>100</v>
      </c>
      <c r="T39" s="1573" t="s">
        <v>8</v>
      </c>
      <c r="U39" s="1574">
        <f t="shared" si="13"/>
        <v>100</v>
      </c>
      <c r="V39" s="1573" t="s">
        <v>8</v>
      </c>
      <c r="W39" s="1574">
        <f t="shared" si="14"/>
        <v>100</v>
      </c>
      <c r="X39" s="1567"/>
      <c r="Y39" s="3697" t="s">
        <v>551</v>
      </c>
      <c r="Z39" s="1575" t="str">
        <f t="shared" si="15"/>
        <v>物业管理</v>
      </c>
      <c r="AA39" s="1576">
        <f t="shared" si="3"/>
        <v>1</v>
      </c>
      <c r="AB39" s="1576">
        <f t="shared" si="4"/>
        <v>1</v>
      </c>
      <c r="AC39" s="1576">
        <f t="shared" si="5"/>
        <v>1</v>
      </c>
    </row>
    <row r="40" spans="1:29" ht="15">
      <c r="A40" s="594"/>
      <c r="B40" s="1896" t="s">
        <v>2571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97"/>
      <c r="Q40" s="1572" t="str">
        <f t="shared" si="11"/>
        <v>市政基础设施</v>
      </c>
      <c r="R40" s="1573" t="s">
        <v>8</v>
      </c>
      <c r="S40" s="1574">
        <f t="shared" si="12"/>
        <v>100</v>
      </c>
      <c r="T40" s="1573" t="s">
        <v>8</v>
      </c>
      <c r="U40" s="1574">
        <f t="shared" si="13"/>
        <v>100</v>
      </c>
      <c r="V40" s="1573" t="s">
        <v>8</v>
      </c>
      <c r="W40" s="1574">
        <f t="shared" si="14"/>
        <v>100</v>
      </c>
      <c r="X40" s="1567"/>
      <c r="Y40" s="3697"/>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97"/>
      <c r="Q41" s="1572" t="str">
        <f t="shared" si="11"/>
        <v>层高</v>
      </c>
      <c r="R41" s="1573" t="s">
        <v>8</v>
      </c>
      <c r="S41" s="1574">
        <f t="shared" si="12"/>
        <v>100</v>
      </c>
      <c r="T41" s="1573" t="s">
        <v>8</v>
      </c>
      <c r="U41" s="1574">
        <f t="shared" si="13"/>
        <v>100</v>
      </c>
      <c r="V41" s="1573" t="s">
        <v>8</v>
      </c>
      <c r="W41" s="1574">
        <f t="shared" si="14"/>
        <v>100</v>
      </c>
      <c r="X41" s="1567"/>
      <c r="Y41" s="3697"/>
      <c r="Z41" s="1575" t="str">
        <f t="shared" si="15"/>
        <v>层高</v>
      </c>
      <c r="AA41" s="1576">
        <f t="shared" si="3"/>
        <v>1</v>
      </c>
      <c r="AB41" s="1576">
        <f t="shared" si="4"/>
        <v>1</v>
      </c>
      <c r="AC41" s="1576">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97"/>
      <c r="Q42" s="1605" t="str">
        <f t="shared" si="11"/>
        <v>单套建筑面积</v>
      </c>
      <c r="R42" s="1577" t="s">
        <v>8</v>
      </c>
      <c r="S42" s="1578">
        <f t="shared" si="12"/>
        <v>100</v>
      </c>
      <c r="T42" s="1577" t="s">
        <v>8</v>
      </c>
      <c r="U42" s="1578">
        <f t="shared" si="13"/>
        <v>100</v>
      </c>
      <c r="V42" s="1577" t="s">
        <v>8</v>
      </c>
      <c r="W42" s="1578">
        <f t="shared" si="14"/>
        <v>100</v>
      </c>
      <c r="X42" s="1579"/>
      <c r="Y42" s="3697"/>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97"/>
      <c r="Q43" s="1572" t="str">
        <f t="shared" si="11"/>
        <v>内部装修</v>
      </c>
      <c r="R43" s="1573" t="s">
        <v>8</v>
      </c>
      <c r="S43" s="1574">
        <f t="shared" si="12"/>
        <v>100</v>
      </c>
      <c r="T43" s="1573" t="s">
        <v>8</v>
      </c>
      <c r="U43" s="1574">
        <f t="shared" si="13"/>
        <v>100</v>
      </c>
      <c r="V43" s="1573" t="s">
        <v>8</v>
      </c>
      <c r="W43" s="1574">
        <f t="shared" si="14"/>
        <v>100</v>
      </c>
      <c r="X43" s="1567"/>
      <c r="Y43" s="3697"/>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97"/>
      <c r="Q44" s="1572" t="str">
        <f t="shared" si="11"/>
        <v>内部装修维护情况</v>
      </c>
      <c r="R44" s="1573" t="s">
        <v>8</v>
      </c>
      <c r="S44" s="1574">
        <f t="shared" si="12"/>
        <v>100</v>
      </c>
      <c r="T44" s="1573" t="s">
        <v>8</v>
      </c>
      <c r="U44" s="1574">
        <f t="shared" si="13"/>
        <v>100</v>
      </c>
      <c r="V44" s="1573" t="s">
        <v>8</v>
      </c>
      <c r="W44" s="1574">
        <f t="shared" si="14"/>
        <v>100</v>
      </c>
      <c r="X44" s="1567"/>
      <c r="Y44" s="3697"/>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97"/>
      <c r="Q45" s="1150">
        <f t="shared" si="11"/>
        <v>111</v>
      </c>
      <c r="R45" s="1568" t="s">
        <v>8</v>
      </c>
      <c r="S45" s="1569">
        <f t="shared" si="12"/>
        <v>100</v>
      </c>
      <c r="T45" s="1568" t="s">
        <v>8</v>
      </c>
      <c r="U45" s="1569">
        <f t="shared" si="13"/>
        <v>100</v>
      </c>
      <c r="V45" s="1568" t="s">
        <v>8</v>
      </c>
      <c r="W45" s="1569">
        <f t="shared" si="14"/>
        <v>100</v>
      </c>
      <c r="X45" s="1570"/>
      <c r="Y45" s="369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97"/>
      <c r="Q46" s="1572">
        <f t="shared" si="11"/>
        <v>111</v>
      </c>
      <c r="R46" s="1573" t="s">
        <v>8</v>
      </c>
      <c r="S46" s="1574">
        <f t="shared" si="12"/>
        <v>100</v>
      </c>
      <c r="T46" s="1573" t="s">
        <v>8</v>
      </c>
      <c r="U46" s="1574">
        <f t="shared" si="13"/>
        <v>100</v>
      </c>
      <c r="V46" s="1573" t="s">
        <v>8</v>
      </c>
      <c r="W46" s="1574">
        <f t="shared" si="14"/>
        <v>100</v>
      </c>
      <c r="X46" s="1567"/>
      <c r="Y46" s="3697"/>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6"/>
      <c r="Q47" s="1572">
        <f t="shared" si="11"/>
        <v>111</v>
      </c>
      <c r="R47" s="1573" t="s">
        <v>8</v>
      </c>
      <c r="S47" s="1574">
        <f t="shared" si="12"/>
        <v>100</v>
      </c>
      <c r="T47" s="1573" t="s">
        <v>8</v>
      </c>
      <c r="U47" s="1574">
        <f t="shared" si="13"/>
        <v>100</v>
      </c>
      <c r="V47" s="1573" t="s">
        <v>8</v>
      </c>
      <c r="W47" s="1574">
        <f t="shared" si="14"/>
        <v>100</v>
      </c>
      <c r="X47" s="1567"/>
      <c r="Y47" s="3776"/>
      <c r="Z47" s="1575">
        <f t="shared" si="15"/>
        <v>111</v>
      </c>
      <c r="AA47" s="1576">
        <f t="shared" si="3"/>
        <v>1</v>
      </c>
      <c r="AB47" s="1576">
        <f t="shared" si="4"/>
        <v>1</v>
      </c>
      <c r="AC47" s="1576">
        <f t="shared" si="5"/>
        <v>1</v>
      </c>
    </row>
    <row r="48" spans="1:29" ht="15">
      <c r="A48" s="607" t="s">
        <v>737</v>
      </c>
      <c r="B48" s="886"/>
      <c r="C48" s="2652" t="s">
        <v>1</v>
      </c>
      <c r="D48" s="2653"/>
      <c r="E48" s="2654"/>
      <c r="F48" s="2655"/>
      <c r="G48" s="2656"/>
      <c r="H48" s="2657"/>
      <c r="I48" s="2654"/>
      <c r="J48" s="2657"/>
      <c r="K48" s="1611"/>
      <c r="L48" s="2145"/>
      <c r="M48" s="2135"/>
      <c r="N48" s="2135"/>
      <c r="O48" s="2135"/>
      <c r="P48" s="3659" t="str">
        <f>A48</f>
        <v>成交单价（元/平方米）</v>
      </c>
      <c r="Q48" s="3661"/>
      <c r="R48" s="3775">
        <f>E48</f>
        <v>0</v>
      </c>
      <c r="S48" s="3775"/>
      <c r="T48" s="3775">
        <f>G48</f>
        <v>0</v>
      </c>
      <c r="U48" s="3775"/>
      <c r="V48" s="3775">
        <f>I48</f>
        <v>0</v>
      </c>
      <c r="W48" s="3775"/>
      <c r="X48" s="1559"/>
      <c r="Y48" s="1581"/>
      <c r="Z48" s="1559"/>
      <c r="AA48" s="1559"/>
      <c r="AB48" s="1559"/>
      <c r="AC48" s="1559"/>
    </row>
    <row r="49" spans="1:29" ht="15.75" thickBot="1">
      <c r="A49" s="615" t="s">
        <v>2765</v>
      </c>
      <c r="B49" s="887"/>
      <c r="C49" s="2658" t="e">
        <f>R50</f>
        <v>#DIV/0!</v>
      </c>
      <c r="D49" s="2659"/>
      <c r="E49" s="2660" t="e">
        <f>R49</f>
        <v>#DIV/0!</v>
      </c>
      <c r="F49" s="2660"/>
      <c r="G49" s="2658" t="e">
        <f>T49</f>
        <v>#DIV/0!</v>
      </c>
      <c r="H49" s="2659"/>
      <c r="I49" s="2660" t="e">
        <f>V49</f>
        <v>#DIV/0!</v>
      </c>
      <c r="J49" s="2659"/>
      <c r="K49" s="1612"/>
      <c r="L49" s="2145"/>
      <c r="M49" s="2135"/>
      <c r="N49" s="2135"/>
      <c r="O49" s="2135"/>
      <c r="P49" s="3659" t="str">
        <f>A49</f>
        <v>比较价格（元/平方米）</v>
      </c>
      <c r="Q49" s="3661"/>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1559"/>
      <c r="Y49" s="1559"/>
      <c r="Z49" s="1559"/>
      <c r="AA49" s="1559"/>
      <c r="AB49" s="1559"/>
      <c r="AC49" s="1559"/>
    </row>
    <row r="50" spans="1:29" ht="15.75" thickBot="1">
      <c r="A50" s="621" t="s">
        <v>2941</v>
      </c>
      <c r="B50" s="622"/>
      <c r="C50" s="2661" t="e">
        <f>R50</f>
        <v>#DIV/0!</v>
      </c>
      <c r="D50" s="2661"/>
      <c r="E50" s="2661"/>
      <c r="F50" s="2661"/>
      <c r="G50" s="2661"/>
      <c r="H50" s="2661"/>
      <c r="I50" s="2661"/>
      <c r="J50" s="2661"/>
      <c r="K50" s="1613"/>
      <c r="L50" s="2145"/>
      <c r="M50" s="2135"/>
      <c r="N50" s="2135"/>
      <c r="O50" s="2135"/>
      <c r="P50" s="3778" t="str">
        <f>A50</f>
        <v>估价对象XX用房的比较价格（楼面单价，元/平方米）</v>
      </c>
      <c r="Q50" s="3659"/>
      <c r="R50" s="3774" t="e">
        <f>IF(F1="售价",ROUND(AVERAGE(R49:V49),0),ROUND(AVERAGE(R49:V49),1))</f>
        <v>#DIV/0!</v>
      </c>
      <c r="S50" s="3774"/>
      <c r="T50" s="3774"/>
      <c r="U50" s="3774"/>
      <c r="V50" s="3774"/>
      <c r="W50" s="377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530</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2563</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2564</v>
      </c>
      <c r="C83" s="2623" t="s">
        <v>2565</v>
      </c>
      <c r="D83" s="2623" t="s">
        <v>2566</v>
      </c>
      <c r="E83" s="2623" t="s">
        <v>2567</v>
      </c>
      <c r="F83" s="2623" t="s">
        <v>2568</v>
      </c>
      <c r="G83" s="2623" t="s">
        <v>2569</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786</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2562</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788</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667" t="s">
        <v>523</v>
      </c>
      <c r="D4" s="3668"/>
      <c r="E4" s="3702" t="s">
        <v>524</v>
      </c>
      <c r="F4" s="3703"/>
      <c r="G4" s="3667" t="s">
        <v>525</v>
      </c>
      <c r="H4" s="3668"/>
      <c r="I4" s="3667" t="s">
        <v>526</v>
      </c>
      <c r="J4" s="3668"/>
      <c r="K4" s="514" t="s">
        <v>527</v>
      </c>
      <c r="L4" s="2134"/>
      <c r="M4" s="2135"/>
      <c r="N4" s="2135"/>
      <c r="O4" s="2135"/>
      <c r="P4" s="3669" t="s">
        <v>528</v>
      </c>
      <c r="Q4" s="3670"/>
      <c r="R4" s="3675" t="s">
        <v>524</v>
      </c>
      <c r="S4" s="3676"/>
      <c r="T4" s="3675" t="s">
        <v>525</v>
      </c>
      <c r="U4" s="3676"/>
      <c r="V4" s="3662" t="s">
        <v>526</v>
      </c>
      <c r="W4" s="3662"/>
      <c r="X4" s="1567"/>
      <c r="Y4" s="3675" t="s">
        <v>528</v>
      </c>
      <c r="Z4" s="3676"/>
      <c r="AA4" s="3664" t="s">
        <v>524</v>
      </c>
      <c r="AB4" s="3665" t="s">
        <v>525</v>
      </c>
      <c r="AC4" s="3664" t="s">
        <v>526</v>
      </c>
    </row>
    <row r="5" spans="1:29" ht="15">
      <c r="A5" s="515"/>
      <c r="B5" s="516"/>
      <c r="C5" s="3683" t="s">
        <v>2935</v>
      </c>
      <c r="D5" s="3684"/>
      <c r="E5" s="3704" t="s">
        <v>2936</v>
      </c>
      <c r="F5" s="3705"/>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5"/>
      <c r="AC5" s="3665"/>
    </row>
    <row r="6" spans="1:29" ht="15.75" thickBot="1">
      <c r="A6" s="517"/>
      <c r="B6" s="518"/>
      <c r="C6" s="3698" t="s">
        <v>2939</v>
      </c>
      <c r="D6" s="3699"/>
      <c r="E6" s="3700" t="s">
        <v>2939</v>
      </c>
      <c r="F6" s="3701"/>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43242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91" t="s">
        <v>531</v>
      </c>
      <c r="Q7" s="3693"/>
      <c r="R7" s="1568" t="s">
        <v>8</v>
      </c>
      <c r="S7" s="1569">
        <f t="shared" ref="S7:S15" si="0">F7</f>
        <v>0</v>
      </c>
      <c r="T7" s="1568" t="s">
        <v>8</v>
      </c>
      <c r="U7" s="1569">
        <f t="shared" ref="U7:U15" si="1">H7</f>
        <v>0</v>
      </c>
      <c r="V7" s="1568" t="s">
        <v>8</v>
      </c>
      <c r="W7" s="1569">
        <f t="shared" ref="W7:W15"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40" si="3">D8/F8</f>
        <v>#DIV/0!</v>
      </c>
      <c r="AB8" s="1571" t="e">
        <f t="shared" ref="AB8:AB40" si="4">D8/H8</f>
        <v>#DIV/0!</v>
      </c>
      <c r="AC8" s="1571" t="e">
        <f t="shared" ref="AC8:AC40" si="5">D8/J8</f>
        <v>#DIV/0!</v>
      </c>
    </row>
    <row r="9" spans="1:29" s="1219" customFormat="1" ht="15">
      <c r="A9" s="2940"/>
      <c r="B9" s="2947" t="s">
        <v>2761</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61" t="s">
        <v>536</v>
      </c>
      <c r="Q9" s="1150" t="str">
        <f t="shared" ref="Q9:Q15" si="6">B9</f>
        <v>用途</v>
      </c>
      <c r="R9" s="1568" t="s">
        <v>8</v>
      </c>
      <c r="S9" s="1569">
        <f t="shared" si="0"/>
        <v>100</v>
      </c>
      <c r="T9" s="1568" t="s">
        <v>8</v>
      </c>
      <c r="U9" s="1569">
        <f t="shared" si="1"/>
        <v>100</v>
      </c>
      <c r="V9" s="1568" t="s">
        <v>8</v>
      </c>
      <c r="W9" s="1569">
        <f t="shared" si="2"/>
        <v>100</v>
      </c>
      <c r="X9" s="1570"/>
      <c r="Y9" s="3607" t="s">
        <v>537</v>
      </c>
      <c r="Z9" s="1149" t="str">
        <f t="shared" ref="Z9:Z15" si="7">Q9</f>
        <v>用途</v>
      </c>
      <c r="AA9" s="1571">
        <f t="shared" si="3"/>
        <v>1</v>
      </c>
      <c r="AB9" s="1571">
        <f t="shared" si="4"/>
        <v>1</v>
      </c>
      <c r="AC9" s="1571">
        <f t="shared" si="5"/>
        <v>1</v>
      </c>
    </row>
    <row r="10" spans="1:29" s="1337" customFormat="1" ht="27">
      <c r="A10" s="2941"/>
      <c r="B10" s="2946" t="s">
        <v>2762</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2"/>
      <c r="B11" s="2946" t="s">
        <v>2763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61"/>
      <c r="Q11" s="1150" t="str">
        <f t="shared" si="6"/>
        <v>容积率</v>
      </c>
      <c r="R11" s="1568" t="s">
        <v>8</v>
      </c>
      <c r="S11" s="1569" t="e">
        <f t="shared" si="0"/>
        <v>#N/A</v>
      </c>
      <c r="T11" s="1568" t="s">
        <v>8</v>
      </c>
      <c r="U11" s="1569" t="e">
        <f t="shared" si="1"/>
        <v>#N/A</v>
      </c>
      <c r="V11" s="1568" t="s">
        <v>8</v>
      </c>
      <c r="W11" s="1569" t="e">
        <f t="shared" si="2"/>
        <v>#N/A</v>
      </c>
      <c r="X11" s="1570"/>
      <c r="Y11" s="3607"/>
      <c r="Z11" s="1149" t="str">
        <f t="shared" si="7"/>
        <v>容积率</v>
      </c>
      <c r="AA11" s="1571" t="e">
        <f t="shared" si="3"/>
        <v>#N/A</v>
      </c>
      <c r="AB11" s="1571" t="e">
        <f t="shared" si="4"/>
        <v>#N/A</v>
      </c>
      <c r="AC11" s="1571" t="e">
        <f t="shared" si="5"/>
        <v>#N/A</v>
      </c>
    </row>
    <row r="12" spans="1:29" s="1219" customFormat="1" ht="15">
      <c r="A12" s="2943"/>
      <c r="B12" s="2949">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661"/>
      <c r="Q14" s="1150">
        <f t="shared" si="6"/>
        <v>111</v>
      </c>
      <c r="R14" s="1568" t="s">
        <v>8</v>
      </c>
      <c r="S14" s="1569">
        <f t="shared" si="0"/>
        <v>100</v>
      </c>
      <c r="T14" s="1568" t="s">
        <v>8</v>
      </c>
      <c r="U14" s="1569">
        <f t="shared" si="1"/>
        <v>100</v>
      </c>
      <c r="V14" s="1568" t="s">
        <v>8</v>
      </c>
      <c r="W14" s="1569">
        <f t="shared" si="2"/>
        <v>100</v>
      </c>
      <c r="X14" s="1570"/>
      <c r="Y14" s="3607"/>
      <c r="Z14" s="1149">
        <f t="shared" si="7"/>
        <v>111</v>
      </c>
      <c r="AA14" s="1571">
        <f t="shared" si="3"/>
        <v>1</v>
      </c>
      <c r="AB14" s="1571">
        <f t="shared" si="4"/>
        <v>1</v>
      </c>
      <c r="AC14" s="1571">
        <f t="shared" si="5"/>
        <v>1</v>
      </c>
    </row>
    <row r="15" spans="1:29" ht="57">
      <c r="A15" s="2936" t="s">
        <v>2759</v>
      </c>
      <c r="B15" s="166"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694" t="s">
        <v>541</v>
      </c>
      <c r="Q15" s="1572" t="str">
        <f t="shared" si="6"/>
        <v>产业集聚程度</v>
      </c>
      <c r="R15" s="1573" t="s">
        <v>8</v>
      </c>
      <c r="S15" s="1574">
        <f t="shared" si="0"/>
        <v>100</v>
      </c>
      <c r="T15" s="1573" t="s">
        <v>8</v>
      </c>
      <c r="U15" s="1574">
        <f t="shared" si="1"/>
        <v>100</v>
      </c>
      <c r="V15" s="1573" t="s">
        <v>8</v>
      </c>
      <c r="W15" s="1574">
        <f t="shared" si="2"/>
        <v>100</v>
      </c>
      <c r="X15" s="1567"/>
      <c r="Y15" s="3694"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95"/>
      <c r="Q16" s="1572"/>
      <c r="R16" s="1573"/>
      <c r="S16" s="1574"/>
      <c r="T16" s="1573"/>
      <c r="U16" s="1574"/>
      <c r="V16" s="1573"/>
      <c r="W16" s="1574"/>
      <c r="X16" s="1567"/>
      <c r="Y16" s="369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695"/>
      <c r="Q17" s="1572" t="str">
        <f>B17</f>
        <v>交通便捷度</v>
      </c>
      <c r="R17" s="1573" t="s">
        <v>8</v>
      </c>
      <c r="S17" s="1574">
        <f>F17</f>
        <v>100</v>
      </c>
      <c r="T17" s="1573" t="s">
        <v>8</v>
      </c>
      <c r="U17" s="1574">
        <f>H17</f>
        <v>100</v>
      </c>
      <c r="V17" s="1573" t="s">
        <v>8</v>
      </c>
      <c r="W17" s="1574">
        <f>J17</f>
        <v>100</v>
      </c>
      <c r="X17" s="1567"/>
      <c r="Y17" s="369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95"/>
      <c r="Q18" s="1572"/>
      <c r="R18" s="1573"/>
      <c r="S18" s="1574"/>
      <c r="T18" s="1573"/>
      <c r="U18" s="1574"/>
      <c r="V18" s="1573"/>
      <c r="W18" s="1574"/>
      <c r="X18" s="1567"/>
      <c r="Y18" s="3695"/>
      <c r="Z18" s="1575"/>
      <c r="AA18" s="1576">
        <v>1</v>
      </c>
      <c r="AB18" s="1576">
        <v>1</v>
      </c>
      <c r="AC18" s="1576">
        <v>1</v>
      </c>
    </row>
    <row r="19" spans="1:29" ht="42.75">
      <c r="A19" s="532"/>
      <c r="B19" s="2628" t="s">
        <v>2552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695"/>
      <c r="Q19" s="1572" t="str">
        <f>B19</f>
        <v>公共配套设施</v>
      </c>
      <c r="R19" s="1573" t="s">
        <v>8</v>
      </c>
      <c r="S19" s="1574">
        <f>F19</f>
        <v>100</v>
      </c>
      <c r="T19" s="1573" t="s">
        <v>8</v>
      </c>
      <c r="U19" s="1574">
        <f>H19</f>
        <v>100</v>
      </c>
      <c r="V19" s="1573" t="s">
        <v>8</v>
      </c>
      <c r="W19" s="1574">
        <f>J19</f>
        <v>100</v>
      </c>
      <c r="X19" s="1567"/>
      <c r="Y19" s="369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695"/>
      <c r="Q20" s="1572"/>
      <c r="R20" s="1573"/>
      <c r="S20" s="1574"/>
      <c r="T20" s="1573"/>
      <c r="U20" s="1574"/>
      <c r="V20" s="1573"/>
      <c r="W20" s="1574"/>
      <c r="X20" s="1567"/>
      <c r="Y20" s="3695"/>
      <c r="Z20" s="1575"/>
      <c r="AA20" s="1576">
        <v>1</v>
      </c>
      <c r="AB20" s="1576">
        <v>1</v>
      </c>
      <c r="AC20" s="1576">
        <v>1</v>
      </c>
    </row>
    <row r="21" spans="1:29" ht="28.5">
      <c r="A21" s="532"/>
      <c r="B21" s="2616" t="s">
        <v>2564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695"/>
      <c r="Q21" s="2604" t="str">
        <f>B21</f>
        <v>基础设施水平</v>
      </c>
      <c r="R21" s="1573" t="s">
        <v>8</v>
      </c>
      <c r="S21" s="1574">
        <f>F21</f>
        <v>100</v>
      </c>
      <c r="T21" s="1573" t="s">
        <v>8</v>
      </c>
      <c r="U21" s="1574">
        <f>H21</f>
        <v>100</v>
      </c>
      <c r="V21" s="1573" t="s">
        <v>8</v>
      </c>
      <c r="W21" s="1574">
        <f>J21</f>
        <v>100</v>
      </c>
      <c r="X21" s="2606"/>
      <c r="Y21" s="3695"/>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95"/>
      <c r="Q22" s="2604"/>
      <c r="R22" s="1573"/>
      <c r="S22" s="1574"/>
      <c r="T22" s="1573"/>
      <c r="U22" s="1574"/>
      <c r="V22" s="1573"/>
      <c r="W22" s="1574"/>
      <c r="X22" s="2606"/>
      <c r="Y22" s="3695"/>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695"/>
      <c r="Q23" s="1572" t="str">
        <f>B23</f>
        <v>环境质量</v>
      </c>
      <c r="R23" s="1573" t="s">
        <v>8</v>
      </c>
      <c r="S23" s="1574">
        <f>F23</f>
        <v>100</v>
      </c>
      <c r="T23" s="1573" t="s">
        <v>8</v>
      </c>
      <c r="U23" s="1574">
        <f>H23</f>
        <v>100</v>
      </c>
      <c r="V23" s="1573" t="s">
        <v>8</v>
      </c>
      <c r="W23" s="1574">
        <f>J23</f>
        <v>100</v>
      </c>
      <c r="X23" s="1567"/>
      <c r="Y23" s="3695"/>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695"/>
      <c r="Q24" s="1572"/>
      <c r="R24" s="1573"/>
      <c r="S24" s="1574"/>
      <c r="T24" s="1573"/>
      <c r="U24" s="1574"/>
      <c r="V24" s="1573"/>
      <c r="W24" s="1574"/>
      <c r="X24" s="1567"/>
      <c r="Y24" s="369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95"/>
      <c r="Q25" s="1572">
        <f>B25</f>
        <v>111</v>
      </c>
      <c r="R25" s="1573" t="s">
        <v>8</v>
      </c>
      <c r="S25" s="1574">
        <f>F25</f>
        <v>100</v>
      </c>
      <c r="T25" s="1573" t="s">
        <v>8</v>
      </c>
      <c r="U25" s="1574">
        <f>H25</f>
        <v>100</v>
      </c>
      <c r="V25" s="1573" t="s">
        <v>8</v>
      </c>
      <c r="W25" s="1574">
        <f>J25</f>
        <v>100</v>
      </c>
      <c r="X25" s="1567"/>
      <c r="Y25" s="369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95"/>
      <c r="Q26" s="1572">
        <f t="shared" ref="Q26:Q40" si="11">B26</f>
        <v>111</v>
      </c>
      <c r="R26" s="1573" t="s">
        <v>8</v>
      </c>
      <c r="S26" s="1574">
        <f>F26</f>
        <v>100</v>
      </c>
      <c r="T26" s="1573" t="s">
        <v>8</v>
      </c>
      <c r="U26" s="1574">
        <f>H26</f>
        <v>100</v>
      </c>
      <c r="V26" s="1573" t="s">
        <v>8</v>
      </c>
      <c r="W26" s="1574">
        <f>J26</f>
        <v>100</v>
      </c>
      <c r="X26" s="1567"/>
      <c r="Y26" s="369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95"/>
      <c r="Q27" s="1150">
        <f t="shared" si="11"/>
        <v>111</v>
      </c>
      <c r="R27" s="1568" t="s">
        <v>8</v>
      </c>
      <c r="S27" s="1569">
        <f>F27</f>
        <v>100</v>
      </c>
      <c r="T27" s="1568" t="s">
        <v>8</v>
      </c>
      <c r="U27" s="1569">
        <f>H27</f>
        <v>100</v>
      </c>
      <c r="V27" s="1568" t="s">
        <v>8</v>
      </c>
      <c r="W27" s="1569">
        <f>J27</f>
        <v>100</v>
      </c>
      <c r="X27" s="1570"/>
      <c r="Y27" s="3695"/>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695"/>
      <c r="Q28" s="1572">
        <f t="shared" si="11"/>
        <v>111</v>
      </c>
      <c r="R28" s="1573" t="s">
        <v>8</v>
      </c>
      <c r="S28" s="1574">
        <f t="shared" ref="S28:S40" si="12">F28</f>
        <v>100</v>
      </c>
      <c r="T28" s="1573" t="s">
        <v>8</v>
      </c>
      <c r="U28" s="1574">
        <f t="shared" ref="U28:U40" si="13">H28</f>
        <v>100</v>
      </c>
      <c r="V28" s="1573" t="s">
        <v>8</v>
      </c>
      <c r="W28" s="1574">
        <f t="shared" ref="W28:W40" si="14">J28</f>
        <v>100</v>
      </c>
      <c r="X28" s="1567"/>
      <c r="Y28" s="3695"/>
      <c r="Z28" s="1575">
        <f t="shared" ref="Z28:Z40" si="15">Q28</f>
        <v>111</v>
      </c>
      <c r="AA28" s="1576">
        <f t="shared" si="3"/>
        <v>1</v>
      </c>
      <c r="AB28" s="1576">
        <f t="shared" si="4"/>
        <v>1</v>
      </c>
      <c r="AC28" s="1576">
        <f t="shared" si="5"/>
        <v>1</v>
      </c>
    </row>
    <row r="29" spans="1:29" ht="15">
      <c r="A29" s="2933" t="s">
        <v>2760</v>
      </c>
      <c r="B29" s="172" t="s">
        <v>781</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696" t="s">
        <v>551</v>
      </c>
      <c r="Q29" s="1572" t="str">
        <f t="shared" si="11"/>
        <v>建筑类型</v>
      </c>
      <c r="R29" s="1573" t="s">
        <v>8</v>
      </c>
      <c r="S29" s="1574">
        <f t="shared" si="12"/>
        <v>100</v>
      </c>
      <c r="T29" s="1573" t="s">
        <v>8</v>
      </c>
      <c r="U29" s="1574">
        <f t="shared" si="13"/>
        <v>100</v>
      </c>
      <c r="V29" s="1573" t="s">
        <v>8</v>
      </c>
      <c r="W29" s="1574">
        <f t="shared" si="14"/>
        <v>100</v>
      </c>
      <c r="X29" s="1567"/>
      <c r="Y29" s="3697" t="s">
        <v>551</v>
      </c>
      <c r="Z29" s="1575" t="str">
        <f t="shared" si="15"/>
        <v>建筑类型</v>
      </c>
      <c r="AA29" s="1576">
        <f t="shared" si="3"/>
        <v>1</v>
      </c>
      <c r="AB29" s="1576">
        <f t="shared" si="4"/>
        <v>1</v>
      </c>
      <c r="AC29" s="1576">
        <f t="shared" si="5"/>
        <v>1</v>
      </c>
    </row>
    <row r="30" spans="1:29" s="1338" customFormat="1" ht="15">
      <c r="A30" s="603"/>
      <c r="B30" s="527" t="s">
        <v>727</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97"/>
      <c r="Q30" s="1605" t="str">
        <f t="shared" si="11"/>
        <v>项目建筑规模</v>
      </c>
      <c r="R30" s="1577" t="s">
        <v>8</v>
      </c>
      <c r="S30" s="1578" t="e">
        <f t="shared" si="12"/>
        <v>#N/A</v>
      </c>
      <c r="T30" s="1577" t="s">
        <v>8</v>
      </c>
      <c r="U30" s="1578" t="e">
        <f t="shared" si="13"/>
        <v>#N/A</v>
      </c>
      <c r="V30" s="1577" t="s">
        <v>8</v>
      </c>
      <c r="W30" s="1578" t="e">
        <f t="shared" si="14"/>
        <v>#N/A</v>
      </c>
      <c r="X30" s="1579"/>
      <c r="Y30" s="3697"/>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97"/>
      <c r="Q31" s="1572" t="str">
        <f t="shared" si="11"/>
        <v>建筑结构</v>
      </c>
      <c r="R31" s="1573" t="s">
        <v>8</v>
      </c>
      <c r="S31" s="1574">
        <f t="shared" si="12"/>
        <v>100</v>
      </c>
      <c r="T31" s="1573" t="s">
        <v>8</v>
      </c>
      <c r="U31" s="1574">
        <f t="shared" si="13"/>
        <v>100</v>
      </c>
      <c r="V31" s="1573" t="s">
        <v>8</v>
      </c>
      <c r="W31" s="1574">
        <f t="shared" si="14"/>
        <v>100</v>
      </c>
      <c r="X31" s="1567"/>
      <c r="Y31" s="3697"/>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97"/>
      <c r="Q32" s="1572" t="str">
        <f t="shared" si="11"/>
        <v>公共部分装修</v>
      </c>
      <c r="R32" s="1573" t="s">
        <v>8</v>
      </c>
      <c r="S32" s="1574">
        <f t="shared" si="12"/>
        <v>100</v>
      </c>
      <c r="T32" s="1573" t="s">
        <v>8</v>
      </c>
      <c r="U32" s="1574">
        <f t="shared" si="13"/>
        <v>100</v>
      </c>
      <c r="V32" s="1573" t="s">
        <v>8</v>
      </c>
      <c r="W32" s="1574">
        <f t="shared" si="14"/>
        <v>100</v>
      </c>
      <c r="X32" s="1567"/>
      <c r="Y32" s="3697"/>
      <c r="Z32" s="1575" t="str">
        <f t="shared" si="15"/>
        <v>公共部分装修</v>
      </c>
      <c r="AA32" s="1576">
        <f t="shared" si="3"/>
        <v>1</v>
      </c>
      <c r="AB32" s="1576">
        <f t="shared" si="4"/>
        <v>1</v>
      </c>
      <c r="AC32" s="1576">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697"/>
      <c r="Q33" s="1572" t="str">
        <f t="shared" si="11"/>
        <v>成新度</v>
      </c>
      <c r="R33" s="1573" t="s">
        <v>8</v>
      </c>
      <c r="S33" s="1574" t="e">
        <f t="shared" si="12"/>
        <v>#N/A</v>
      </c>
      <c r="T33" s="1573" t="s">
        <v>8</v>
      </c>
      <c r="U33" s="1574" t="e">
        <f t="shared" si="13"/>
        <v>#N/A</v>
      </c>
      <c r="V33" s="1573" t="s">
        <v>8</v>
      </c>
      <c r="W33" s="1574" t="e">
        <f t="shared" si="14"/>
        <v>#N/A</v>
      </c>
      <c r="X33" s="1567"/>
      <c r="Y33" s="3697"/>
      <c r="Z33" s="1575" t="str">
        <f t="shared" si="15"/>
        <v>成新度</v>
      </c>
      <c r="AA33" s="1576" t="e">
        <f t="shared" si="3"/>
        <v>#N/A</v>
      </c>
      <c r="AB33" s="1576" t="e">
        <f t="shared" si="4"/>
        <v>#N/A</v>
      </c>
      <c r="AC33" s="1576" t="e">
        <f t="shared" si="5"/>
        <v>#N/A</v>
      </c>
    </row>
    <row r="34" spans="1:29" s="1219"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97"/>
      <c r="Q34" s="1150" t="str">
        <f t="shared" si="11"/>
        <v>物业管理</v>
      </c>
      <c r="R34" s="1568" t="s">
        <v>8</v>
      </c>
      <c r="S34" s="1569">
        <f t="shared" si="12"/>
        <v>100</v>
      </c>
      <c r="T34" s="1568" t="s">
        <v>8</v>
      </c>
      <c r="U34" s="1569">
        <f t="shared" si="13"/>
        <v>100</v>
      </c>
      <c r="V34" s="1568" t="s">
        <v>8</v>
      </c>
      <c r="W34" s="1569">
        <f t="shared" si="14"/>
        <v>100</v>
      </c>
      <c r="X34" s="1570"/>
      <c r="Y34" s="3697"/>
      <c r="Z34" s="1149" t="str">
        <f t="shared" si="15"/>
        <v>物业管理</v>
      </c>
      <c r="AA34" s="1571">
        <f t="shared" si="3"/>
        <v>1</v>
      </c>
      <c r="AB34" s="1571">
        <f t="shared" si="4"/>
        <v>1</v>
      </c>
      <c r="AC34" s="1571">
        <f t="shared" si="5"/>
        <v>1</v>
      </c>
    </row>
    <row r="35" spans="1:29" ht="15">
      <c r="A35" s="594"/>
      <c r="B35" s="1896" t="s">
        <v>2571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97" t="s">
        <v>551</v>
      </c>
      <c r="Q35" s="1572" t="str">
        <f t="shared" si="11"/>
        <v>市政基础设施</v>
      </c>
      <c r="R35" s="1573" t="s">
        <v>8</v>
      </c>
      <c r="S35" s="1574">
        <f t="shared" si="12"/>
        <v>100</v>
      </c>
      <c r="T35" s="1573" t="s">
        <v>8</v>
      </c>
      <c r="U35" s="1574">
        <f t="shared" si="13"/>
        <v>100</v>
      </c>
      <c r="V35" s="1573" t="s">
        <v>8</v>
      </c>
      <c r="W35" s="1574">
        <f t="shared" si="14"/>
        <v>100</v>
      </c>
      <c r="X35" s="1567"/>
      <c r="Y35" s="3697"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97"/>
      <c r="Q36" s="1572" t="str">
        <f t="shared" si="11"/>
        <v>内部装修</v>
      </c>
      <c r="R36" s="1573" t="s">
        <v>8</v>
      </c>
      <c r="S36" s="1574">
        <f t="shared" si="12"/>
        <v>100</v>
      </c>
      <c r="T36" s="1573" t="s">
        <v>8</v>
      </c>
      <c r="U36" s="1574">
        <f t="shared" si="13"/>
        <v>100</v>
      </c>
      <c r="V36" s="1573" t="s">
        <v>8</v>
      </c>
      <c r="W36" s="1574">
        <f t="shared" si="14"/>
        <v>100</v>
      </c>
      <c r="X36" s="1567"/>
      <c r="Y36" s="3697"/>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97"/>
      <c r="Q37" s="1572" t="str">
        <f t="shared" si="11"/>
        <v>内部装修状况</v>
      </c>
      <c r="R37" s="1573" t="s">
        <v>8</v>
      </c>
      <c r="S37" s="1574">
        <f t="shared" si="12"/>
        <v>100</v>
      </c>
      <c r="T37" s="1573" t="s">
        <v>8</v>
      </c>
      <c r="U37" s="1574">
        <f t="shared" si="13"/>
        <v>100</v>
      </c>
      <c r="V37" s="1573" t="s">
        <v>8</v>
      </c>
      <c r="W37" s="1574">
        <f t="shared" si="14"/>
        <v>100</v>
      </c>
      <c r="X37" s="1567"/>
      <c r="Y37" s="3697"/>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697"/>
      <c r="Q38" s="1605">
        <f t="shared" si="11"/>
        <v>111</v>
      </c>
      <c r="R38" s="1577" t="s">
        <v>8</v>
      </c>
      <c r="S38" s="1578">
        <f t="shared" si="12"/>
        <v>100</v>
      </c>
      <c r="T38" s="1577" t="s">
        <v>8</v>
      </c>
      <c r="U38" s="1578">
        <f t="shared" si="13"/>
        <v>100</v>
      </c>
      <c r="V38" s="1577" t="s">
        <v>8</v>
      </c>
      <c r="W38" s="1578">
        <f t="shared" si="14"/>
        <v>100</v>
      </c>
      <c r="X38" s="1579"/>
      <c r="Y38" s="3697"/>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697"/>
      <c r="Q39" s="1572">
        <f t="shared" si="11"/>
        <v>111</v>
      </c>
      <c r="R39" s="1573" t="s">
        <v>8</v>
      </c>
      <c r="S39" s="1574">
        <f t="shared" si="12"/>
        <v>100</v>
      </c>
      <c r="T39" s="1573" t="s">
        <v>8</v>
      </c>
      <c r="U39" s="1574">
        <f t="shared" si="13"/>
        <v>100</v>
      </c>
      <c r="V39" s="1573" t="s">
        <v>8</v>
      </c>
      <c r="W39" s="1574">
        <f t="shared" si="14"/>
        <v>100</v>
      </c>
      <c r="X39" s="1567"/>
      <c r="Y39" s="3697"/>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776"/>
      <c r="Q40" s="1572">
        <f t="shared" si="11"/>
        <v>111</v>
      </c>
      <c r="R40" s="1573" t="s">
        <v>8</v>
      </c>
      <c r="S40" s="1574">
        <f t="shared" si="12"/>
        <v>100</v>
      </c>
      <c r="T40" s="1573" t="s">
        <v>8</v>
      </c>
      <c r="U40" s="1574">
        <f t="shared" si="13"/>
        <v>100</v>
      </c>
      <c r="V40" s="1573" t="s">
        <v>8</v>
      </c>
      <c r="W40" s="1574">
        <f t="shared" si="14"/>
        <v>100</v>
      </c>
      <c r="X40" s="1567"/>
      <c r="Y40" s="3776"/>
      <c r="Z40" s="1575">
        <f t="shared" si="15"/>
        <v>111</v>
      </c>
      <c r="AA40" s="1576">
        <f t="shared" si="3"/>
        <v>1</v>
      </c>
      <c r="AB40" s="1576">
        <f t="shared" si="4"/>
        <v>1</v>
      </c>
      <c r="AC40" s="1576">
        <f t="shared" si="5"/>
        <v>1</v>
      </c>
    </row>
    <row r="41" spans="1:29" ht="15">
      <c r="A41" s="607" t="s">
        <v>737</v>
      </c>
      <c r="B41" s="886"/>
      <c r="C41" s="2652" t="s">
        <v>1</v>
      </c>
      <c r="D41" s="2653"/>
      <c r="E41" s="2654"/>
      <c r="F41" s="2655"/>
      <c r="G41" s="2656"/>
      <c r="H41" s="2657"/>
      <c r="I41" s="2654"/>
      <c r="J41" s="2657"/>
      <c r="K41" s="1611"/>
      <c r="L41" s="2145"/>
      <c r="M41" s="2146"/>
      <c r="N41" s="2135"/>
      <c r="O41" s="2146"/>
      <c r="P41" s="3661" t="str">
        <f>A41</f>
        <v>成交单价（元/平方米）</v>
      </c>
      <c r="Q41" s="3661"/>
      <c r="R41" s="3775">
        <f>E41</f>
        <v>0</v>
      </c>
      <c r="S41" s="3775"/>
      <c r="T41" s="3775">
        <f>G41</f>
        <v>0</v>
      </c>
      <c r="U41" s="3775"/>
      <c r="V41" s="3775">
        <f>I41</f>
        <v>0</v>
      </c>
      <c r="W41" s="3775"/>
      <c r="X41" s="1559"/>
      <c r="Y41" s="1581"/>
      <c r="Z41" s="1559"/>
      <c r="AA41" s="1559"/>
      <c r="AB41" s="1559"/>
      <c r="AC41" s="1559"/>
    </row>
    <row r="42" spans="1:29" ht="15.75" thickBot="1">
      <c r="A42" s="615" t="s">
        <v>2765</v>
      </c>
      <c r="B42" s="887"/>
      <c r="C42" s="2658" t="e">
        <f>R43</f>
        <v>#DIV/0!</v>
      </c>
      <c r="D42" s="2659"/>
      <c r="E42" s="2660" t="e">
        <f>R42</f>
        <v>#DIV/0!</v>
      </c>
      <c r="F42" s="2660"/>
      <c r="G42" s="2658" t="e">
        <f>T42</f>
        <v>#DIV/0!</v>
      </c>
      <c r="H42" s="2659"/>
      <c r="I42" s="2660" t="e">
        <f>V42</f>
        <v>#DIV/0!</v>
      </c>
      <c r="J42" s="2659"/>
      <c r="K42" s="1612"/>
      <c r="L42" s="2145"/>
      <c r="M42" s="2146"/>
      <c r="N42" s="2135"/>
      <c r="O42" s="2146"/>
      <c r="P42" s="3661" t="str">
        <f>A42</f>
        <v>比较价格（元/平方米）</v>
      </c>
      <c r="Q42" s="3661"/>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1559"/>
      <c r="Y42" s="1559"/>
      <c r="Z42" s="1559"/>
      <c r="AA42" s="1559"/>
      <c r="AB42" s="1559"/>
      <c r="AC42" s="1559"/>
    </row>
    <row r="43" spans="1:29" ht="15.75" thickBot="1">
      <c r="A43" s="621" t="s">
        <v>2941</v>
      </c>
      <c r="B43" s="622"/>
      <c r="C43" s="2661" t="e">
        <f>R43</f>
        <v>#DIV/0!</v>
      </c>
      <c r="D43" s="2661"/>
      <c r="E43" s="2661"/>
      <c r="F43" s="2661"/>
      <c r="G43" s="2661"/>
      <c r="H43" s="2661"/>
      <c r="I43" s="2661"/>
      <c r="J43" s="2661"/>
      <c r="K43" s="1613"/>
      <c r="L43" s="2145"/>
      <c r="M43" s="2146"/>
      <c r="N43" s="2146"/>
      <c r="O43" s="2146"/>
      <c r="P43" s="3658" t="str">
        <f>A43</f>
        <v>估价对象XX用房的比较价格（楼面单价，元/平方米）</v>
      </c>
      <c r="Q43" s="3659"/>
      <c r="R43" s="3774" t="e">
        <f>IF(F1="售价",ROUND(AVERAGE(R42:V42),0),ROUND(AVERAGE(R42:V42),1))</f>
        <v>#DIV/0!</v>
      </c>
      <c r="S43" s="3774"/>
      <c r="T43" s="3774"/>
      <c r="U43" s="3774"/>
      <c r="V43" s="3774"/>
      <c r="W43" s="377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530</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2563</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2564</v>
      </c>
      <c r="C76" s="2623" t="s">
        <v>2565</v>
      </c>
      <c r="D76" s="2623" t="s">
        <v>2566</v>
      </c>
      <c r="E76" s="2623" t="s">
        <v>2567</v>
      </c>
      <c r="F76" s="2623" t="s">
        <v>2568</v>
      </c>
      <c r="G76" s="2623" t="s">
        <v>2569</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2562</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67" t="s">
        <v>799</v>
      </c>
      <c r="D4" s="3668"/>
      <c r="E4" s="3667" t="s">
        <v>800</v>
      </c>
      <c r="F4" s="3668"/>
      <c r="G4" s="3667" t="s">
        <v>801</v>
      </c>
      <c r="H4" s="3668"/>
      <c r="I4" s="3667" t="s">
        <v>802</v>
      </c>
      <c r="J4" s="3668"/>
      <c r="K4" s="514" t="s">
        <v>803</v>
      </c>
      <c r="L4" s="2134"/>
      <c r="M4" s="2135"/>
      <c r="N4" s="2135"/>
      <c r="O4" s="2135"/>
      <c r="P4" s="3669" t="s">
        <v>804</v>
      </c>
      <c r="Q4" s="3670"/>
      <c r="R4" s="3675" t="s">
        <v>800</v>
      </c>
      <c r="S4" s="3676"/>
      <c r="T4" s="3675" t="s">
        <v>801</v>
      </c>
      <c r="U4" s="3676"/>
      <c r="V4" s="3662" t="s">
        <v>802</v>
      </c>
      <c r="W4" s="3662"/>
      <c r="X4" s="1567"/>
      <c r="Y4" s="3675" t="s">
        <v>804</v>
      </c>
      <c r="Z4" s="3676"/>
      <c r="AA4" s="3664" t="s">
        <v>800</v>
      </c>
      <c r="AB4" s="3665" t="s">
        <v>801</v>
      </c>
      <c r="AC4" s="3664" t="s">
        <v>802</v>
      </c>
    </row>
    <row r="5" spans="1:29" ht="15">
      <c r="A5" s="515"/>
      <c r="B5" s="516"/>
      <c r="C5" s="3683" t="s">
        <v>2935</v>
      </c>
      <c r="D5" s="3684"/>
      <c r="E5" s="3683" t="s">
        <v>2936</v>
      </c>
      <c r="F5" s="3684"/>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5"/>
      <c r="AC5" s="3665"/>
    </row>
    <row r="6" spans="1:29" ht="15.75" thickBot="1">
      <c r="A6" s="517"/>
      <c r="B6" s="518"/>
      <c r="C6" s="3698" t="s">
        <v>2939</v>
      </c>
      <c r="D6" s="3699"/>
      <c r="E6" s="3782" t="s">
        <v>2939</v>
      </c>
      <c r="F6" s="3682"/>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43242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91" t="s">
        <v>531</v>
      </c>
      <c r="Q7" s="3693"/>
      <c r="R7" s="1568" t="s">
        <v>8</v>
      </c>
      <c r="S7" s="1569">
        <f t="shared" ref="S7:S14" si="0">F7</f>
        <v>0</v>
      </c>
      <c r="T7" s="1568" t="s">
        <v>8</v>
      </c>
      <c r="U7" s="1569">
        <f t="shared" ref="U7:U14" si="1">H7</f>
        <v>0</v>
      </c>
      <c r="V7" s="1568" t="s">
        <v>8</v>
      </c>
      <c r="W7" s="1569">
        <f t="shared" ref="W7:W14"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36" si="3">D8/F8</f>
        <v>#DIV/0!</v>
      </c>
      <c r="AB8" s="1571" t="e">
        <f t="shared" ref="AB8:AB36" si="4">D8/H8</f>
        <v>#DIV/0!</v>
      </c>
      <c r="AC8" s="1571" t="e">
        <f t="shared" ref="AC8:AC36" si="5">D8/J8</f>
        <v>#DIV/0!</v>
      </c>
    </row>
    <row r="9" spans="1:29" s="1219" customFormat="1" ht="15">
      <c r="A9" s="2940"/>
      <c r="B9" s="2947" t="s">
        <v>2761</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61" t="s">
        <v>536</v>
      </c>
      <c r="Q9" s="1150" t="str">
        <f t="shared" ref="Q9:Q14" si="6">B9</f>
        <v>用途</v>
      </c>
      <c r="R9" s="1568" t="s">
        <v>8</v>
      </c>
      <c r="S9" s="1569">
        <f t="shared" si="0"/>
        <v>100</v>
      </c>
      <c r="T9" s="1568" t="s">
        <v>8</v>
      </c>
      <c r="U9" s="1569">
        <f t="shared" si="1"/>
        <v>100</v>
      </c>
      <c r="V9" s="1568" t="s">
        <v>8</v>
      </c>
      <c r="W9" s="1569">
        <f t="shared" si="2"/>
        <v>100</v>
      </c>
      <c r="X9" s="1570"/>
      <c r="Y9" s="3607" t="s">
        <v>537</v>
      </c>
      <c r="Z9" s="1149" t="str">
        <f t="shared" ref="Z9:Z14" si="7">Q9</f>
        <v>用途</v>
      </c>
      <c r="AA9" s="1571">
        <f t="shared" si="3"/>
        <v>1</v>
      </c>
      <c r="AB9" s="1571">
        <f t="shared" si="4"/>
        <v>1</v>
      </c>
      <c r="AC9" s="1571">
        <f t="shared" si="5"/>
        <v>1</v>
      </c>
    </row>
    <row r="10" spans="1:29" s="1337" customFormat="1" ht="27">
      <c r="A10" s="2941"/>
      <c r="B10" s="2946" t="s">
        <v>2762</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61"/>
      <c r="Q11" s="1150">
        <f t="shared" si="6"/>
        <v>111</v>
      </c>
      <c r="R11" s="1568" t="s">
        <v>8</v>
      </c>
      <c r="S11" s="1569">
        <f t="shared" si="0"/>
        <v>100</v>
      </c>
      <c r="T11" s="1568" t="s">
        <v>8</v>
      </c>
      <c r="U11" s="1569">
        <f t="shared" si="1"/>
        <v>100</v>
      </c>
      <c r="V11" s="1568" t="s">
        <v>8</v>
      </c>
      <c r="W11" s="1569">
        <f t="shared" si="2"/>
        <v>100</v>
      </c>
      <c r="X11" s="1570"/>
      <c r="Y11" s="3607"/>
      <c r="Z11" s="1149">
        <f t="shared" si="7"/>
        <v>111</v>
      </c>
      <c r="AA11" s="1571">
        <f t="shared" si="3"/>
        <v>1</v>
      </c>
      <c r="AB11" s="1571">
        <f t="shared" si="4"/>
        <v>1</v>
      </c>
      <c r="AC11" s="1571">
        <f t="shared" si="5"/>
        <v>1</v>
      </c>
    </row>
    <row r="12" spans="1:29" s="1219"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85.5">
      <c r="A14" s="2936" t="s">
        <v>2759</v>
      </c>
      <c r="B14" s="547" t="s">
        <v>544</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694" t="s">
        <v>541</v>
      </c>
      <c r="Q14" s="1572" t="str">
        <f t="shared" si="6"/>
        <v>交通便捷度</v>
      </c>
      <c r="R14" s="1573" t="s">
        <v>8</v>
      </c>
      <c r="S14" s="1574">
        <f t="shared" si="0"/>
        <v>100</v>
      </c>
      <c r="T14" s="1573" t="s">
        <v>8</v>
      </c>
      <c r="U14" s="1574">
        <f t="shared" si="1"/>
        <v>100</v>
      </c>
      <c r="V14" s="1573" t="s">
        <v>8</v>
      </c>
      <c r="W14" s="1574">
        <f t="shared" si="2"/>
        <v>100</v>
      </c>
      <c r="X14" s="1567"/>
      <c r="Y14" s="3694" t="s">
        <v>541</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695"/>
      <c r="Q15" s="1572"/>
      <c r="R15" s="1573"/>
      <c r="S15" s="1574"/>
      <c r="T15" s="1573"/>
      <c r="U15" s="1574"/>
      <c r="V15" s="1573"/>
      <c r="W15" s="1574"/>
      <c r="X15" s="1567"/>
      <c r="Y15" s="3695"/>
      <c r="Z15" s="1575"/>
      <c r="AA15" s="1576">
        <v>1</v>
      </c>
      <c r="AB15" s="1576">
        <v>1</v>
      </c>
      <c r="AC15" s="1576">
        <v>1</v>
      </c>
    </row>
    <row r="16" spans="1:29" ht="42.75">
      <c r="A16" s="515"/>
      <c r="B16" s="2628" t="s">
        <v>2552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695"/>
      <c r="Q16" s="1572" t="str">
        <f>B16</f>
        <v>公共配套设施</v>
      </c>
      <c r="R16" s="1573" t="s">
        <v>8</v>
      </c>
      <c r="S16" s="1574">
        <f>F16</f>
        <v>100</v>
      </c>
      <c r="T16" s="1573" t="s">
        <v>8</v>
      </c>
      <c r="U16" s="1574">
        <f>H16</f>
        <v>100</v>
      </c>
      <c r="V16" s="1573" t="s">
        <v>8</v>
      </c>
      <c r="W16" s="1574">
        <f>J16</f>
        <v>100</v>
      </c>
      <c r="X16" s="1567"/>
      <c r="Y16" s="369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695"/>
      <c r="Q17" s="1572"/>
      <c r="R17" s="1573"/>
      <c r="S17" s="1574"/>
      <c r="T17" s="1573"/>
      <c r="U17" s="1574"/>
      <c r="V17" s="1573"/>
      <c r="W17" s="1574"/>
      <c r="X17" s="1567"/>
      <c r="Y17" s="3695"/>
      <c r="Z17" s="1575"/>
      <c r="AA17" s="1576">
        <v>1</v>
      </c>
      <c r="AB17" s="1576">
        <v>1</v>
      </c>
      <c r="AC17" s="1576">
        <v>1</v>
      </c>
    </row>
    <row r="18" spans="1:29" ht="28.5">
      <c r="A18" s="515"/>
      <c r="B18" s="2616" t="s">
        <v>2564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695"/>
      <c r="Q18" s="2604" t="str">
        <f>B18</f>
        <v>基础设施水平</v>
      </c>
      <c r="R18" s="1573" t="s">
        <v>8</v>
      </c>
      <c r="S18" s="1574">
        <f>F18</f>
        <v>100</v>
      </c>
      <c r="T18" s="1573" t="s">
        <v>8</v>
      </c>
      <c r="U18" s="1574">
        <f>H18</f>
        <v>100</v>
      </c>
      <c r="V18" s="1573" t="s">
        <v>8</v>
      </c>
      <c r="W18" s="1574">
        <f>J18</f>
        <v>100</v>
      </c>
      <c r="X18" s="2606"/>
      <c r="Y18" s="3695"/>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95"/>
      <c r="Q19" s="2604"/>
      <c r="R19" s="1573"/>
      <c r="S19" s="1574"/>
      <c r="T19" s="1573"/>
      <c r="U19" s="1574"/>
      <c r="V19" s="1573"/>
      <c r="W19" s="1574"/>
      <c r="X19" s="2606"/>
      <c r="Y19" s="3695"/>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695"/>
      <c r="Q20" s="1572" t="str">
        <f>B20</f>
        <v>自然及人文环境</v>
      </c>
      <c r="R20" s="1573" t="s">
        <v>8</v>
      </c>
      <c r="S20" s="1574">
        <f>F20</f>
        <v>100</v>
      </c>
      <c r="T20" s="1573" t="s">
        <v>8</v>
      </c>
      <c r="U20" s="1574">
        <f>H20</f>
        <v>100</v>
      </c>
      <c r="V20" s="1573" t="s">
        <v>8</v>
      </c>
      <c r="W20" s="1574">
        <f>J20</f>
        <v>100</v>
      </c>
      <c r="X20" s="1567"/>
      <c r="Y20" s="369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695"/>
      <c r="Q21" s="1572"/>
      <c r="R21" s="1573"/>
      <c r="S21" s="1574"/>
      <c r="T21" s="1573"/>
      <c r="U21" s="1574"/>
      <c r="V21" s="1573"/>
      <c r="W21" s="1574"/>
      <c r="X21" s="1567"/>
      <c r="Y21" s="3695"/>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95"/>
      <c r="Q22" s="1572" t="str">
        <f>B22</f>
        <v>楼层</v>
      </c>
      <c r="R22" s="1573" t="s">
        <v>8</v>
      </c>
      <c r="S22" s="1574">
        <f>F22</f>
        <v>100</v>
      </c>
      <c r="T22" s="1573" t="s">
        <v>8</v>
      </c>
      <c r="U22" s="1574">
        <f>H22</f>
        <v>100</v>
      </c>
      <c r="V22" s="1573" t="s">
        <v>8</v>
      </c>
      <c r="W22" s="1574">
        <f>J22</f>
        <v>100</v>
      </c>
      <c r="X22" s="1567"/>
      <c r="Y22" s="3695"/>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95"/>
      <c r="Q23" s="1572">
        <f>B23</f>
        <v>111</v>
      </c>
      <c r="R23" s="1573" t="s">
        <v>8</v>
      </c>
      <c r="S23" s="1574">
        <f>F23</f>
        <v>100</v>
      </c>
      <c r="T23" s="1573" t="s">
        <v>8</v>
      </c>
      <c r="U23" s="1574">
        <f>H23</f>
        <v>100</v>
      </c>
      <c r="V23" s="1573" t="s">
        <v>8</v>
      </c>
      <c r="W23" s="1574">
        <f>J23</f>
        <v>100</v>
      </c>
      <c r="X23" s="1567"/>
      <c r="Y23" s="3695"/>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95"/>
      <c r="Q24" s="1572">
        <f t="shared" ref="Q24:Q36" si="11">B24</f>
        <v>111</v>
      </c>
      <c r="R24" s="1573" t="s">
        <v>8</v>
      </c>
      <c r="S24" s="1574">
        <f>F24</f>
        <v>100</v>
      </c>
      <c r="T24" s="1573" t="s">
        <v>8</v>
      </c>
      <c r="U24" s="1574">
        <f>H24</f>
        <v>100</v>
      </c>
      <c r="V24" s="1573" t="s">
        <v>8</v>
      </c>
      <c r="W24" s="1574">
        <f>J24</f>
        <v>100</v>
      </c>
      <c r="X24" s="1567"/>
      <c r="Y24" s="3695"/>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695"/>
      <c r="Q25" s="1150">
        <f t="shared" si="11"/>
        <v>111</v>
      </c>
      <c r="R25" s="1568" t="s">
        <v>8</v>
      </c>
      <c r="S25" s="1569">
        <f>F25</f>
        <v>100</v>
      </c>
      <c r="T25" s="1568" t="s">
        <v>8</v>
      </c>
      <c r="U25" s="1569">
        <f>H25</f>
        <v>100</v>
      </c>
      <c r="V25" s="1568" t="s">
        <v>8</v>
      </c>
      <c r="W25" s="1569">
        <f>J25</f>
        <v>100</v>
      </c>
      <c r="X25" s="1570"/>
      <c r="Y25" s="3695"/>
      <c r="Z25" s="1149">
        <f>Q25</f>
        <v>111</v>
      </c>
      <c r="AA25" s="1576">
        <f>D25/F25</f>
        <v>1</v>
      </c>
      <c r="AB25" s="1576">
        <f>D25/H25</f>
        <v>1</v>
      </c>
      <c r="AC25" s="1576">
        <f>D25/J25</f>
        <v>1</v>
      </c>
    </row>
    <row r="26" spans="1:29" ht="15">
      <c r="A26" s="2933" t="s">
        <v>2760</v>
      </c>
      <c r="B26" s="170"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96"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97" t="s">
        <v>551</v>
      </c>
      <c r="Z26" s="1575" t="str">
        <f t="shared" ref="Z26:Z36" si="15">Q26</f>
        <v>配套类型</v>
      </c>
      <c r="AA26" s="1576">
        <f t="shared" si="3"/>
        <v>1</v>
      </c>
      <c r="AB26" s="1576">
        <f t="shared" si="4"/>
        <v>1</v>
      </c>
      <c r="AC26" s="1576">
        <f t="shared" si="5"/>
        <v>1</v>
      </c>
    </row>
    <row r="27" spans="1:29" s="1338" customFormat="1" ht="15">
      <c r="A27" s="928"/>
      <c r="B27" s="582" t="s">
        <v>808</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697"/>
      <c r="Q27" s="1605" t="str">
        <f t="shared" si="11"/>
        <v>项目停车位配比</v>
      </c>
      <c r="R27" s="1577" t="s">
        <v>8</v>
      </c>
      <c r="S27" s="1578">
        <f t="shared" si="12"/>
        <v>100</v>
      </c>
      <c r="T27" s="1577" t="s">
        <v>8</v>
      </c>
      <c r="U27" s="1578">
        <f t="shared" si="13"/>
        <v>100</v>
      </c>
      <c r="V27" s="1577" t="s">
        <v>8</v>
      </c>
      <c r="W27" s="1578">
        <f t="shared" si="14"/>
        <v>100</v>
      </c>
      <c r="X27" s="1579"/>
      <c r="Y27" s="3697"/>
      <c r="Z27" s="1580" t="str">
        <f t="shared" si="15"/>
        <v>项目停车位配比</v>
      </c>
      <c r="AA27" s="1576">
        <f t="shared" si="3"/>
        <v>1</v>
      </c>
      <c r="AB27" s="1576">
        <f t="shared" si="4"/>
        <v>1</v>
      </c>
      <c r="AC27" s="1576">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97"/>
      <c r="Q28" s="1572" t="str">
        <f t="shared" si="11"/>
        <v>公共部分装修</v>
      </c>
      <c r="R28" s="1573" t="s">
        <v>8</v>
      </c>
      <c r="S28" s="1574">
        <f t="shared" si="12"/>
        <v>100</v>
      </c>
      <c r="T28" s="1573" t="s">
        <v>8</v>
      </c>
      <c r="U28" s="1574">
        <f t="shared" si="13"/>
        <v>100</v>
      </c>
      <c r="V28" s="1573" t="s">
        <v>8</v>
      </c>
      <c r="W28" s="1574">
        <f t="shared" si="14"/>
        <v>100</v>
      </c>
      <c r="X28" s="1567"/>
      <c r="Y28" s="3697"/>
      <c r="Z28" s="1575" t="str">
        <f t="shared" si="15"/>
        <v>公共部分装修</v>
      </c>
      <c r="AA28" s="1576">
        <f t="shared" si="3"/>
        <v>1</v>
      </c>
      <c r="AB28" s="1576">
        <f t="shared" si="4"/>
        <v>1</v>
      </c>
      <c r="AC28" s="1576">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697"/>
      <c r="Q29" s="1572" t="str">
        <f t="shared" si="11"/>
        <v>成新率</v>
      </c>
      <c r="R29" s="1573" t="s">
        <v>8</v>
      </c>
      <c r="S29" s="1574" t="e">
        <f t="shared" si="12"/>
        <v>#N/A</v>
      </c>
      <c r="T29" s="1573" t="s">
        <v>8</v>
      </c>
      <c r="U29" s="1574" t="e">
        <f t="shared" si="13"/>
        <v>#N/A</v>
      </c>
      <c r="V29" s="1573" t="s">
        <v>8</v>
      </c>
      <c r="W29" s="1574" t="e">
        <f t="shared" si="14"/>
        <v>#N/A</v>
      </c>
      <c r="X29" s="1567"/>
      <c r="Y29" s="3697"/>
      <c r="Z29" s="1575" t="str">
        <f t="shared" si="15"/>
        <v>成新率</v>
      </c>
      <c r="AA29" s="1576" t="e">
        <f t="shared" si="3"/>
        <v>#N/A</v>
      </c>
      <c r="AB29" s="1576" t="e">
        <f t="shared" si="4"/>
        <v>#N/A</v>
      </c>
      <c r="AC29" s="1576"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697"/>
      <c r="Q30" s="1572" t="str">
        <f t="shared" si="11"/>
        <v>物业等级</v>
      </c>
      <c r="R30" s="1573" t="s">
        <v>8</v>
      </c>
      <c r="S30" s="1574">
        <f t="shared" si="12"/>
        <v>100</v>
      </c>
      <c r="T30" s="1573" t="s">
        <v>8</v>
      </c>
      <c r="U30" s="1574">
        <f t="shared" si="13"/>
        <v>100</v>
      </c>
      <c r="V30" s="1573" t="s">
        <v>8</v>
      </c>
      <c r="W30" s="1574">
        <f t="shared" si="14"/>
        <v>100</v>
      </c>
      <c r="X30" s="1567"/>
      <c r="Y30" s="3697"/>
      <c r="Z30" s="1575" t="str">
        <f t="shared" si="15"/>
        <v>物业等级</v>
      </c>
      <c r="AA30" s="1576">
        <f t="shared" si="3"/>
        <v>1</v>
      </c>
      <c r="AB30" s="1576">
        <f t="shared" si="4"/>
        <v>1</v>
      </c>
      <c r="AC30" s="1576">
        <f t="shared" si="5"/>
        <v>1</v>
      </c>
    </row>
    <row r="31" spans="1:29" s="1219" customFormat="1" ht="15">
      <c r="A31" s="932"/>
      <c r="B31" s="582" t="s">
        <v>812</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697"/>
      <c r="Q31" s="1150" t="str">
        <f t="shared" si="11"/>
        <v>停车位面积</v>
      </c>
      <c r="R31" s="1568" t="s">
        <v>8</v>
      </c>
      <c r="S31" s="1569" t="e">
        <f t="shared" si="12"/>
        <v>#N/A</v>
      </c>
      <c r="T31" s="1568" t="s">
        <v>8</v>
      </c>
      <c r="U31" s="1569" t="e">
        <f t="shared" si="13"/>
        <v>#N/A</v>
      </c>
      <c r="V31" s="1568" t="s">
        <v>8</v>
      </c>
      <c r="W31" s="1569" t="e">
        <f t="shared" si="14"/>
        <v>#N/A</v>
      </c>
      <c r="X31" s="1570"/>
      <c r="Y31" s="3697"/>
      <c r="Z31" s="1149" t="str">
        <f t="shared" si="15"/>
        <v>停车位面积</v>
      </c>
      <c r="AA31" s="1571" t="e">
        <f t="shared" si="3"/>
        <v>#N/A</v>
      </c>
      <c r="AB31" s="1571" t="e">
        <f t="shared" si="4"/>
        <v>#N/A</v>
      </c>
      <c r="AC31" s="1571"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97" t="s">
        <v>551</v>
      </c>
      <c r="Q32" s="1572" t="str">
        <f t="shared" si="11"/>
        <v>车位类型</v>
      </c>
      <c r="R32" s="1573" t="s">
        <v>8</v>
      </c>
      <c r="S32" s="1574">
        <f t="shared" si="12"/>
        <v>100</v>
      </c>
      <c r="T32" s="1573" t="s">
        <v>8</v>
      </c>
      <c r="U32" s="1574">
        <f t="shared" si="13"/>
        <v>100</v>
      </c>
      <c r="V32" s="1573" t="s">
        <v>8</v>
      </c>
      <c r="W32" s="1574">
        <f t="shared" si="14"/>
        <v>100</v>
      </c>
      <c r="X32" s="1567"/>
      <c r="Y32" s="3697" t="s">
        <v>551</v>
      </c>
      <c r="Z32" s="1575" t="str">
        <f t="shared" si="15"/>
        <v>车位类型</v>
      </c>
      <c r="AA32" s="1576">
        <f t="shared" si="3"/>
        <v>1</v>
      </c>
      <c r="AB32" s="1576">
        <f t="shared" si="4"/>
        <v>1</v>
      </c>
      <c r="AC32" s="1576">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97"/>
      <c r="Q33" s="1572" t="str">
        <f t="shared" si="11"/>
        <v>是否直接入户</v>
      </c>
      <c r="R33" s="1573" t="s">
        <v>8</v>
      </c>
      <c r="S33" s="1574">
        <f t="shared" si="12"/>
        <v>100</v>
      </c>
      <c r="T33" s="1573" t="s">
        <v>8</v>
      </c>
      <c r="U33" s="1574">
        <f t="shared" si="13"/>
        <v>100</v>
      </c>
      <c r="V33" s="1573" t="s">
        <v>8</v>
      </c>
      <c r="W33" s="1574">
        <f t="shared" si="14"/>
        <v>100</v>
      </c>
      <c r="X33" s="1567"/>
      <c r="Y33" s="3697"/>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97"/>
      <c r="Q34" s="1572">
        <f t="shared" si="11"/>
        <v>111</v>
      </c>
      <c r="R34" s="1573" t="s">
        <v>8</v>
      </c>
      <c r="S34" s="1574">
        <f t="shared" si="12"/>
        <v>100</v>
      </c>
      <c r="T34" s="1573" t="s">
        <v>8</v>
      </c>
      <c r="U34" s="1574">
        <f t="shared" si="13"/>
        <v>100</v>
      </c>
      <c r="V34" s="1573" t="s">
        <v>8</v>
      </c>
      <c r="W34" s="1574">
        <f t="shared" si="14"/>
        <v>100</v>
      </c>
      <c r="X34" s="1567"/>
      <c r="Y34" s="3697"/>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97"/>
      <c r="Q35" s="1605">
        <f t="shared" si="11"/>
        <v>111</v>
      </c>
      <c r="R35" s="1577" t="s">
        <v>8</v>
      </c>
      <c r="S35" s="1578">
        <f t="shared" si="12"/>
        <v>100</v>
      </c>
      <c r="T35" s="1577" t="s">
        <v>8</v>
      </c>
      <c r="U35" s="1578">
        <f t="shared" si="13"/>
        <v>100</v>
      </c>
      <c r="V35" s="1577" t="s">
        <v>8</v>
      </c>
      <c r="W35" s="1578">
        <f t="shared" si="14"/>
        <v>100</v>
      </c>
      <c r="X35" s="1579"/>
      <c r="Y35" s="3697"/>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97"/>
      <c r="Q36" s="1572">
        <f t="shared" si="11"/>
        <v>111</v>
      </c>
      <c r="R36" s="1573" t="s">
        <v>8</v>
      </c>
      <c r="S36" s="1574">
        <f t="shared" si="12"/>
        <v>100</v>
      </c>
      <c r="T36" s="1573" t="s">
        <v>8</v>
      </c>
      <c r="U36" s="1574">
        <f t="shared" si="13"/>
        <v>100</v>
      </c>
      <c r="V36" s="1573" t="s">
        <v>8</v>
      </c>
      <c r="W36" s="1574">
        <f t="shared" si="14"/>
        <v>100</v>
      </c>
      <c r="X36" s="1567"/>
      <c r="Y36" s="3697"/>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661" t="str">
        <f>A37</f>
        <v>成交单价</v>
      </c>
      <c r="Q37" s="3661"/>
      <c r="R37" s="3775">
        <f>E37</f>
        <v>0</v>
      </c>
      <c r="S37" s="3775"/>
      <c r="T37" s="3775">
        <f>G37</f>
        <v>0</v>
      </c>
      <c r="U37" s="3775"/>
      <c r="V37" s="3775">
        <f>I37</f>
        <v>0</v>
      </c>
      <c r="W37" s="3775"/>
      <c r="X37" s="1559"/>
      <c r="Y37" s="1581"/>
      <c r="Z37" s="1559"/>
      <c r="AA37" s="1559"/>
      <c r="AB37" s="1559"/>
      <c r="AC37" s="1559"/>
    </row>
    <row r="38" spans="1:29" ht="15.75" thickBot="1">
      <c r="A38" s="615" t="s">
        <v>2765</v>
      </c>
      <c r="B38" s="887"/>
      <c r="C38" s="2658" t="e">
        <f>R39</f>
        <v>#DIV/0!</v>
      </c>
      <c r="D38" s="2659"/>
      <c r="E38" s="2660" t="e">
        <f>R38</f>
        <v>#DIV/0!</v>
      </c>
      <c r="F38" s="2660"/>
      <c r="G38" s="2658" t="e">
        <f>T38</f>
        <v>#DIV/0!</v>
      </c>
      <c r="H38" s="2659"/>
      <c r="I38" s="2660" t="e">
        <f>V38</f>
        <v>#DIV/0!</v>
      </c>
      <c r="J38" s="2659"/>
      <c r="K38" s="1612"/>
      <c r="L38" s="2145"/>
      <c r="M38" s="2146"/>
      <c r="N38" s="2146"/>
      <c r="O38" s="2146"/>
      <c r="P38" s="3661" t="str">
        <f>A38</f>
        <v>比较价格（元/平方米）</v>
      </c>
      <c r="Q38" s="3661"/>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1559"/>
      <c r="Y38" s="1559"/>
      <c r="Z38" s="1559"/>
      <c r="AA38" s="1559"/>
      <c r="AB38" s="1559"/>
      <c r="AC38" s="1559"/>
    </row>
    <row r="39" spans="1:29" ht="15.75" thickBot="1">
      <c r="A39" s="621" t="s">
        <v>2941</v>
      </c>
      <c r="B39" s="622"/>
      <c r="C39" s="2661" t="e">
        <f>R39</f>
        <v>#DIV/0!</v>
      </c>
      <c r="D39" s="2661"/>
      <c r="E39" s="2661"/>
      <c r="F39" s="2661"/>
      <c r="G39" s="2661"/>
      <c r="H39" s="2661"/>
      <c r="I39" s="2661"/>
      <c r="J39" s="2661"/>
      <c r="K39" s="1613"/>
      <c r="L39" s="2145"/>
      <c r="M39" s="2146"/>
      <c r="N39" s="2146"/>
      <c r="O39" s="2146"/>
      <c r="P39" s="3658" t="str">
        <f>A39</f>
        <v>估价对象XX用房的比较价格（楼面单价，元/平方米）</v>
      </c>
      <c r="Q39" s="3659"/>
      <c r="R39" s="3774" t="e">
        <f>IF(F1="售价",ROUND(AVERAGE(R38:V38),0),ROUND(AVERAGE(R38:V38),1))</f>
        <v>#DIV/0!</v>
      </c>
      <c r="S39" s="3774"/>
      <c r="T39" s="3774"/>
      <c r="U39" s="3774"/>
      <c r="V39" s="3774"/>
      <c r="W39" s="377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530</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1"/>
      <c r="Q48" s="2162"/>
      <c r="R48" s="2162"/>
      <c r="S48" s="2162"/>
      <c r="T48" s="2162"/>
      <c r="U48" s="2162"/>
      <c r="V48" s="2162"/>
      <c r="W48" s="2162"/>
      <c r="X48" s="2162"/>
      <c r="Y48" s="2162"/>
      <c r="Z48" s="2162"/>
      <c r="AA48" s="2162"/>
      <c r="AB48" s="2162"/>
      <c r="AC48" s="2162"/>
    </row>
    <row r="49" spans="1:29" s="1219"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2563</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2564</v>
      </c>
      <c r="C67" s="2623" t="s">
        <v>2565</v>
      </c>
      <c r="D67" s="2623" t="s">
        <v>2566</v>
      </c>
      <c r="E67" s="2623" t="s">
        <v>2567</v>
      </c>
      <c r="F67" s="2623" t="s">
        <v>2568</v>
      </c>
      <c r="G67" s="2623" t="s">
        <v>2569</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廊坊京御房地产开发有限公司：</v>
      </c>
    </row>
    <row r="4" spans="1:4" ht="37.5">
      <c r="A4" s="1792" t="str">
        <f>"受贵公司委托，我公司对"&amp;项目基本情况!K2&amp;项目基本情况!B9&amp;"进行了预评估。"</f>
        <v>受贵公司委托，我公司对河北省廊坊市固安县工业园区五号路北、六号路西出让国有建设用地使用权抵押价格进行了预评估。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廊坊京御房地产开发有限公司使用的、位于河北省廊坊市固安县工业园区五号路北、六号路西出让国有建设用地使用权。根据《国有土地使用证》[]，估价对象（分摊）出让国有建设用地使用权面积为98842.6平方米。根据《建设工程规划许可证》[]、《出让合同》[]，估价对象规划建筑面积为247106.5平方米。</v>
      </c>
    </row>
    <row r="7" spans="1:4" ht="56.25">
      <c r="A7" s="1796" t="s">
        <v>2752</v>
      </c>
    </row>
    <row r="8" spans="1:4" ht="18.75">
      <c r="A8" s="1795" t="s">
        <v>1908</v>
      </c>
    </row>
    <row r="9" spans="1:4" ht="56.25">
      <c r="A9" s="1797"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2018年5月22日（评估专业人员勘察现场之日）</v>
      </c>
    </row>
    <row r="12" spans="1:4" ht="18.75">
      <c r="A12" s="1798" t="s">
        <v>2029</v>
      </c>
    </row>
    <row r="13" spans="1:4" ht="18.75">
      <c r="A13" s="1792" t="s">
        <v>2949</v>
      </c>
    </row>
    <row r="14" spans="1:4" ht="37.5">
      <c r="A14" s="1792" t="str">
        <f>"根据"&amp;项目基本情况!F12&amp;"，本次评估估价对象证载（地类）用途为"&amp;项目基本情况!B12&amp;"。"</f>
        <v>根据《国有土地使用证》[]，本次评估估价对象证载（地类）用途为城镇住宅用地。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根据《国有土地使用证》[]，估价对象（分摊）出让国有建设用地使用权面积为98842.6平方米。根据《建设工程规划许可证》[]、《出让合同》[]，估价对象规划建筑面积为247106.5平方米。</v>
      </c>
    </row>
    <row r="21" spans="1:1" ht="18.75">
      <c r="A21" s="1792" t="s">
        <v>2078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本次估价对象为出让国有建设用地使用权，《国有土地使用证》[]证载土地终止日期为住宅2079年11月24日。截至估价期日，出让国有建设用地使用权剩余土地使用年限为。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5月22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67" t="s">
        <v>799</v>
      </c>
      <c r="D4" s="3668"/>
      <c r="E4" s="3702" t="s">
        <v>800</v>
      </c>
      <c r="F4" s="3703"/>
      <c r="G4" s="3667" t="s">
        <v>801</v>
      </c>
      <c r="H4" s="3668"/>
      <c r="I4" s="3667" t="s">
        <v>802</v>
      </c>
      <c r="J4" s="3668"/>
      <c r="K4" s="514" t="s">
        <v>803</v>
      </c>
      <c r="L4" s="2134"/>
      <c r="M4" s="2135"/>
      <c r="N4" s="2135"/>
      <c r="O4" s="2135"/>
      <c r="P4" s="3669" t="s">
        <v>804</v>
      </c>
      <c r="Q4" s="3670"/>
      <c r="R4" s="3675" t="s">
        <v>800</v>
      </c>
      <c r="S4" s="3676"/>
      <c r="T4" s="3675" t="s">
        <v>801</v>
      </c>
      <c r="U4" s="3676"/>
      <c r="V4" s="3662" t="s">
        <v>802</v>
      </c>
      <c r="W4" s="3662"/>
      <c r="X4" s="1567"/>
      <c r="Y4" s="3675" t="s">
        <v>804</v>
      </c>
      <c r="Z4" s="3676"/>
      <c r="AA4" s="3664" t="s">
        <v>800</v>
      </c>
      <c r="AB4" s="3665" t="s">
        <v>801</v>
      </c>
      <c r="AC4" s="3664" t="s">
        <v>802</v>
      </c>
    </row>
    <row r="5" spans="1:29" ht="15">
      <c r="A5" s="515"/>
      <c r="B5" s="516"/>
      <c r="C5" s="3683" t="s">
        <v>2935</v>
      </c>
      <c r="D5" s="3684"/>
      <c r="E5" s="3704" t="s">
        <v>2936</v>
      </c>
      <c r="F5" s="3705"/>
      <c r="G5" s="3683" t="s">
        <v>2937</v>
      </c>
      <c r="H5" s="3684"/>
      <c r="I5" s="3683" t="s">
        <v>2938</v>
      </c>
      <c r="J5" s="3684"/>
      <c r="K5" s="514"/>
      <c r="L5" s="2134"/>
      <c r="M5" s="2135"/>
      <c r="N5" s="2135"/>
      <c r="O5" s="2135"/>
      <c r="P5" s="3671"/>
      <c r="Q5" s="3672"/>
      <c r="R5" s="3677"/>
      <c r="S5" s="3678"/>
      <c r="T5" s="3677"/>
      <c r="U5" s="3678"/>
      <c r="V5" s="3662"/>
      <c r="W5" s="3662"/>
      <c r="X5" s="1567"/>
      <c r="Y5" s="3677"/>
      <c r="Z5" s="3678"/>
      <c r="AA5" s="3665"/>
      <c r="AB5" s="3665"/>
      <c r="AC5" s="3665"/>
    </row>
    <row r="6" spans="1:29" ht="15.75" thickBot="1">
      <c r="A6" s="517"/>
      <c r="B6" s="518"/>
      <c r="C6" s="3698" t="s">
        <v>2939</v>
      </c>
      <c r="D6" s="3699"/>
      <c r="E6" s="3700" t="s">
        <v>2939</v>
      </c>
      <c r="F6" s="3701"/>
      <c r="G6" s="3698" t="s">
        <v>2939</v>
      </c>
      <c r="H6" s="3699"/>
      <c r="I6" s="3698" t="s">
        <v>2939</v>
      </c>
      <c r="J6" s="3699"/>
      <c r="K6" s="514" t="s">
        <v>529</v>
      </c>
      <c r="L6" s="2134"/>
      <c r="M6" s="2135"/>
      <c r="N6" s="2135"/>
      <c r="O6" s="2135"/>
      <c r="P6" s="3673"/>
      <c r="Q6" s="3674"/>
      <c r="R6" s="3677"/>
      <c r="S6" s="3678"/>
      <c r="T6" s="3679"/>
      <c r="U6" s="3680"/>
      <c r="V6" s="3662"/>
      <c r="W6" s="3662"/>
      <c r="X6" s="1567"/>
      <c r="Y6" s="3679"/>
      <c r="Z6" s="3680"/>
      <c r="AA6" s="3666"/>
      <c r="AB6" s="3666"/>
      <c r="AC6" s="3666"/>
    </row>
    <row r="7" spans="1:29" s="1219" customFormat="1" ht="15.75" thickBot="1">
      <c r="A7" s="2938"/>
      <c r="B7" s="2945" t="s">
        <v>530</v>
      </c>
      <c r="C7" s="519">
        <f>'数据-取费表'!B2</f>
        <v>43242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91" t="s">
        <v>531</v>
      </c>
      <c r="Q7" s="3693"/>
      <c r="R7" s="1568" t="s">
        <v>8</v>
      </c>
      <c r="S7" s="1569">
        <f t="shared" ref="S7:S14" si="0">F7</f>
        <v>0</v>
      </c>
      <c r="T7" s="1568" t="s">
        <v>8</v>
      </c>
      <c r="U7" s="1569">
        <f t="shared" ref="U7:U14" si="1">H7</f>
        <v>0</v>
      </c>
      <c r="V7" s="1568" t="s">
        <v>8</v>
      </c>
      <c r="W7" s="1569">
        <f t="shared" ref="W7:W14" si="2">J7</f>
        <v>0</v>
      </c>
      <c r="X7" s="1570"/>
      <c r="Y7" s="3691" t="s">
        <v>531</v>
      </c>
      <c r="Z7" s="3692"/>
      <c r="AA7" s="1571" t="e">
        <f>D7/F7</f>
        <v>#DIV/0!</v>
      </c>
      <c r="AB7" s="1571" t="e">
        <f>D7/H7</f>
        <v>#DIV/0!</v>
      </c>
      <c r="AC7" s="1571" t="e">
        <f>D7/J7</f>
        <v>#DIV/0!</v>
      </c>
    </row>
    <row r="8" spans="1:29" s="1219"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91" t="s">
        <v>534</v>
      </c>
      <c r="Q8" s="3692"/>
      <c r="R8" s="1568" t="s">
        <v>8</v>
      </c>
      <c r="S8" s="1569">
        <f t="shared" si="0"/>
        <v>0</v>
      </c>
      <c r="T8" s="1568" t="s">
        <v>8</v>
      </c>
      <c r="U8" s="1569">
        <f t="shared" si="1"/>
        <v>0</v>
      </c>
      <c r="V8" s="1568" t="s">
        <v>8</v>
      </c>
      <c r="W8" s="1569">
        <f t="shared" si="2"/>
        <v>0</v>
      </c>
      <c r="X8" s="1570"/>
      <c r="Y8" s="3691" t="s">
        <v>534</v>
      </c>
      <c r="Z8" s="3692"/>
      <c r="AA8" s="1571" t="e">
        <f t="shared" ref="AA8:AA34" si="3">D8/F8</f>
        <v>#DIV/0!</v>
      </c>
      <c r="AB8" s="1571" t="e">
        <f t="shared" ref="AB8:AB34" si="4">D8/H8</f>
        <v>#DIV/0!</v>
      </c>
      <c r="AC8" s="1571" t="e">
        <f t="shared" ref="AC8:AC34" si="5">D8/J8</f>
        <v>#DIV/0!</v>
      </c>
    </row>
    <row r="9" spans="1:29" s="1219" customFormat="1" ht="15">
      <c r="A9" s="2940"/>
      <c r="B9" s="2947" t="s">
        <v>2761</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61" t="s">
        <v>536</v>
      </c>
      <c r="Q9" s="1150" t="str">
        <f t="shared" ref="Q9:Q14" si="6">B9</f>
        <v>用途</v>
      </c>
      <c r="R9" s="1568" t="s">
        <v>8</v>
      </c>
      <c r="S9" s="1569">
        <f t="shared" si="0"/>
        <v>100</v>
      </c>
      <c r="T9" s="1568" t="s">
        <v>8</v>
      </c>
      <c r="U9" s="1569">
        <f t="shared" si="1"/>
        <v>100</v>
      </c>
      <c r="V9" s="1568" t="s">
        <v>8</v>
      </c>
      <c r="W9" s="1569">
        <f t="shared" si="2"/>
        <v>100</v>
      </c>
      <c r="X9" s="1570"/>
      <c r="Y9" s="3607" t="s">
        <v>537</v>
      </c>
      <c r="Z9" s="1149" t="str">
        <f t="shared" ref="Z9:Z14" si="7">Q9</f>
        <v>用途</v>
      </c>
      <c r="AA9" s="1571">
        <f t="shared" si="3"/>
        <v>1</v>
      </c>
      <c r="AB9" s="1571">
        <f t="shared" si="4"/>
        <v>1</v>
      </c>
      <c r="AC9" s="1571">
        <f t="shared" si="5"/>
        <v>1</v>
      </c>
    </row>
    <row r="10" spans="1:29" s="1337" customFormat="1" ht="27">
      <c r="A10" s="2941"/>
      <c r="B10" s="2946" t="s">
        <v>2762</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61"/>
      <c r="Q10" s="1150" t="str">
        <f t="shared" si="6"/>
        <v>土地使用年限（年）</v>
      </c>
      <c r="R10" s="1568" t="s">
        <v>8</v>
      </c>
      <c r="S10" s="1569">
        <f t="shared" si="0"/>
        <v>100</v>
      </c>
      <c r="T10" s="1568" t="s">
        <v>8</v>
      </c>
      <c r="U10" s="1569">
        <f t="shared" si="1"/>
        <v>100</v>
      </c>
      <c r="V10" s="1568" t="s">
        <v>8</v>
      </c>
      <c r="W10" s="1569">
        <f t="shared" si="2"/>
        <v>100</v>
      </c>
      <c r="X10" s="1570"/>
      <c r="Y10" s="3607"/>
      <c r="Z10" s="1149" t="str">
        <f t="shared" si="7"/>
        <v>土地使用年限（年）</v>
      </c>
      <c r="AA10" s="1571">
        <f t="shared" si="3"/>
        <v>1</v>
      </c>
      <c r="AB10" s="1571">
        <f t="shared" si="4"/>
        <v>1</v>
      </c>
      <c r="AC10" s="1571">
        <f t="shared" si="5"/>
        <v>1</v>
      </c>
    </row>
    <row r="11" spans="1:29" ht="15">
      <c r="A11" s="2943"/>
      <c r="B11" s="2949">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661"/>
      <c r="Q11" s="1150">
        <f t="shared" si="6"/>
        <v>111</v>
      </c>
      <c r="R11" s="1568" t="s">
        <v>8</v>
      </c>
      <c r="S11" s="1569">
        <f t="shared" si="0"/>
        <v>100</v>
      </c>
      <c r="T11" s="1568" t="s">
        <v>8</v>
      </c>
      <c r="U11" s="1569">
        <f t="shared" si="1"/>
        <v>100</v>
      </c>
      <c r="V11" s="1568" t="s">
        <v>8</v>
      </c>
      <c r="W11" s="1569">
        <f t="shared" si="2"/>
        <v>100</v>
      </c>
      <c r="X11" s="1570"/>
      <c r="Y11" s="3607"/>
      <c r="Z11" s="1149">
        <f t="shared" si="7"/>
        <v>111</v>
      </c>
      <c r="AA11" s="1571">
        <f t="shared" si="3"/>
        <v>1</v>
      </c>
      <c r="AB11" s="1571">
        <f t="shared" si="4"/>
        <v>1</v>
      </c>
      <c r="AC11" s="1571">
        <f t="shared" si="5"/>
        <v>1</v>
      </c>
    </row>
    <row r="12" spans="1:29" s="1219" customFormat="1" ht="15">
      <c r="A12" s="2943"/>
      <c r="B12" s="2949">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661"/>
      <c r="Q12" s="1150">
        <f t="shared" si="6"/>
        <v>111</v>
      </c>
      <c r="R12" s="1568" t="s">
        <v>8</v>
      </c>
      <c r="S12" s="1569">
        <f t="shared" si="0"/>
        <v>100</v>
      </c>
      <c r="T12" s="1568" t="s">
        <v>8</v>
      </c>
      <c r="U12" s="1569">
        <f t="shared" si="1"/>
        <v>100</v>
      </c>
      <c r="V12" s="1568" t="s">
        <v>8</v>
      </c>
      <c r="W12" s="1569">
        <f t="shared" si="2"/>
        <v>100</v>
      </c>
      <c r="X12" s="1570"/>
      <c r="Y12" s="3607"/>
      <c r="Z12" s="1149">
        <f t="shared" si="7"/>
        <v>111</v>
      </c>
      <c r="AA12" s="1571">
        <f>D12/F12</f>
        <v>1</v>
      </c>
      <c r="AB12" s="1571">
        <f>D12/H12</f>
        <v>1</v>
      </c>
      <c r="AC12" s="1571">
        <f>D12/J12</f>
        <v>1</v>
      </c>
    </row>
    <row r="13" spans="1:29" ht="15.75" thickBot="1">
      <c r="A13" s="2944"/>
      <c r="B13" s="2950">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661"/>
      <c r="Q13" s="1150">
        <f t="shared" si="6"/>
        <v>111</v>
      </c>
      <c r="R13" s="1568" t="s">
        <v>8</v>
      </c>
      <c r="S13" s="1569">
        <f t="shared" si="0"/>
        <v>100</v>
      </c>
      <c r="T13" s="1568" t="s">
        <v>8</v>
      </c>
      <c r="U13" s="1569">
        <f t="shared" si="1"/>
        <v>100</v>
      </c>
      <c r="V13" s="1568" t="s">
        <v>8</v>
      </c>
      <c r="W13" s="1569">
        <f t="shared" si="2"/>
        <v>100</v>
      </c>
      <c r="X13" s="1570"/>
      <c r="Y13" s="3607"/>
      <c r="Z13" s="1149">
        <f t="shared" si="7"/>
        <v>111</v>
      </c>
      <c r="AA13" s="1571">
        <f t="shared" si="3"/>
        <v>1</v>
      </c>
      <c r="AB13" s="1571">
        <f t="shared" si="4"/>
        <v>1</v>
      </c>
      <c r="AC13" s="1571">
        <f t="shared" si="5"/>
        <v>1</v>
      </c>
    </row>
    <row r="14" spans="1:29" ht="85.5">
      <c r="A14" s="2936" t="s">
        <v>2759</v>
      </c>
      <c r="B14" s="166" t="s">
        <v>544</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694" t="s">
        <v>541</v>
      </c>
      <c r="Q14" s="1572" t="str">
        <f t="shared" si="6"/>
        <v>交通便捷度</v>
      </c>
      <c r="R14" s="1573" t="s">
        <v>8</v>
      </c>
      <c r="S14" s="1574">
        <f t="shared" si="0"/>
        <v>100</v>
      </c>
      <c r="T14" s="1573" t="s">
        <v>8</v>
      </c>
      <c r="U14" s="1574">
        <f t="shared" si="1"/>
        <v>100</v>
      </c>
      <c r="V14" s="1573" t="s">
        <v>8</v>
      </c>
      <c r="W14" s="1574">
        <f t="shared" si="2"/>
        <v>100</v>
      </c>
      <c r="X14" s="1567"/>
      <c r="Y14" s="3694"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695"/>
      <c r="Q15" s="1572"/>
      <c r="R15" s="1573"/>
      <c r="S15" s="1574"/>
      <c r="T15" s="1573"/>
      <c r="U15" s="1574"/>
      <c r="V15" s="1573"/>
      <c r="W15" s="1574"/>
      <c r="X15" s="1567"/>
      <c r="Y15" s="3695"/>
      <c r="Z15" s="1575"/>
      <c r="AA15" s="1576">
        <v>1</v>
      </c>
      <c r="AB15" s="1576">
        <v>1</v>
      </c>
      <c r="AC15" s="1576">
        <v>1</v>
      </c>
    </row>
    <row r="16" spans="1:29" ht="42.75">
      <c r="A16" s="532"/>
      <c r="B16" s="2628" t="s">
        <v>2552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695"/>
      <c r="Q16" s="1572" t="str">
        <f>B16</f>
        <v>公共配套设施</v>
      </c>
      <c r="R16" s="1573" t="s">
        <v>8</v>
      </c>
      <c r="S16" s="1574">
        <f>F16</f>
        <v>100</v>
      </c>
      <c r="T16" s="1573" t="s">
        <v>8</v>
      </c>
      <c r="U16" s="1574">
        <f>H16</f>
        <v>100</v>
      </c>
      <c r="V16" s="1573" t="s">
        <v>8</v>
      </c>
      <c r="W16" s="1574">
        <f>J16</f>
        <v>100</v>
      </c>
      <c r="X16" s="1567"/>
      <c r="Y16" s="369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695"/>
      <c r="Q17" s="1572"/>
      <c r="R17" s="1573"/>
      <c r="S17" s="1574"/>
      <c r="T17" s="1573"/>
      <c r="U17" s="1574"/>
      <c r="V17" s="1573"/>
      <c r="W17" s="1574"/>
      <c r="X17" s="1567"/>
      <c r="Y17" s="3695"/>
      <c r="Z17" s="1575"/>
      <c r="AA17" s="1576">
        <v>1</v>
      </c>
      <c r="AB17" s="1576">
        <v>1</v>
      </c>
      <c r="AC17" s="1576">
        <v>1</v>
      </c>
    </row>
    <row r="18" spans="1:29" ht="28.5">
      <c r="A18" s="532"/>
      <c r="B18" s="2616" t="s">
        <v>2564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695"/>
      <c r="Q18" s="2604" t="str">
        <f>B18</f>
        <v>基础设施水平</v>
      </c>
      <c r="R18" s="1573" t="s">
        <v>8</v>
      </c>
      <c r="S18" s="1574">
        <f>F18</f>
        <v>100</v>
      </c>
      <c r="T18" s="1573" t="s">
        <v>8</v>
      </c>
      <c r="U18" s="1574">
        <f>H18</f>
        <v>100</v>
      </c>
      <c r="V18" s="1573" t="s">
        <v>8</v>
      </c>
      <c r="W18" s="1574">
        <f>J18</f>
        <v>100</v>
      </c>
      <c r="X18" s="2606"/>
      <c r="Y18" s="3695"/>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95"/>
      <c r="Q19" s="2604"/>
      <c r="R19" s="1573"/>
      <c r="S19" s="1574"/>
      <c r="T19" s="1573"/>
      <c r="U19" s="1574"/>
      <c r="V19" s="1573"/>
      <c r="W19" s="1574"/>
      <c r="X19" s="2606"/>
      <c r="Y19" s="3695"/>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695"/>
      <c r="Q20" s="1572" t="str">
        <f>B20</f>
        <v>自然及人文环境</v>
      </c>
      <c r="R20" s="1573" t="s">
        <v>8</v>
      </c>
      <c r="S20" s="1574">
        <f>F20</f>
        <v>100</v>
      </c>
      <c r="T20" s="1573" t="s">
        <v>8</v>
      </c>
      <c r="U20" s="1574">
        <f>H20</f>
        <v>100</v>
      </c>
      <c r="V20" s="1573" t="s">
        <v>8</v>
      </c>
      <c r="W20" s="1574">
        <f>J20</f>
        <v>100</v>
      </c>
      <c r="X20" s="1567"/>
      <c r="Y20" s="369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695"/>
      <c r="Q21" s="1572"/>
      <c r="R21" s="1573"/>
      <c r="S21" s="1574"/>
      <c r="T21" s="1573"/>
      <c r="U21" s="1574"/>
      <c r="V21" s="1573"/>
      <c r="W21" s="1574"/>
      <c r="X21" s="1567"/>
      <c r="Y21" s="3695"/>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95"/>
      <c r="Q22" s="1572" t="str">
        <f>B22</f>
        <v>楼层</v>
      </c>
      <c r="R22" s="1573" t="s">
        <v>8</v>
      </c>
      <c r="S22" s="1574">
        <f>F22</f>
        <v>100</v>
      </c>
      <c r="T22" s="1573" t="s">
        <v>8</v>
      </c>
      <c r="U22" s="1574">
        <f>H22</f>
        <v>100</v>
      </c>
      <c r="V22" s="1573" t="s">
        <v>8</v>
      </c>
      <c r="W22" s="1574">
        <f>J22</f>
        <v>100</v>
      </c>
      <c r="X22" s="1567"/>
      <c r="Y22" s="369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95"/>
      <c r="Q23" s="1572">
        <f>B23</f>
        <v>111</v>
      </c>
      <c r="R23" s="1573" t="s">
        <v>8</v>
      </c>
      <c r="S23" s="1574">
        <f>F23</f>
        <v>100</v>
      </c>
      <c r="T23" s="1573" t="s">
        <v>8</v>
      </c>
      <c r="U23" s="1574">
        <f>H23</f>
        <v>100</v>
      </c>
      <c r="V23" s="1573" t="s">
        <v>8</v>
      </c>
      <c r="W23" s="1574">
        <f>J23</f>
        <v>100</v>
      </c>
      <c r="X23" s="1567"/>
      <c r="Y23" s="369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95"/>
      <c r="Q24" s="1572">
        <f t="shared" ref="Q24:Q34" si="11">B24</f>
        <v>111</v>
      </c>
      <c r="R24" s="1573" t="s">
        <v>8</v>
      </c>
      <c r="S24" s="1574">
        <f>F24</f>
        <v>100</v>
      </c>
      <c r="T24" s="1573" t="s">
        <v>8</v>
      </c>
      <c r="U24" s="1574">
        <f>H24</f>
        <v>100</v>
      </c>
      <c r="V24" s="1573" t="s">
        <v>8</v>
      </c>
      <c r="W24" s="1574">
        <f>J24</f>
        <v>100</v>
      </c>
      <c r="X24" s="1567"/>
      <c r="Y24" s="3695"/>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695"/>
      <c r="Q25" s="1150">
        <f t="shared" si="11"/>
        <v>111</v>
      </c>
      <c r="R25" s="1568" t="s">
        <v>8</v>
      </c>
      <c r="S25" s="1569">
        <f>F25</f>
        <v>100</v>
      </c>
      <c r="T25" s="1568" t="s">
        <v>8</v>
      </c>
      <c r="U25" s="1569">
        <f>H25</f>
        <v>100</v>
      </c>
      <c r="V25" s="1568" t="s">
        <v>8</v>
      </c>
      <c r="W25" s="1569">
        <f>J25</f>
        <v>100</v>
      </c>
      <c r="X25" s="1570"/>
      <c r="Y25" s="3695"/>
      <c r="Z25" s="1149">
        <f>Q25</f>
        <v>111</v>
      </c>
      <c r="AA25" s="1576">
        <f>D25/F25</f>
        <v>1</v>
      </c>
      <c r="AB25" s="1576">
        <f>D25/H25</f>
        <v>1</v>
      </c>
      <c r="AC25" s="1576">
        <f>D25/J25</f>
        <v>1</v>
      </c>
    </row>
    <row r="26" spans="1:29" ht="15">
      <c r="A26" s="2933" t="s">
        <v>2760</v>
      </c>
      <c r="B26" s="172" t="s">
        <v>809</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696"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97" t="s">
        <v>822</v>
      </c>
      <c r="Z26" s="1575" t="str">
        <f t="shared" ref="Z26:Z34" si="15">Q26</f>
        <v>公共部分装修</v>
      </c>
      <c r="AA26" s="1576">
        <f t="shared" si="3"/>
        <v>1</v>
      </c>
      <c r="AB26" s="1576">
        <f t="shared" si="4"/>
        <v>1</v>
      </c>
      <c r="AC26" s="1576">
        <f t="shared" si="5"/>
        <v>1</v>
      </c>
    </row>
    <row r="27" spans="1:29" s="1338" customFormat="1" ht="15">
      <c r="A27" s="603"/>
      <c r="B27" s="527" t="s">
        <v>810</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697"/>
      <c r="Q27" s="1605" t="str">
        <f t="shared" si="11"/>
        <v>成新率</v>
      </c>
      <c r="R27" s="1577" t="s">
        <v>8</v>
      </c>
      <c r="S27" s="1578" t="e">
        <f t="shared" si="12"/>
        <v>#N/A</v>
      </c>
      <c r="T27" s="1577" t="s">
        <v>8</v>
      </c>
      <c r="U27" s="1578" t="e">
        <f t="shared" si="13"/>
        <v>#N/A</v>
      </c>
      <c r="V27" s="1577" t="s">
        <v>8</v>
      </c>
      <c r="W27" s="1578" t="e">
        <f t="shared" si="14"/>
        <v>#N/A</v>
      </c>
      <c r="X27" s="1579"/>
      <c r="Y27" s="3697"/>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97"/>
      <c r="Q28" s="1572" t="str">
        <f t="shared" si="11"/>
        <v>物业等级</v>
      </c>
      <c r="R28" s="1573" t="s">
        <v>8</v>
      </c>
      <c r="S28" s="1574">
        <f t="shared" si="12"/>
        <v>100</v>
      </c>
      <c r="T28" s="1573" t="s">
        <v>8</v>
      </c>
      <c r="U28" s="1574">
        <f t="shared" si="13"/>
        <v>100</v>
      </c>
      <c r="V28" s="1573" t="s">
        <v>8</v>
      </c>
      <c r="W28" s="1574">
        <f t="shared" si="14"/>
        <v>100</v>
      </c>
      <c r="X28" s="1567"/>
      <c r="Y28" s="3697"/>
      <c r="Z28" s="1575" t="str">
        <f t="shared" si="15"/>
        <v>物业等级</v>
      </c>
      <c r="AA28" s="1576">
        <f t="shared" si="3"/>
        <v>1</v>
      </c>
      <c r="AB28" s="1576">
        <f t="shared" si="4"/>
        <v>1</v>
      </c>
      <c r="AC28" s="1576">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697"/>
      <c r="Q29" s="1572" t="str">
        <f t="shared" si="11"/>
        <v>有无电梯</v>
      </c>
      <c r="R29" s="1573" t="s">
        <v>8</v>
      </c>
      <c r="S29" s="1574">
        <f t="shared" si="12"/>
        <v>100</v>
      </c>
      <c r="T29" s="1573" t="s">
        <v>8</v>
      </c>
      <c r="U29" s="1574">
        <f t="shared" si="13"/>
        <v>100</v>
      </c>
      <c r="V29" s="1573" t="s">
        <v>8</v>
      </c>
      <c r="W29" s="1574">
        <f t="shared" si="14"/>
        <v>100</v>
      </c>
      <c r="X29" s="1567"/>
      <c r="Y29" s="3697"/>
      <c r="Z29" s="1575" t="str">
        <f t="shared" si="15"/>
        <v>有无电梯</v>
      </c>
      <c r="AA29" s="1576">
        <f t="shared" si="3"/>
        <v>1</v>
      </c>
      <c r="AB29" s="1576">
        <f t="shared" si="4"/>
        <v>1</v>
      </c>
      <c r="AC29" s="1576">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697"/>
      <c r="Q30" s="1572" t="str">
        <f t="shared" si="11"/>
        <v>建筑面积</v>
      </c>
      <c r="R30" s="1573" t="s">
        <v>8</v>
      </c>
      <c r="S30" s="1574" t="e">
        <f t="shared" si="12"/>
        <v>#N/A</v>
      </c>
      <c r="T30" s="1573" t="s">
        <v>8</v>
      </c>
      <c r="U30" s="1574" t="e">
        <f t="shared" si="13"/>
        <v>#N/A</v>
      </c>
      <c r="V30" s="1573" t="s">
        <v>8</v>
      </c>
      <c r="W30" s="1574" t="e">
        <f t="shared" si="14"/>
        <v>#N/A</v>
      </c>
      <c r="X30" s="1567"/>
      <c r="Y30" s="3697"/>
      <c r="Z30" s="1575" t="str">
        <f t="shared" si="15"/>
        <v>建筑面积</v>
      </c>
      <c r="AA30" s="1576" t="e">
        <f t="shared" si="3"/>
        <v>#N/A</v>
      </c>
      <c r="AB30" s="1576" t="e">
        <f t="shared" si="4"/>
        <v>#N/A</v>
      </c>
      <c r="AC30" s="1576" t="e">
        <f t="shared" si="5"/>
        <v>#N/A</v>
      </c>
    </row>
    <row r="31" spans="1:29" s="1219" customFormat="1" ht="15">
      <c r="A31" s="600"/>
      <c r="B31" s="527" t="s">
        <v>825</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697"/>
      <c r="Q31" s="1150" t="str">
        <f t="shared" si="11"/>
        <v>是否封闭</v>
      </c>
      <c r="R31" s="1568" t="s">
        <v>8</v>
      </c>
      <c r="S31" s="1569">
        <f t="shared" si="12"/>
        <v>100</v>
      </c>
      <c r="T31" s="1568" t="s">
        <v>8</v>
      </c>
      <c r="U31" s="1569">
        <f t="shared" si="13"/>
        <v>100</v>
      </c>
      <c r="V31" s="1568" t="s">
        <v>8</v>
      </c>
      <c r="W31" s="1569">
        <f t="shared" si="14"/>
        <v>100</v>
      </c>
      <c r="X31" s="1570"/>
      <c r="Y31" s="3697"/>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697" t="s">
        <v>551</v>
      </c>
      <c r="Q32" s="1572">
        <f t="shared" si="11"/>
        <v>111</v>
      </c>
      <c r="R32" s="1573" t="s">
        <v>8</v>
      </c>
      <c r="S32" s="1574">
        <f t="shared" si="12"/>
        <v>100</v>
      </c>
      <c r="T32" s="1573" t="s">
        <v>8</v>
      </c>
      <c r="U32" s="1574">
        <f t="shared" si="13"/>
        <v>100</v>
      </c>
      <c r="V32" s="1573" t="s">
        <v>8</v>
      </c>
      <c r="W32" s="1574">
        <f t="shared" si="14"/>
        <v>100</v>
      </c>
      <c r="X32" s="1567"/>
      <c r="Y32" s="3697" t="s">
        <v>551</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697"/>
      <c r="Q33" s="1572">
        <f t="shared" si="11"/>
        <v>111</v>
      </c>
      <c r="R33" s="1573" t="s">
        <v>8</v>
      </c>
      <c r="S33" s="1574">
        <f t="shared" si="12"/>
        <v>100</v>
      </c>
      <c r="T33" s="1573" t="s">
        <v>8</v>
      </c>
      <c r="U33" s="1574">
        <f t="shared" si="13"/>
        <v>100</v>
      </c>
      <c r="V33" s="1573" t="s">
        <v>8</v>
      </c>
      <c r="W33" s="1574">
        <f t="shared" si="14"/>
        <v>100</v>
      </c>
      <c r="X33" s="1567"/>
      <c r="Y33" s="3697"/>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697"/>
      <c r="Q34" s="1572">
        <f t="shared" si="11"/>
        <v>111</v>
      </c>
      <c r="R34" s="1573" t="s">
        <v>8</v>
      </c>
      <c r="S34" s="1574">
        <f t="shared" si="12"/>
        <v>100</v>
      </c>
      <c r="T34" s="1573" t="s">
        <v>8</v>
      </c>
      <c r="U34" s="1574">
        <f t="shared" si="13"/>
        <v>100</v>
      </c>
      <c r="V34" s="1573" t="s">
        <v>8</v>
      </c>
      <c r="W34" s="1574">
        <f t="shared" si="14"/>
        <v>100</v>
      </c>
      <c r="X34" s="1567"/>
      <c r="Y34" s="3697"/>
      <c r="Z34" s="1575">
        <f t="shared" si="15"/>
        <v>111</v>
      </c>
      <c r="AA34" s="1576">
        <f t="shared" si="3"/>
        <v>1</v>
      </c>
      <c r="AB34" s="1576">
        <f t="shared" si="4"/>
        <v>1</v>
      </c>
      <c r="AC34" s="1576">
        <f t="shared" si="5"/>
        <v>1</v>
      </c>
    </row>
    <row r="35" spans="1:29" ht="15">
      <c r="A35" s="607" t="s">
        <v>737</v>
      </c>
      <c r="B35" s="886"/>
      <c r="C35" s="2652" t="s">
        <v>1</v>
      </c>
      <c r="D35" s="2653"/>
      <c r="E35" s="2654"/>
      <c r="F35" s="2655"/>
      <c r="G35" s="2656"/>
      <c r="H35" s="2657"/>
      <c r="I35" s="2654"/>
      <c r="J35" s="2657"/>
      <c r="K35" s="1611"/>
      <c r="L35" s="2145"/>
      <c r="M35" s="2146"/>
      <c r="N35" s="2135"/>
      <c r="O35" s="2146"/>
      <c r="P35" s="3661" t="str">
        <f>A35</f>
        <v>成交单价（元/平方米）</v>
      </c>
      <c r="Q35" s="3661"/>
      <c r="R35" s="3775">
        <f>E35</f>
        <v>0</v>
      </c>
      <c r="S35" s="3775"/>
      <c r="T35" s="3775">
        <f>G35</f>
        <v>0</v>
      </c>
      <c r="U35" s="3775"/>
      <c r="V35" s="3775">
        <f>I35</f>
        <v>0</v>
      </c>
      <c r="W35" s="3775"/>
      <c r="X35" s="1559"/>
      <c r="Y35" s="1581"/>
      <c r="Z35" s="1559"/>
      <c r="AA35" s="1559"/>
      <c r="AB35" s="1559"/>
      <c r="AC35" s="1559"/>
    </row>
    <row r="36" spans="1:29" ht="15.75" thickBot="1">
      <c r="A36" s="615" t="s">
        <v>2765</v>
      </c>
      <c r="B36" s="887"/>
      <c r="C36" s="2658" t="e">
        <f>R37</f>
        <v>#DIV/0!</v>
      </c>
      <c r="D36" s="2659"/>
      <c r="E36" s="2660" t="e">
        <f>R36</f>
        <v>#DIV/0!</v>
      </c>
      <c r="F36" s="2660"/>
      <c r="G36" s="2658" t="e">
        <f>T36</f>
        <v>#DIV/0!</v>
      </c>
      <c r="H36" s="2659"/>
      <c r="I36" s="2660" t="e">
        <f>V36</f>
        <v>#DIV/0!</v>
      </c>
      <c r="J36" s="2659"/>
      <c r="K36" s="1612"/>
      <c r="L36" s="2145"/>
      <c r="M36" s="2146"/>
      <c r="N36" s="2135"/>
      <c r="O36" s="2146"/>
      <c r="P36" s="3661" t="str">
        <f>A36</f>
        <v>比较价格（元/平方米）</v>
      </c>
      <c r="Q36" s="3661"/>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1559"/>
      <c r="Y36" s="1559"/>
      <c r="Z36" s="1559"/>
      <c r="AA36" s="1559"/>
      <c r="AB36" s="1559"/>
      <c r="AC36" s="1559"/>
    </row>
    <row r="37" spans="1:29" ht="15.75" thickBot="1">
      <c r="A37" s="621" t="s">
        <v>2941</v>
      </c>
      <c r="B37" s="622"/>
      <c r="C37" s="2661" t="e">
        <f>R37</f>
        <v>#DIV/0!</v>
      </c>
      <c r="D37" s="2661"/>
      <c r="E37" s="2661"/>
      <c r="F37" s="2661"/>
      <c r="G37" s="2661"/>
      <c r="H37" s="2661"/>
      <c r="I37" s="2661"/>
      <c r="J37" s="2661"/>
      <c r="K37" s="1613"/>
      <c r="L37" s="2145"/>
      <c r="M37" s="2146"/>
      <c r="N37" s="2146"/>
      <c r="O37" s="2146"/>
      <c r="P37" s="3658" t="str">
        <f>A37</f>
        <v>估价对象XX用房的比较价格（楼面单价，元/平方米）</v>
      </c>
      <c r="Q37" s="3659"/>
      <c r="R37" s="3774" t="e">
        <f>IF(F1="售价",ROUND(AVERAGE(R36:V36),0),ROUND(AVERAGE(R36:V36),1))</f>
        <v>#DIV/0!</v>
      </c>
      <c r="S37" s="3774"/>
      <c r="T37" s="3774"/>
      <c r="U37" s="3774"/>
      <c r="V37" s="3774"/>
      <c r="W37" s="377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530</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2563</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2564</v>
      </c>
      <c r="C65" s="2623" t="s">
        <v>2565</v>
      </c>
      <c r="D65" s="2623" t="s">
        <v>2566</v>
      </c>
      <c r="E65" s="2623" t="s">
        <v>2567</v>
      </c>
      <c r="F65" s="2623" t="s">
        <v>2568</v>
      </c>
      <c r="G65" s="2623" t="s">
        <v>2569</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828</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2307</v>
      </c>
      <c r="C1" s="3786" t="s">
        <v>2308</v>
      </c>
      <c r="D1" s="3787"/>
      <c r="E1" s="3787"/>
      <c r="F1" s="3787"/>
      <c r="G1" s="3787"/>
      <c r="H1" s="3787"/>
      <c r="I1" s="3787"/>
      <c r="J1" s="3787"/>
      <c r="K1" s="3787"/>
      <c r="L1" s="3787"/>
      <c r="M1" s="3787"/>
      <c r="N1" s="3787"/>
      <c r="O1" s="3787"/>
      <c r="P1" s="3787"/>
      <c r="Q1" s="3787"/>
      <c r="R1" s="3787"/>
      <c r="S1" s="3788"/>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2933</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2932</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2931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2930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83" t="s">
        <v>20</v>
      </c>
      <c r="D22" s="3784"/>
      <c r="E22" s="3784"/>
      <c r="F22" s="3784"/>
      <c r="G22" s="3784"/>
      <c r="H22" s="3784"/>
      <c r="I22" s="3784"/>
      <c r="J22" s="3784"/>
      <c r="K22" s="3784"/>
      <c r="L22" s="3784"/>
      <c r="M22" s="3784"/>
      <c r="N22" s="3784"/>
      <c r="O22" s="3784"/>
      <c r="P22" s="3784"/>
      <c r="Q22" s="3785"/>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43242</v>
      </c>
      <c r="H1" s="2964">
        <f>IF(C1&gt;C13,0,MATCH(C1,C$13:C$100,-1))+IF(SUMIF(C13:C100,C1,D13:D100)=0,13,12)</f>
        <v>13</v>
      </c>
      <c r="I1" s="2964">
        <f ca="1">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3</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廊坊京御房地产开发有限公司：</v>
      </c>
    </row>
    <row r="4" spans="1:4" ht="37.5">
      <c r="A4" s="1792" t="str">
        <f>"受贵公司委托，我公司对"&amp;项目基本情况!K2&amp;项目基本情况!B9&amp;"进行了预评估。"</f>
        <v>受贵公司委托，我公司对河北省廊坊市固安县工业园区五号路北、六号路西出让国有建设用地使用权抵押价格进行了预评估。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廊坊京御房地产开发有限公司使用的、位于河北省廊坊市固安县工业园区五号路北、六号路西出让国有建设用地使用权。根据《国有土地使用证》[]，估价对象（分摊）出让国有建设用地使用权面积为98842.6平方米。根据《建设工程规划许可证》[]、《出让合同》[]，估价对象规划建筑面积为247106.5平方米。</v>
      </c>
    </row>
    <row r="7" spans="1:4" ht="93.75">
      <c r="A7" s="2899" t="s">
        <v>2753</v>
      </c>
    </row>
    <row r="8" spans="1:4" ht="18.75">
      <c r="A8" s="1795" t="s">
        <v>1908</v>
      </c>
    </row>
    <row r="9" spans="1:4" ht="56.25">
      <c r="A9" s="1797"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2018年5月22日（评估专业人员勘察现场之日）</v>
      </c>
    </row>
    <row r="12" spans="1:4" ht="18.75">
      <c r="A12" s="1798" t="s">
        <v>2029</v>
      </c>
    </row>
    <row r="13" spans="1:4" ht="18.75">
      <c r="A13" s="1792" t="s">
        <v>2075</v>
      </c>
    </row>
    <row r="14" spans="1:4" ht="37.5">
      <c r="A14" s="1792" t="str">
        <f>"根据"&amp;项目基本情况!F12&amp;"，本次评估估价对象证载（地类）用途为"&amp;项目基本情况!B12&amp;"。"</f>
        <v>根据《国有土地使用证》[]，本次评估估价对象证载（地类）用途为城镇住宅用地。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根据《国有土地使用证》[]，估价对象（分摊）出让国有建设用地使用权面积为98842.6平方米。根据《建设工程规划许可证》[]、《出让合同》[]，估价对象规划建筑面积为247106.5平方米。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1" t="s">
        <v>2754</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5月22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8" t="s">
        <v>2042</v>
      </c>
      <c r="B1" s="3498"/>
      <c r="C1" s="3498"/>
      <c r="D1" s="3498"/>
      <c r="E1" s="3498"/>
      <c r="F1" s="3498"/>
      <c r="G1" s="3498"/>
      <c r="H1" s="3498"/>
      <c r="I1" s="3498"/>
      <c r="J1" s="3498"/>
      <c r="K1" s="3498"/>
      <c r="L1" s="3498"/>
      <c r="M1" s="3498"/>
      <c r="N1" s="3498"/>
      <c r="O1" s="3498"/>
      <c r="P1" s="3498"/>
      <c r="Q1" s="3498"/>
      <c r="R1" s="3498"/>
    </row>
    <row r="2" spans="1:18">
      <c r="A2" s="1808" t="s">
        <v>2044</v>
      </c>
      <c r="B2" s="1808"/>
      <c r="C2" s="1808"/>
      <c r="D2" s="1808"/>
      <c r="E2" s="1808"/>
      <c r="F2" s="1808"/>
      <c r="G2" s="1808"/>
      <c r="H2" s="1808"/>
      <c r="I2" s="1809"/>
      <c r="J2" s="1809"/>
      <c r="K2" s="1810" t="str">
        <f>"估价期日："&amp;TEXT(项目基本情况!D3,"yyyy年m月d日;;")</f>
        <v>估价期日：2018年5月22日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499" t="s">
        <v>2033</v>
      </c>
      <c r="B3" s="3499" t="s">
        <v>2736</v>
      </c>
      <c r="C3" s="3500" t="s">
        <v>2034</v>
      </c>
      <c r="D3" s="3499" t="s">
        <v>2740</v>
      </c>
      <c r="E3" s="3494" t="s">
        <v>2035</v>
      </c>
      <c r="F3" s="3494"/>
      <c r="G3" s="3494"/>
      <c r="H3" s="3494" t="s">
        <v>2036</v>
      </c>
      <c r="I3" s="3494"/>
      <c r="J3" s="3494"/>
      <c r="K3" s="3500" t="s">
        <v>2037</v>
      </c>
      <c r="L3" s="3500" t="s">
        <v>2038</v>
      </c>
      <c r="M3" s="3499" t="s">
        <v>2737</v>
      </c>
      <c r="N3" s="3501" t="str">
        <f>"（分摊）"&amp;项目基本情况!B16&amp;"国有建设用地使用权面积/㎡"</f>
        <v>（分摊）出让国有建设用地使用权面积/㎡</v>
      </c>
      <c r="O3" s="3499" t="s">
        <v>2067</v>
      </c>
      <c r="P3" s="3500" t="s">
        <v>2047</v>
      </c>
      <c r="Q3" s="3500" t="s">
        <v>2068</v>
      </c>
      <c r="R3" s="3500" t="s">
        <v>2039</v>
      </c>
    </row>
    <row r="4" spans="1:18" ht="36.75" customHeight="1">
      <c r="A4" s="3499"/>
      <c r="B4" s="3499"/>
      <c r="C4" s="3500"/>
      <c r="D4" s="3499"/>
      <c r="E4" s="2675" t="s">
        <v>2046</v>
      </c>
      <c r="F4" s="2675" t="s">
        <v>2749</v>
      </c>
      <c r="G4" s="2675" t="s">
        <v>2040</v>
      </c>
      <c r="H4" s="2675" t="s">
        <v>2041</v>
      </c>
      <c r="I4" s="2675" t="s">
        <v>2750</v>
      </c>
      <c r="J4" s="2675" t="s">
        <v>2040</v>
      </c>
      <c r="K4" s="3500"/>
      <c r="L4" s="3500"/>
      <c r="M4" s="3499"/>
      <c r="N4" s="3501"/>
      <c r="O4" s="3499"/>
      <c r="P4" s="3500"/>
      <c r="Q4" s="3500"/>
      <c r="R4" s="3500"/>
    </row>
    <row r="5" spans="1:18" ht="135" customHeight="1">
      <c r="A5" s="1944" t="s">
        <v>2660</v>
      </c>
      <c r="B5" s="2893" t="s">
        <v>2658</v>
      </c>
      <c r="C5" s="2674">
        <v>22</v>
      </c>
      <c r="D5" s="2673" t="s">
        <v>2659</v>
      </c>
      <c r="E5" s="1811" t="str">
        <f>项目基本情况!B12</f>
        <v>城镇住宅用地</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98842.6</v>
      </c>
      <c r="O5" s="1811">
        <f>项目基本情况!C21</f>
        <v>247106.5</v>
      </c>
      <c r="P5" s="1811">
        <f ca="1">结果表!E42</f>
        <v>12329</v>
      </c>
      <c r="Q5" s="1811">
        <f ca="1">结果表!D42</f>
        <v>4932</v>
      </c>
      <c r="R5" s="1812">
        <f ca="1">结果表!C42</f>
        <v>121862</v>
      </c>
    </row>
    <row r="6" spans="1:18">
      <c r="A6" s="3495" t="str">
        <f>IF(项目基本情况!B9="市场价格","——","抵押价格")</f>
        <v>抵押价格</v>
      </c>
      <c r="B6" s="3496"/>
      <c r="C6" s="3496"/>
      <c r="D6" s="3496"/>
      <c r="E6" s="3496"/>
      <c r="F6" s="3496"/>
      <c r="G6" s="3496"/>
      <c r="H6" s="3496"/>
      <c r="I6" s="3496"/>
      <c r="J6" s="3496"/>
      <c r="K6" s="3496"/>
      <c r="L6" s="3496"/>
      <c r="M6" s="3496"/>
      <c r="N6" s="3496"/>
      <c r="O6" s="3496"/>
      <c r="P6" s="3496"/>
      <c r="Q6" s="3497"/>
      <c r="R6" s="1813">
        <f ca="1">结果表!O39</f>
        <v>121862</v>
      </c>
    </row>
    <row r="7" spans="1:18">
      <c r="A7" s="3495" t="str">
        <f>IF(项目基本情况!B9="市场价格","——",IF(项目基本情况!E8="已注销及未注销","抵押担保权已注销时的抵押价格","——"))</f>
        <v>——</v>
      </c>
      <c r="B7" s="3496"/>
      <c r="C7" s="3496"/>
      <c r="D7" s="3496"/>
      <c r="E7" s="3496"/>
      <c r="F7" s="3496"/>
      <c r="G7" s="3496"/>
      <c r="H7" s="3496"/>
      <c r="I7" s="3496"/>
      <c r="J7" s="3496"/>
      <c r="K7" s="3496"/>
      <c r="L7" s="3496"/>
      <c r="M7" s="3496"/>
      <c r="N7" s="3496"/>
      <c r="O7" s="3496"/>
      <c r="P7" s="3496"/>
      <c r="Q7" s="3497"/>
      <c r="R7" s="1813" t="str">
        <f>结果表!O40</f>
        <v>——</v>
      </c>
    </row>
    <row r="8" spans="1:18">
      <c r="A8" s="3495" t="str">
        <f>IF(项目基本情况!B9="市场价格","——",项目基本情况!E9)</f>
        <v>——</v>
      </c>
      <c r="B8" s="3496"/>
      <c r="C8" s="3496"/>
      <c r="D8" s="3496"/>
      <c r="E8" s="3496"/>
      <c r="F8" s="3496"/>
      <c r="G8" s="3496"/>
      <c r="H8" s="3496"/>
      <c r="I8" s="3496"/>
      <c r="J8" s="3496"/>
      <c r="K8" s="3496"/>
      <c r="L8" s="3496"/>
      <c r="M8" s="3496"/>
      <c r="N8" s="3496"/>
      <c r="O8" s="3496"/>
      <c r="P8" s="3496"/>
      <c r="Q8" s="3497"/>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03" t="s">
        <v>2069</v>
      </c>
      <c r="B1" s="3503"/>
      <c r="C1" s="3503"/>
      <c r="D1" s="3503"/>
    </row>
    <row r="2" spans="1:4" ht="47.25" customHeight="1">
      <c r="A2" s="3504" t="str">
        <f>"1.权利限制："&amp;项目基本情况!L24&amp;"未设定租赁等其他他项权利。"</f>
        <v>1.权利限制：根据估价对象《不动产权证书》原件、《国有土地使用权》复印件，截至估价期日，估价对象抵押权未见登记。未设定租赁等其他他项权利。</v>
      </c>
      <c r="B2" s="3504"/>
      <c r="C2" s="3504"/>
      <c r="D2" s="3504"/>
    </row>
    <row r="3" spans="1:4" ht="48" customHeight="1">
      <c r="A3" s="35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3"/>
      <c r="C3" s="3503"/>
      <c r="D3" s="3503"/>
    </row>
    <row r="4" spans="1:4" ht="36.75" customHeight="1">
      <c r="A4" s="3503" t="str">
        <f>"3.估价规划限制条件：详见"&amp;项目基本情况!E21&amp;"。"</f>
        <v>3.估价规划限制条件：详见《建设工程规划许可证》[]、《出让合同》[]。</v>
      </c>
      <c r="B4" s="3503"/>
      <c r="C4" s="3503"/>
      <c r="D4" s="3503"/>
    </row>
    <row r="5" spans="1:4">
      <c r="A5" s="3502" t="s">
        <v>2070</v>
      </c>
      <c r="B5" s="3502"/>
      <c r="C5" s="3502"/>
      <c r="D5" s="3502"/>
    </row>
    <row r="6" spans="1:4">
      <c r="A6" s="3503" t="s">
        <v>2048</v>
      </c>
      <c r="B6" s="3503"/>
      <c r="C6" s="3503"/>
      <c r="D6" s="3503"/>
    </row>
    <row r="7" spans="1:4" ht="33" customHeight="1">
      <c r="A7" s="3503" t="s">
        <v>2581</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3"/>
      <c r="C8" s="3503"/>
      <c r="D8" s="3503"/>
    </row>
    <row r="9" spans="1:4" ht="33.75" customHeight="1">
      <c r="A9" s="35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3"/>
      <c r="C9" s="3503"/>
      <c r="D9" s="3503"/>
    </row>
    <row r="10" spans="1:4">
      <c r="A10" s="3503" t="str">
        <f>IF(项目基本情况!B8="抵押","4.估价师所知悉的法定优先受偿款情况为：","——")</f>
        <v>4.估价师所知悉的法定优先受偿款情况为：</v>
      </c>
      <c r="B10" s="3503"/>
      <c r="C10" s="3503"/>
      <c r="D10" s="3503"/>
    </row>
    <row r="11" spans="1:4" ht="37.5" customHeight="1">
      <c r="A11" s="35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5"/>
      <c r="C11" s="3505"/>
      <c r="D11" s="3505"/>
    </row>
    <row r="12" spans="1:4" ht="168" customHeight="1">
      <c r="A12" s="3502" t="s">
        <v>2072</v>
      </c>
      <c r="B12" s="3502"/>
      <c r="C12" s="3502"/>
      <c r="D12" s="3502"/>
    </row>
    <row r="13" spans="1:4">
      <c r="A13" s="3506" t="s">
        <v>2751</v>
      </c>
      <c r="B13" s="3506"/>
      <c r="C13" s="3506"/>
      <c r="D13" s="3506"/>
    </row>
    <row r="14" spans="1:4">
      <c r="A14" s="3505" t="str">
        <f>IF(项目基本情况!B8="抵押","综上，"&amp;结果表!K47,"——")</f>
        <v>综上，本次评估不存在估价师知悉的法定优先受偿款</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2707</v>
      </c>
      <c r="B17" s="3503"/>
      <c r="C17" s="3503"/>
      <c r="D17" s="3503"/>
    </row>
    <row r="18" spans="1:4">
      <c r="A18" s="3503" t="s">
        <v>2699</v>
      </c>
      <c r="B18" s="3503"/>
      <c r="C18" s="3503"/>
      <c r="D18" s="3503"/>
    </row>
    <row r="19" spans="1:4">
      <c r="A19" s="2894" t="s">
        <v>2700</v>
      </c>
      <c r="B19" s="2894" t="s">
        <v>2701</v>
      </c>
      <c r="C19" s="2894" t="s">
        <v>2702</v>
      </c>
      <c r="D19" s="2894" t="s">
        <v>2703</v>
      </c>
    </row>
    <row r="20" spans="1:4">
      <c r="A20" s="2894" t="str">
        <f>项目基本情况!B4</f>
        <v>欧红伟</v>
      </c>
      <c r="B20" s="2894">
        <f ca="1">项目基本情况!C4</f>
        <v>2000110082</v>
      </c>
      <c r="C20" s="2896"/>
      <c r="D20" s="1801" t="s">
        <v>2708</v>
      </c>
    </row>
    <row r="21" spans="1:4">
      <c r="A21" s="2894" t="str">
        <f>项目基本情况!D4</f>
        <v>崔锴</v>
      </c>
      <c r="B21" s="2894">
        <f ca="1">项目基本情况!E4</f>
        <v>2010110070</v>
      </c>
      <c r="C21" s="2896"/>
      <c r="D21" s="1801" t="s">
        <v>2709</v>
      </c>
    </row>
    <row r="23" spans="1:4">
      <c r="A23" s="3503" t="s">
        <v>2704</v>
      </c>
      <c r="B23" s="3503"/>
      <c r="C23" s="3503"/>
      <c r="D23" s="3503"/>
    </row>
    <row r="24" spans="1:4">
      <c r="A24" s="2894" t="s">
        <v>2700</v>
      </c>
      <c r="B24" s="2894" t="s">
        <v>2705</v>
      </c>
      <c r="C24" s="2894" t="s">
        <v>2702</v>
      </c>
      <c r="D24" s="2894" t="s">
        <v>2703</v>
      </c>
    </row>
    <row r="25" spans="1:4">
      <c r="A25" s="2897" t="s">
        <v>2706</v>
      </c>
      <c r="B25" s="2894" t="s">
        <v>953</v>
      </c>
      <c r="C25" s="2896"/>
      <c r="D25" s="1801" t="s">
        <v>2709</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14" t="s">
        <v>53</v>
      </c>
      <c r="B15" s="3515" t="s">
        <v>847</v>
      </c>
      <c r="C15" s="3511"/>
    </row>
    <row r="16" spans="1:7" ht="14.25">
      <c r="A16" s="3514"/>
      <c r="B16" s="3512" t="s">
        <v>54</v>
      </c>
      <c r="C16" s="1171" t="s">
        <v>53</v>
      </c>
    </row>
    <row r="17" spans="1:3" ht="14.25">
      <c r="A17" s="3514"/>
      <c r="B17" s="3512"/>
      <c r="C17" s="1171" t="s">
        <v>55</v>
      </c>
    </row>
    <row r="18" spans="1:3" ht="14.25">
      <c r="A18" s="3514"/>
      <c r="B18" s="3512"/>
      <c r="C18" s="1171" t="s">
        <v>56</v>
      </c>
    </row>
    <row r="19" spans="1:3" ht="14.25">
      <c r="A19" s="3514"/>
      <c r="B19" s="3510" t="s">
        <v>57</v>
      </c>
      <c r="C19" s="3511"/>
    </row>
    <row r="20" spans="1:3" ht="14.25">
      <c r="A20" s="1172" t="s">
        <v>58</v>
      </c>
      <c r="B20" s="1173"/>
      <c r="C20" s="1174"/>
    </row>
    <row r="21" spans="1:3" ht="14.25">
      <c r="A21" s="3513" t="s">
        <v>59</v>
      </c>
      <c r="B21" s="3510" t="s">
        <v>60</v>
      </c>
      <c r="C21" s="3511"/>
    </row>
    <row r="22" spans="1:3" ht="14.25">
      <c r="A22" s="3513"/>
      <c r="B22" s="3510" t="s">
        <v>61</v>
      </c>
      <c r="C22" s="3511"/>
    </row>
    <row r="23" spans="1:3" ht="14.25">
      <c r="A23" s="3513"/>
      <c r="B23" s="3510" t="s">
        <v>62</v>
      </c>
      <c r="C23" s="3511"/>
    </row>
    <row r="24" spans="1:3" ht="14.25">
      <c r="A24" s="3513"/>
      <c r="B24" s="3516" t="s">
        <v>63</v>
      </c>
      <c r="C24" s="1175" t="s">
        <v>838</v>
      </c>
    </row>
    <row r="25" spans="1:3" ht="14.25">
      <c r="A25" s="3513"/>
      <c r="B25" s="3517"/>
      <c r="C25" s="1175" t="s">
        <v>839</v>
      </c>
    </row>
    <row r="26" spans="1:3" ht="14.25">
      <c r="A26" s="3513"/>
      <c r="B26" s="3517"/>
      <c r="C26" s="1175" t="s">
        <v>840</v>
      </c>
    </row>
    <row r="27" spans="1:3" ht="14.25">
      <c r="A27" s="3513"/>
      <c r="B27" s="3517"/>
      <c r="C27" s="1175" t="s">
        <v>841</v>
      </c>
    </row>
    <row r="28" spans="1:3" ht="14.25">
      <c r="A28" s="3513"/>
      <c r="B28" s="3517"/>
      <c r="C28" s="1175" t="s">
        <v>842</v>
      </c>
    </row>
    <row r="29" spans="1:3" ht="14.25">
      <c r="A29" s="3513"/>
      <c r="B29" s="3517"/>
      <c r="C29" s="1175" t="s">
        <v>843</v>
      </c>
    </row>
    <row r="30" spans="1:3" ht="14.25">
      <c r="A30" s="3513"/>
      <c r="B30" s="3517"/>
      <c r="C30" s="1175" t="s">
        <v>844</v>
      </c>
    </row>
    <row r="31" spans="1:3" ht="14.25">
      <c r="A31" s="3513"/>
      <c r="B31" s="3517"/>
      <c r="C31" s="1175" t="s">
        <v>845</v>
      </c>
    </row>
    <row r="32" spans="1:3" ht="14.25">
      <c r="A32" s="3513"/>
      <c r="B32" s="3517"/>
      <c r="C32" s="1175" t="s">
        <v>1648</v>
      </c>
    </row>
    <row r="33" spans="1:3" ht="14.25">
      <c r="A33" s="3513"/>
      <c r="B33" s="3507" t="s">
        <v>1654</v>
      </c>
      <c r="C33" s="1175" t="s">
        <v>1649</v>
      </c>
    </row>
    <row r="34" spans="1:3" ht="14.25">
      <c r="A34" s="3513"/>
      <c r="B34" s="3508"/>
      <c r="C34" s="1180" t="s">
        <v>1650</v>
      </c>
    </row>
    <row r="35" spans="1:3" ht="14.25">
      <c r="A35" s="3513"/>
      <c r="B35" s="3508"/>
      <c r="C35" s="1181" t="s">
        <v>1651</v>
      </c>
    </row>
    <row r="36" spans="1:3" ht="14.25">
      <c r="A36" s="3513"/>
      <c r="B36" s="3508"/>
      <c r="C36" s="1181" t="s">
        <v>1652</v>
      </c>
    </row>
    <row r="37" spans="1:3" ht="14.25">
      <c r="A37" s="3513"/>
      <c r="B37" s="3509"/>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43244</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2580</v>
      </c>
      <c r="B15" s="2344">
        <v>1120070085</v>
      </c>
      <c r="C15" s="3032">
        <v>43814</v>
      </c>
      <c r="D15" s="2344" t="s">
        <v>2580</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2057</v>
      </c>
      <c r="B24" s="2346" t="s">
        <v>2057</v>
      </c>
      <c r="C24" s="3032"/>
      <c r="D24" s="3034" t="s">
        <v>2057</v>
      </c>
      <c r="E24" s="2346" t="s">
        <v>2057</v>
      </c>
      <c r="F24" s="2347"/>
    </row>
    <row r="25" spans="1:7" ht="20.25" customHeight="1">
      <c r="A25" s="3518" t="s">
        <v>1930</v>
      </c>
      <c r="B25" s="3518"/>
      <c r="C25" s="3518"/>
      <c r="D25" s="3518"/>
      <c r="E25" s="3518"/>
      <c r="F25" s="3518"/>
      <c r="G25" s="3518"/>
    </row>
    <row r="26" spans="1:7" ht="20.25" customHeight="1">
      <c r="A26" s="3519" t="s">
        <v>1931</v>
      </c>
      <c r="B26" s="3519"/>
      <c r="C26" s="3519"/>
      <c r="D26" s="3519" t="s">
        <v>1932</v>
      </c>
      <c r="E26" s="3519"/>
      <c r="F26" s="3519"/>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2018-05-24T05:56:59Z</dcterms:modified>
</cp:coreProperties>
</file>