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26" i="80" l="1"/>
  <c r="U5" i="43" l="1"/>
  <c r="D15" i="82"/>
  <c r="N6" i="1" l="1"/>
  <c r="H16" i="80"/>
  <c r="U7" i="43" l="1"/>
  <c r="U8" i="43"/>
  <c r="U9" i="43"/>
  <c r="U10" i="43"/>
  <c r="U11" i="43"/>
  <c r="U12" i="43"/>
  <c r="U13" i="43"/>
  <c r="U14" i="43"/>
  <c r="U15" i="43"/>
  <c r="U16" i="43"/>
  <c r="U6" i="43"/>
  <c r="D37" i="43"/>
  <c r="D32" i="82"/>
  <c r="D17" i="82"/>
  <c r="C6" i="80" s="1"/>
  <c r="C25" i="80"/>
  <c r="K13" i="3" l="1"/>
  <c r="C26" i="80"/>
  <c r="C27" i="80"/>
  <c r="D25" i="80"/>
  <c r="E27" i="80" s="1"/>
  <c r="I13" i="3"/>
  <c r="D18" i="82"/>
  <c r="C5" i="80"/>
  <c r="Q72" i="86"/>
  <c r="Q59" i="86"/>
  <c r="K59" i="86"/>
  <c r="P74" i="86" s="1"/>
  <c r="Q58" i="86"/>
  <c r="Q51" i="86"/>
  <c r="J50" i="86"/>
  <c r="J49" i="86"/>
  <c r="M47" i="86"/>
  <c r="D46" i="86"/>
  <c r="F34" i="86"/>
  <c r="F62" i="86" s="1"/>
  <c r="F33" i="86"/>
  <c r="F61" i="86" s="1"/>
  <c r="F32" i="86"/>
  <c r="F60" i="86" s="1"/>
  <c r="F28" i="86"/>
  <c r="F23" i="86"/>
  <c r="D23" i="86" s="1"/>
  <c r="F21" i="86"/>
  <c r="M20" i="86"/>
  <c r="F20" i="86"/>
  <c r="M19" i="86"/>
  <c r="M18" i="86"/>
  <c r="F18" i="86"/>
  <c r="F17" i="86"/>
  <c r="F15" i="86"/>
  <c r="AM6" i="1"/>
  <c r="D33" i="83"/>
  <c r="D24" i="86" l="1"/>
  <c r="P61" i="86"/>
  <c r="D22" i="86"/>
  <c r="Q21" i="1"/>
  <c r="Q72" i="85" l="1"/>
  <c r="Q59" i="85"/>
  <c r="K59" i="85"/>
  <c r="P74" i="85" s="1"/>
  <c r="Q58" i="85"/>
  <c r="Q51" i="85"/>
  <c r="J50" i="85"/>
  <c r="J49" i="85"/>
  <c r="M47" i="85"/>
  <c r="D46" i="85"/>
  <c r="F33" i="85"/>
  <c r="F61" i="85" s="1"/>
  <c r="F32" i="85"/>
  <c r="F60" i="85" s="1"/>
  <c r="F28" i="85"/>
  <c r="F23" i="85"/>
  <c r="D24" i="85" s="1"/>
  <c r="D23" i="85"/>
  <c r="F21" i="85"/>
  <c r="F20" i="85"/>
  <c r="M19" i="85"/>
  <c r="M18"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35" i="1"/>
  <c r="B29" i="1"/>
  <c r="B21" i="1"/>
  <c r="H18" i="80"/>
  <c r="D9" i="80"/>
  <c r="E9" i="80" s="1"/>
  <c r="E6" i="80"/>
  <c r="E5" i="80"/>
  <c r="E4" i="80" l="1"/>
  <c r="D1" i="83"/>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s="1"/>
  <c r="E15" i="4"/>
  <c r="F8" i="1" s="1"/>
  <c r="G8" i="1" s="1"/>
  <c r="A7" i="1"/>
  <c r="G1" i="86"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c r="U29" i="34"/>
  <c r="E32" i="6"/>
  <c r="G1" i="68"/>
  <c r="E19" i="69"/>
  <c r="E19" i="68"/>
  <c r="E19" i="11"/>
  <c r="C6" i="43"/>
  <c r="B19" i="53"/>
  <c r="B37" i="72" s="1"/>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7" i="86"/>
  <c r="E10" i="76"/>
  <c r="F36" i="15"/>
  <c r="F40" i="15"/>
  <c r="M26" i="86"/>
  <c r="F8" i="86"/>
  <c r="M6" i="86"/>
  <c r="M22" i="15"/>
  <c r="M23" i="15"/>
  <c r="E12" i="76"/>
  <c r="M26" i="15"/>
  <c r="F13" i="86"/>
  <c r="F16" i="86"/>
  <c r="M24" i="15"/>
  <c r="F37" i="86"/>
  <c r="E11" i="76"/>
  <c r="E2" i="69"/>
  <c r="B10" i="76"/>
  <c r="F3" i="73"/>
  <c r="F5" i="73"/>
  <c r="M28" i="15"/>
  <c r="L47" i="15"/>
  <c r="F40" i="86"/>
  <c r="L48" i="86"/>
  <c r="M8" i="86"/>
  <c r="F6" i="15"/>
  <c r="E2" i="68"/>
  <c r="M24" i="86"/>
  <c r="F6" i="73"/>
  <c r="M8" i="15"/>
  <c r="F37" i="15"/>
  <c r="E9" i="76"/>
  <c r="L47" i="86"/>
  <c r="F38" i="15"/>
  <c r="F26" i="15"/>
  <c r="B12" i="76"/>
  <c r="F36" i="86"/>
  <c r="C76" i="15"/>
  <c r="M23" i="86"/>
  <c r="AO13" i="1"/>
  <c r="M9" i="86"/>
  <c r="F38" i="86"/>
  <c r="F26" i="86"/>
  <c r="F13" i="15"/>
  <c r="C76" i="86"/>
  <c r="F16" i="15"/>
  <c r="J15" i="86"/>
  <c r="F9" i="15"/>
  <c r="F7" i="73"/>
  <c r="F9" i="86"/>
  <c r="F42" i="86"/>
  <c r="F7" i="86"/>
  <c r="M28" i="86"/>
  <c r="F42" i="15"/>
  <c r="J15" i="15"/>
  <c r="E13" i="76"/>
  <c r="M22" i="86"/>
  <c r="B13" i="76"/>
  <c r="B11" i="76"/>
  <c r="B9" i="76"/>
  <c r="M9" i="15"/>
  <c r="F4" i="73"/>
  <c r="F8" i="15"/>
  <c r="M6" i="15"/>
  <c r="F6" i="86"/>
  <c r="F20" i="31"/>
  <c r="F38" i="6" l="1"/>
  <c r="D55" i="43"/>
  <c r="D53" i="43"/>
  <c r="D52" i="43"/>
  <c r="D56" i="43"/>
  <c r="G22" i="69"/>
  <c r="J1" i="73"/>
  <c r="C7" i="33"/>
  <c r="J51" i="15"/>
  <c r="G22" i="11"/>
  <c r="E1" i="73"/>
  <c r="G26" i="12"/>
  <c r="G22" i="68"/>
  <c r="Q71" i="86"/>
  <c r="C6" i="86"/>
  <c r="F31" i="86"/>
  <c r="M7" i="86"/>
  <c r="M17" i="86" s="1"/>
  <c r="F50" i="86"/>
  <c r="M59" i="86"/>
  <c r="L59" i="86"/>
  <c r="N59" i="86"/>
  <c r="L58" i="86"/>
  <c r="F66" i="86"/>
  <c r="F51" i="86"/>
  <c r="L57" i="86"/>
  <c r="L60" i="86"/>
  <c r="L56" i="86"/>
  <c r="J53" i="86"/>
  <c r="I54" i="86"/>
  <c r="J57" i="86"/>
  <c r="J55" i="86" s="1"/>
  <c r="J58" i="86" s="1"/>
  <c r="Q50" i="86" s="1"/>
  <c r="C27" i="86"/>
  <c r="F65" i="86"/>
  <c r="F64" i="86"/>
  <c r="F68" i="86"/>
  <c r="E21" i="6"/>
  <c r="K8" i="1" s="1"/>
  <c r="M8" i="1" s="1"/>
  <c r="F39" i="6"/>
  <c r="BA13" i="3"/>
  <c r="AZ13" i="3" s="1"/>
  <c r="M20" i="15"/>
  <c r="F34" i="85"/>
  <c r="F62" i="85" s="1"/>
  <c r="M20" i="85"/>
  <c r="G27" i="6"/>
  <c r="BL15" i="3"/>
  <c r="BL16" i="3"/>
  <c r="AZ16" i="3" s="1"/>
  <c r="BA22" i="3"/>
  <c r="AZ22" i="3" s="1"/>
  <c r="BA19" i="3"/>
  <c r="AZ19" i="3" s="1"/>
  <c r="BA20" i="3"/>
  <c r="AZ20" i="3" s="1"/>
  <c r="BA17" i="3"/>
  <c r="AZ17" i="3" s="1"/>
  <c r="BL21" i="3"/>
  <c r="BL5" i="3" s="1"/>
  <c r="BA15" i="3"/>
  <c r="H69" i="43"/>
  <c r="F6" i="1"/>
  <c r="C7" i="34"/>
  <c r="G23" i="83"/>
  <c r="J51" i="85"/>
  <c r="F9" i="1"/>
  <c r="G9" i="1" s="1"/>
  <c r="F11" i="1"/>
  <c r="G11" i="1" s="1"/>
  <c r="G44" i="43"/>
  <c r="G44" i="83"/>
  <c r="C44" i="83" s="1"/>
  <c r="F7" i="1"/>
  <c r="I24" i="83" s="1"/>
  <c r="C24" i="83" s="1"/>
  <c r="BA24" i="3"/>
  <c r="F3" i="35"/>
  <c r="K13" i="1"/>
  <c r="M13" i="1" s="1"/>
  <c r="O13" i="1" s="1"/>
  <c r="P13" i="1" s="1"/>
  <c r="AZ24" i="3"/>
  <c r="BA23" i="3"/>
  <c r="AZ23" i="3" s="1"/>
  <c r="BE5" i="3"/>
  <c r="BC5" i="3"/>
  <c r="C40" i="68"/>
  <c r="C40" i="69"/>
  <c r="C21" i="68"/>
  <c r="E10" i="1"/>
  <c r="G1" i="85"/>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F29" i="6"/>
  <c r="F30" i="6" s="1"/>
  <c r="G28" i="6"/>
  <c r="E28" i="6" s="1"/>
  <c r="K14" i="1" s="1"/>
  <c r="D19" i="53"/>
  <c r="B38" i="72" s="1"/>
  <c r="M47" i="9"/>
  <c r="C7" i="35"/>
  <c r="C48" i="35" s="1"/>
  <c r="D48" i="35" s="1"/>
  <c r="C7" i="40"/>
  <c r="C63" i="40" s="1"/>
  <c r="D63" i="40" s="1"/>
  <c r="C7" i="39"/>
  <c r="C67" i="39" s="1"/>
  <c r="C69" i="39" s="1"/>
  <c r="C42" i="1"/>
  <c r="C28" i="86" s="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D9" i="69"/>
  <c r="C36" i="68"/>
  <c r="D9" i="68"/>
  <c r="L48" i="85"/>
  <c r="F37" i="85"/>
  <c r="C76" i="67"/>
  <c r="M6" i="67"/>
  <c r="M22" i="67"/>
  <c r="F38" i="85"/>
  <c r="M23" i="85"/>
  <c r="F9" i="85"/>
  <c r="M29" i="86"/>
  <c r="F40" i="85"/>
  <c r="F13" i="67"/>
  <c r="F13" i="85"/>
  <c r="F40" i="67"/>
  <c r="F9" i="67"/>
  <c r="M26" i="85"/>
  <c r="M23" i="67"/>
  <c r="F36" i="67"/>
  <c r="M22" i="85"/>
  <c r="M6" i="85"/>
  <c r="J15" i="85"/>
  <c r="M24" i="67"/>
  <c r="F6" i="67"/>
  <c r="M24" i="85"/>
  <c r="F16" i="85"/>
  <c r="L47" i="67"/>
  <c r="J15" i="67"/>
  <c r="L48" i="67"/>
  <c r="F36" i="85"/>
  <c r="M28" i="85"/>
  <c r="D6" i="73"/>
  <c r="L48" i="15"/>
  <c r="M28" i="67"/>
  <c r="C76" i="85"/>
  <c r="L47" i="85"/>
  <c r="D7" i="73"/>
  <c r="F42" i="85"/>
  <c r="F26" i="67"/>
  <c r="D3" i="73"/>
  <c r="D5" i="73"/>
  <c r="D4" i="73"/>
  <c r="F8" i="67"/>
  <c r="F37" i="67"/>
  <c r="F16" i="67"/>
  <c r="M26" i="67"/>
  <c r="M9" i="85"/>
  <c r="F42" i="67"/>
  <c r="M8" i="85"/>
  <c r="F38" i="67"/>
  <c r="F43" i="86"/>
  <c r="M27" i="85"/>
  <c r="M9" i="67"/>
  <c r="F6" i="85"/>
  <c r="F8" i="85"/>
  <c r="G1" i="73"/>
  <c r="M8" i="67"/>
  <c r="C16" i="86"/>
  <c r="E50" i="43" l="1"/>
  <c r="B48" i="43" s="1"/>
  <c r="C48" i="68"/>
  <c r="C49" i="86"/>
  <c r="C61" i="86" s="1"/>
  <c r="F1" i="86"/>
  <c r="Q52" i="86"/>
  <c r="Q74" i="86"/>
  <c r="Q61" i="86"/>
  <c r="Q57" i="86"/>
  <c r="Q66" i="86"/>
  <c r="J6" i="86"/>
  <c r="C32" i="86"/>
  <c r="C33" i="86"/>
  <c r="Q73" i="86"/>
  <c r="Q60" i="86"/>
  <c r="F59" i="86"/>
  <c r="F71" i="8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28" i="85"/>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E51" i="40"/>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M29" i="15"/>
  <c r="F7" i="15"/>
  <c r="F43" i="15"/>
  <c r="J19" i="86" l="1"/>
  <c r="J18" i="86"/>
  <c r="J5" i="86"/>
  <c r="J26" i="86" s="1"/>
  <c r="F27" i="6"/>
  <c r="F31" i="6" s="1"/>
  <c r="E20" i="6"/>
  <c r="K7" i="1" s="1"/>
  <c r="F37" i="6"/>
  <c r="E62" i="39"/>
  <c r="E60" i="40"/>
  <c r="Q73" i="15"/>
  <c r="C24" i="86"/>
  <c r="C53" i="86"/>
  <c r="C48" i="86" s="1"/>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3" i="15"/>
  <c r="F25" i="12"/>
  <c r="F22" i="69"/>
  <c r="F41" i="69" s="1"/>
  <c r="F24" i="67"/>
  <c r="C24" i="67" s="1"/>
  <c r="F22" i="11"/>
  <c r="F22" i="68"/>
  <c r="F24" i="15"/>
  <c r="C24" i="15" s="1"/>
  <c r="AE8" i="1"/>
  <c r="F43" i="67"/>
  <c r="C16" i="15"/>
  <c r="M29" i="67"/>
  <c r="AE6" i="1"/>
  <c r="F41" i="85"/>
  <c r="F7" i="67"/>
  <c r="M27" i="67"/>
  <c r="M27" i="15"/>
  <c r="F43" i="85"/>
  <c r="F26" i="85"/>
  <c r="F41" i="86"/>
  <c r="F7" i="85"/>
  <c r="F41" i="67"/>
  <c r="M29" i="85"/>
  <c r="J24" i="86" l="1"/>
  <c r="F71" i="67"/>
  <c r="C6" i="67"/>
  <c r="C32" i="67" s="1"/>
  <c r="F31" i="67"/>
  <c r="F50" i="67"/>
  <c r="M7" i="67"/>
  <c r="C5" i="67"/>
  <c r="C38" i="67" s="1"/>
  <c r="H16" i="1"/>
  <c r="G16" i="1"/>
  <c r="J10" i="39" s="1"/>
  <c r="K16" i="1"/>
  <c r="C6" i="85"/>
  <c r="M7" i="85"/>
  <c r="F50" i="85"/>
  <c r="F31" i="85"/>
  <c r="F71" i="85"/>
  <c r="M7" i="1"/>
  <c r="M16" i="1" s="1"/>
  <c r="F69" i="86"/>
  <c r="J29" i="86"/>
  <c r="C66" i="86"/>
  <c r="C60"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7" i="85"/>
  <c r="C17" i="15"/>
  <c r="F41" i="15"/>
  <c r="C16" i="67"/>
  <c r="C17" i="86"/>
  <c r="C16" i="85"/>
  <c r="F69" i="15" l="1"/>
  <c r="F10" i="39"/>
  <c r="H10" i="40"/>
  <c r="F59" i="67"/>
  <c r="C49" i="67"/>
  <c r="C48" i="67" s="1"/>
  <c r="C66" i="67" s="1"/>
  <c r="H10" i="39"/>
  <c r="J6" i="67"/>
  <c r="J19" i="67" s="1"/>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D10" i="68"/>
  <c r="C17" i="67"/>
  <c r="C14" i="15"/>
  <c r="C14" i="67"/>
  <c r="C14" i="85"/>
  <c r="C14" i="86"/>
  <c r="F50" i="68" l="1"/>
  <c r="C60" i="67"/>
  <c r="J18" i="67"/>
  <c r="J5" i="67"/>
  <c r="J24" i="67" s="1"/>
  <c r="J5" i="85"/>
  <c r="J18" i="85"/>
  <c r="J19" i="85"/>
  <c r="C61" i="85"/>
  <c r="C48" i="85"/>
  <c r="C18" i="86"/>
  <c r="C15" i="86"/>
  <c r="C18" i="67"/>
  <c r="C15" i="67"/>
  <c r="T9" i="1"/>
  <c r="AQ9" i="1"/>
  <c r="AR9" i="1"/>
  <c r="AR10" i="1"/>
  <c r="T10" i="1"/>
  <c r="T16" i="1" s="1"/>
  <c r="S16" i="1"/>
  <c r="Q16" i="1"/>
  <c r="F27" i="68" s="1"/>
  <c r="C29" i="68" s="1"/>
  <c r="D27" i="68" s="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19" i="67" l="1"/>
  <c r="C20" i="67" s="1"/>
  <c r="C26" i="67" s="1"/>
  <c r="C19" i="86"/>
  <c r="C20" i="86" s="1"/>
  <c r="C26" i="86" s="1"/>
  <c r="C66" i="85"/>
  <c r="C60" i="85"/>
  <c r="J26" i="85"/>
  <c r="J29" i="85" s="1"/>
  <c r="J24" i="85"/>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3" i="86" l="1"/>
  <c r="C29" i="86" s="1"/>
  <c r="J59" i="86"/>
  <c r="J60"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F35" i="15"/>
  <c r="M21" i="15"/>
  <c r="E8" i="76"/>
  <c r="E7" i="76"/>
  <c r="C36" i="86" l="1"/>
  <c r="C57" i="86"/>
  <c r="C64" i="86" s="1"/>
  <c r="C13" i="86"/>
  <c r="C37" i="86" s="1"/>
  <c r="C46" i="68"/>
  <c r="C45" i="68" s="1"/>
  <c r="Q49" i="86"/>
  <c r="C42" i="68"/>
  <c r="C41" i="68" s="1"/>
  <c r="J14" i="86"/>
  <c r="J13" i="86" s="1"/>
  <c r="J23" i="86" s="1"/>
  <c r="Q48" i="86"/>
  <c r="L46"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M21" i="85"/>
  <c r="F35" i="67"/>
  <c r="F35" i="85"/>
  <c r="E6" i="76"/>
  <c r="F35" i="86"/>
  <c r="M21" i="86"/>
  <c r="B8" i="76"/>
  <c r="M21" i="67"/>
  <c r="B7" i="76"/>
  <c r="Q70" i="86" l="1"/>
  <c r="C75" i="86"/>
  <c r="C56" i="86"/>
  <c r="C65" i="86" s="1"/>
  <c r="C49" i="68"/>
  <c r="C51" i="68" s="1"/>
  <c r="J22" i="86"/>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M69" i="39"/>
  <c r="N67" i="39"/>
  <c r="R39" i="35"/>
  <c r="E38" i="35"/>
  <c r="M63" i="40"/>
  <c r="L65" i="40"/>
  <c r="B6" i="76"/>
  <c r="D2" i="21"/>
  <c r="J16" i="86" l="1"/>
  <c r="J25" i="86" s="1"/>
  <c r="C57" i="69"/>
  <c r="C56" i="69" s="1"/>
  <c r="C40" i="86"/>
  <c r="C46" i="86" s="1"/>
  <c r="H39" i="86"/>
  <c r="Q69" i="86"/>
  <c r="Q68" i="86" s="1"/>
  <c r="C80" i="86"/>
  <c r="C79" i="86" s="1"/>
  <c r="C71" i="86"/>
  <c r="B2" i="76"/>
  <c r="B3" i="76" s="1"/>
  <c r="B3" i="43"/>
  <c r="J16" i="85"/>
  <c r="J25" i="85" s="1"/>
  <c r="Q69" i="85"/>
  <c r="Q68" i="85" s="1"/>
  <c r="H39" i="85"/>
  <c r="C80" i="85"/>
  <c r="C79" i="85" s="1"/>
  <c r="C46"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5"/>
  <c r="L51" i="67"/>
  <c r="L51" i="86"/>
  <c r="D2" i="33"/>
  <c r="Q67" i="85" l="1"/>
  <c r="Q67" i="86"/>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C20" i="68" l="1"/>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8" i="1"/>
  <c r="AO9" i="1"/>
  <c r="C25" i="68" l="1"/>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AO7" i="1"/>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C103" i="9" l="1"/>
  <c r="B2" i="70"/>
  <c r="B3" i="70" s="1"/>
  <c r="C42" i="40"/>
  <c r="C43" i="40"/>
  <c r="E47" i="40"/>
  <c r="F47" i="40" s="1"/>
  <c r="E46" i="40"/>
  <c r="F46" i="40" s="1"/>
  <c r="I47" i="40"/>
  <c r="J47" i="40" s="1"/>
  <c r="D20" i="9"/>
  <c r="D19" i="9"/>
  <c r="G19" i="9" l="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37" i="6" l="1"/>
  <c r="C32" i="9"/>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<sst xmlns="http://schemas.openxmlformats.org/spreadsheetml/2006/main" count="9314" uniqueCount="3558">
  <si>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</si>
  <si>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</si>
  <si>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</si>
  <si>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</si>
  <si>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</si>
  <si>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</si>
  <si>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</si>
  <si>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</si>
  <si>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</si>
  <si>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</si>
  <si>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</si>
  <si>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</si>
  <si>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</si>
  <si>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</si>
  <si>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</si>
  <si>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</si>
  <si>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</si>
  <si>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</si>
  <si>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</si>
  <si>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</si>
  <si>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</si>
  <si>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</si>
  <si>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</si>
  <si>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</si>
  <si>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</si>
  <si>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</si>
  <si>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</si>
  <si>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</si>
  <si>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</si>
  <si>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</si>
  <si>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</si>
  <si>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</si>
  <si>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</si>
  <si>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</si>
  <si>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</si>
  <si>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</si>
  <si>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</si>
  <si>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</si>
  <si>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</si>
  <si>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</si>
  <si>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</si>
  <si>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</si>
  <si>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</si>
  <si>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</si>
  <si>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</si>
  <si>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</si>
  <si>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</si>
  <si>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</si>
  <si>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</si>
  <si>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</si>
  <si>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</si>
  <si>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</si>
  <si>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</si>
  <si>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</si>
  <si>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</si>
  <si>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</si>
  <si>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</si>
  <si>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</si>
  <si>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</si>
  <si>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</si>
  <si>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</si>
  <si>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</si>
  <si>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</si>
  <si>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</si>
  <si>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</si>
  <si>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</si>
  <si>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</si>
  <si>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</si>
  <si>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</si>
  <si>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</si>
  <si>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</si>
  <si>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</si>
  <si>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</si>
  <si>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</si>
  <si>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</si>
  <si>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</si>
  <si>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</si>
  <si>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</si>
  <si>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</si>
  <si>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</si>
  <si>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</si>
  <si>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</si>
  <si>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</si>
  <si>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</si>
  <si>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</si>
  <si>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</si>
  <si>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</si>
  <si>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</si>
  <si>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</si>
  <si>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</si>
  <si>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</si>
  <si>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</si>
  <si>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</si>
  <si>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</si>
  <si>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</si>
  <si>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</si>
  <si>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</si>
  <si>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</si>
  <si>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</si>
  <si>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</si>
  <si>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</si>
  <si>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</si>
  <si>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</si>
  <si>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</si>
  <si>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</si>
  <si>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</si>
  <si>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</si>
  <si>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</si>
  <si>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</si>
  <si>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</si>
  <si>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</si>
  <si>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</si>
  <si>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</si>
  <si>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</si>
  <si>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</si>
  <si>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</si>
  <si>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</si>
  <si>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</si>
  <si>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</si>
  <si>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</si>
  <si>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</si>
  <si>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</si>
  <si>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</si>
  <si>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</si>
  <si>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</si>
  <si>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</si>
  <si>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</si>
  <si>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</si>
  <si>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</si>
  <si>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</si>
  <si>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</si>
  <si>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</si>
  <si>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</si>
  <si>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</si>
  <si>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</si>
  <si>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</si>
  <si>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</si>
  <si>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</si>
  <si>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</si>
  <si>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</si>
  <si>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</si>
  <si>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</si>
  <si>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</si>
  <si>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</si>
  <si>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</si>
  <si>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</si>
  <si>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</si>
  <si>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</si>
  <si>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</si>
  <si>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</si>
  <si>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</si>
  <si>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</si>
  <si>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</si>
  <si>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</si>
  <si>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</si>
  <si>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</si>
  <si>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</si>
  <si>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</si>
  <si>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</si>
  <si>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</si>
  <si>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</si>
  <si>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</si>
  <si>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</si>
  <si>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</si>
  <si>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</si>
  <si>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</si>
  <si>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</si>
  <si>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</si>
  <si>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</si>
  <si>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</si>
  <si>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</si>
  <si>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</si>
  <si>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</si>
  <si>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</si>
  <si>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</si>
  <si>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</si>
  <si>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</si>
  <si>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</si>
  <si>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</si>
  <si>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</si>
  <si>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</si>
  <si>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</si>
  <si>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</si>
  <si>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</si>
  <si>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</si>
  <si>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</si>
  <si>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</si>
  <si>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</si>
  <si>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</si>
  <si>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</si>
  <si>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</si>
  <si>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</si>
  <si>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</si>
  <si>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</si>
  <si>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</si>
  <si>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</si>
  <si>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</si>
  <si>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</si>
  <si>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</si>
  <si>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</si>
  <si>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</si>
  <si>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</si>
  <si>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</si>
  <si>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</si>
  <si>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</si>
  <si>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</si>
  <si>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</si>
  <si>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</si>
  <si>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</si>
  <si>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</si>
  <si>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</si>
  <si>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</si>
  <si>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</si>
  <si>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</si>
  <si>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</si>
  <si>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</si>
  <si>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</si>
  <si>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</si>
  <si>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</si>
  <si>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</si>
  <si>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</si>
  <si>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</si>
  <si>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</si>
  <si>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</si>
  <si>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</si>
  <si>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</si>
  <si>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</si>
  <si>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</si>
  <si>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</si>
  <si>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</si>
  <si>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</si>
  <si>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</si>
  <si>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</si>
  <si>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</si>
  <si>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</si>
  <si>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</si>
  <si>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</si>
  <si>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</si>
  <si>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</si>
  <si>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</si>
  <si>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</si>
  <si>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</si>
  <si>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</si>
  <si>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</si>
  <si>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</si>
  <si>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</si>
  <si>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</si>
  <si>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</si>
  <si>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</si>
  <si>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</si>
  <si>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</si>
  <si>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</si>
  <si>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</si>
  <si>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</si>
  <si>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</si>
  <si>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</si>
  <si>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</si>
  <si>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</si>
  <si>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</si>
  <si>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</si>
  <si>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</si>
  <si>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</si>
  <si>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</si>
  <si>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</si>
  <si>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</si>
  <si>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</si>
  <si>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</si>
  <si>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</si>
  <si>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</si>
  <si>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</si>
  <si>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</si>
  <si>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</si>
  <si>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</si>
  <si>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</si>
  <si>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</si>
  <si>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</si>
  <si>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</si>
  <si>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</si>
  <si>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</si>
  <si>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</si>
  <si>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</si>
  <si>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</si>
  <si>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</si>
  <si>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</si>
  <si>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</si>
  <si>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</si>
  <si>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</si>
  <si>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</si>
  <si>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</si>
  <si>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</si>
  <si>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</si>
  <si>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</si>
  <si>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</si>
  <si>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</si>
  <si>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</si>
  <si>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</si>
  <si>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</si>
  <si>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</si>
  <si>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</si>
  <si>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</si>
  <si>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</si>
  <si>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</si>
  <si>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</si>
  <si>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</si>
  <si>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</si>
  <si>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</si>
  <si>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</si>
  <si>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</si>
  <si>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</si>
  <si>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</si>
  <si>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</si>
  <si>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</si>
  <si>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</si>
  <si>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</si>
  <si>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</si>
  <si>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</si>
  <si>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</si>
  <si>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</si>
  <si>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</si>
  <si>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</si>
  <si>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</si>
  <si>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</si>
  <si>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</si>
  <si>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</si>
  <si>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</si>
  <si>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</si>
  <si>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</si>
  <si>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</si>
  <si>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</si>
  <si>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</si>
  <si>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</si>
  <si>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</si>
  <si>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</si>
  <si>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</si>
  <si>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</si>
  <si>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</si>
  <si>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</si>
  <si>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</si>
  <si>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</si>
  <si>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</si>
  <si>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</si>
  <si>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</si>
  <si>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</si>
  <si>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</si>
  <si>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</si>
  <si>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</si>
  <si>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</si>
  <si>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</si>
  <si>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</si>
  <si>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</si>
  <si>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</si>
  <si>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</si>
  <si>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</si>
  <si>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</si>
  <si>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</si>
  <si>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</si>
  <si>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</si>
  <si>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</si>
  <si>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</si>
  <si>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</si>
  <si>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</si>
  <si>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</si>
  <si>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</si>
  <si>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</si>
  <si>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</si>
  <si>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</si>
  <si>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</si>
  <si>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</si>
  <si>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</si>
  <si>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</si>
  <si>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</si>
  <si>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</si>
  <si>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</si>
  <si>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</si>
  <si>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</si>
  <si>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</si>
  <si>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</si>
  <si>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</si>
  <si>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</si>
  <si>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</si>
  <si>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</si>
  <si>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</si>
  <si>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</si>
  <si>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</si>
  <si>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</si>
  <si>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</si>
  <si>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</si>
  <si>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</si>
  <si>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</si>
  <si>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</si>
  <si>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</si>
  <si>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</si>
  <si>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</si>
  <si>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</si>
  <si>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</si>
  <si>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</si>
  <si>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</si>
  <si>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</si>
  <si>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</si>
  <si>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</si>
  <si>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</si>
  <si>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</si>
  <si>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</si>
  <si>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</si>
  <si>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</si>
  <si>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</si>
  <si>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</si>
  <si>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</si>
  <si>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</si>
  <si>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</si>
  <si>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</si>
  <si>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</si>
  <si>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</si>
  <si>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</si>
  <si>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</si>
  <si>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</si>
  <si>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</si>
  <si>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</si>
  <si>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</si>
  <si>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</si>
  <si>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</si>
  <si>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</si>
  <si>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</si>
  <si>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</si>
  <si>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</si>
  <si>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</si>
  <si>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</si>
  <si>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</si>
  <si>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</si>
  <si>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</si>
  <si>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</si>
  <si>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</si>
  <si>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</si>
  <si>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</si>
  <si>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</si>
  <si>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</si>
  <si>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</si>
  <si>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</si>
  <si>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</si>
  <si>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</si>
  <si>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</si>
  <si>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</si>
  <si>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</si>
  <si>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</si>
  <si>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</si>
  <si>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</si>
  <si>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</si>
  <si>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</si>
  <si>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</si>
  <si>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</si>
  <si>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</si>
  <si>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</si>
  <si>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</si>
  <si>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</si>
  <si>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</si>
  <si>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</si>
  <si>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</si>
  <si>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</si>
  <si>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</si>
  <si>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</si>
  <si>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</si>
  <si>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</si>
  <si>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</si>
  <si>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</si>
  <si>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</si>
  <si>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</si>
  <si>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</si>
  <si>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</si>
  <si>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</si>
  <si>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</si>
  <si>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</si>
  <si>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</si>
  <si>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</si>
  <si>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</si>
  <si>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</si>
  <si>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</si>
  <si>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</si>
  <si>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</si>
  <si>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</si>
  <si>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</si>
  <si>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</si>
  <si>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</si>
  <si>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</si>
  <si>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</si>
  <si>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</si>
  <si>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</si>
  <si>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</si>
  <si>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</si>
  <si>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</si>
  <si>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</si>
  <si>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</si>
  <si>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</si>
  <si>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</si>
  <si>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</si>
  <si>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</si>
  <si>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</si>
  <si>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</si>
  <si>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</si>
  <si>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</si>
  <si>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</si>
  <si>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</si>
  <si>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</si>
  <si>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</si>
  <si>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</si>
  <si>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</si>
  <si>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</si>
  <si>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</si>
  <si>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</si>
  <si>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</si>
  <si>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</si>
  <si>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</si>
  <si>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</si>
  <si>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</si>
  <si>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</si>
  <si>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</si>
  <si>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</si>
  <si>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</si>
  <si>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</si>
  <si>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</si>
  <si>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</si>
  <si>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</si>
  <si>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</si>
  <si>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</si>
  <si>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</si>
  <si>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</si>
  <si>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</si>
  <si>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</si>
  <si>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</si>
  <si>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</si>
  <si>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</si>
  <si>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</si>
  <si>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</si>
  <si>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</si>
  <si>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</si>
  <si>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</si>
  <si>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</si>
  <si>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</si>
  <si>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</si>
  <si>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</si>
  <si>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</si>
  <si>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</si>
  <si>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</si>
  <si>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</si>
  <si>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</si>
  <si>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</si>
  <si>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</si>
  <si>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</si>
  <si>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</si>
  <si>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</si>
  <si>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</si>
  <si>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</si>
  <si>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</si>
  <si>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</si>
  <si>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</si>
  <si>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</si>
  <si>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</si>
  <si>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</si>
  <si>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</si>
  <si>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</si>
  <si>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</si>
  <si>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</si>
  <si>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</si>
  <si>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</si>
  <si>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</si>
  <si>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</si>
  <si>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</si>
  <si>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</si>
  <si>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</si>
  <si>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</si>
  <si>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</si>
  <si>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</si>
  <si>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</si>
  <si>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</si>
  <si>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</si>
  <si>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</si>
  <si>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</si>
  <si>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</si>
  <si>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</si>
  <si>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</si>
  <si>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</si>
  <si>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</si>
  <si>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</si>
  <si>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</si>
  <si>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</si>
  <si>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</si>
  <si>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</si>
  <si>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</si>
  <si>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</si>
  <si>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</si>
  <si>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</si>
  <si>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</si>
  <si>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</si>
  <si>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</si>
  <si>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</si>
  <si>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</si>
  <si>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</si>
  <si>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</si>
  <si>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</si>
  <si>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</si>
  <si>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</si>
  <si>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</si>
  <si>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</si>
  <si>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</si>
  <si>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</si>
  <si>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</si>
  <si>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</si>
  <si>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</si>
  <si>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</si>
  <si>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</si>
  <si>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</si>
  <si>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</si>
  <si>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</si>
  <si>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</si>
  <si>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</si>
  <si>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</si>
  <si>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</si>
  <si>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</si>
  <si>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</si>
  <si>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</si>
  <si>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</si>
  <si>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</si>
  <si>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</si>
  <si>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</si>
  <si>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</si>
  <si>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</si>
  <si>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</si>
  <si>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</si>
  <si>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</si>
  <si>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</si>
  <si>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</si>
  <si>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</si>
  <si>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</si>
  <si>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</si>
  <si>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</si>
  <si>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</si>
  <si>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</si>
  <si>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</si>
  <si>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</si>
  <si>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</si>
  <si>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</si>
  <si>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</si>
  <si>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</si>
  <si>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</si>
  <si>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</si>
  <si>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</si>
  <si>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</si>
  <si>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</si>
  <si>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</si>
  <si>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</si>
  <si>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</si>
  <si>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</si>
  <si>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</si>
  <si>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</si>
  <si>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</si>
  <si>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</si>
  <si>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</si>
  <si>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</si>
  <si>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</si>
  <si>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</si>
  <si>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</si>
  <si>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</si>
  <si>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</si>
  <si>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</si>
  <si>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</si>
  <si>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</si>
  <si>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</si>
  <si>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</si>
  <si>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</si>
  <si>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</si>
  <si>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</si>
  <si>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</si>
  <si>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</si>
  <si>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</si>
  <si>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</si>
  <si>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</si>
  <si>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</si>
  <si>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</si>
  <si>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</si>
  <si>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</si>
  <si>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</si>
  <si>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</si>
  <si>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</si>
  <si>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</si>
  <si>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</si>
  <si>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</si>
  <si>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</si>
  <si>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</si>
  <si>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</si>
  <si>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</si>
  <si>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</si>
  <si>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</si>
  <si>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</si>
  <si>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</si>
  <si>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</si>
  <si>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</si>
  <si>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</si>
  <si>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</si>
  <si>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</si>
  <si>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</si>
  <si>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</si>
  <si>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</si>
  <si>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</si>
  <si>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</si>
  <si>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</si>
  <si>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</si>
  <si>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</si>
  <si>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</si>
  <si>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</si>
  <si>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</si>
  <si>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</si>
  <si>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</si>
  <si>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</si>
  <si>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</si>
  <si>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</si>
  <si>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</si>
  <si>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</si>
  <si>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</si>
  <si>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</si>
  <si>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</si>
  <si>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</si>
  <si>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</si>
  <si>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</si>
  <si>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</si>
  <si>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</si>
  <si>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</si>
  <si>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</si>
  <si>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</si>
  <si>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</si>
  <si>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</si>
  <si>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</si>
  <si>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</si>
  <si>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</si>
  <si>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</si>
  <si>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</si>
  <si>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</si>
  <si>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</si>
  <si>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</si>
  <si>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</si>
  <si>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</si>
  <si>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</si>
  <si>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</si>
  <si>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</si>
  <si>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</si>
  <si>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</si>
  <si>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</si>
  <si>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</si>
  <si>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</si>
  <si>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</si>
  <si>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</si>
  <si>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</si>
  <si>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</si>
  <si>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</si>
  <si>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</si>
  <si>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</si>
  <si>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</si>
  <si>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</si>
  <si>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</si>
  <si>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</si>
  <si>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</si>
  <si>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</si>
  <si>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</si>
  <si>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</si>
  <si>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</si>
  <si>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</si>
  <si>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</si>
  <si>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</si>
  <si>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</si>
  <si>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</si>
  <si>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</si>
  <si>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</si>
  <si>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</si>
  <si>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</si>
  <si>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</si>
  <si>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</si>
  <si>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</si>
  <si>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</si>
  <si>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</si>
  <si>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</si>
  <si>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</si>
  <si>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</si>
  <si>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</si>
  <si>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</si>
  <si>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</si>
  <si>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</si>
  <si>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</si>
  <si>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</si>
  <si>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</si>
  <si>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</si>
  <si>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</si>
  <si>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</si>
  <si>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</si>
  <si>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</si>
  <si>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</si>
  <si>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</si>
  <si>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</si>
  <si>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</si>
  <si>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</si>
  <si>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</si>
  <si>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</si>
  <si>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</si>
  <si>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</si>
  <si>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</si>
  <si>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</si>
  <si>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</si>
  <si>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</si>
  <si>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</si>
  <si>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</si>
  <si>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</si>
  <si>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</si>
  <si>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</si>
  <si>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</si>
  <si>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</si>
  <si>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</si>
  <si>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</si>
  <si>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</si>
  <si>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</si>
  <si>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</si>
  <si>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</si>
  <si>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</si>
  <si>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</si>
  <si>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</si>
  <si>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</si>
  <si>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</si>
  <si>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</si>
  <si>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</si>
  <si>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</si>
  <si>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</si>
  <si>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</si>
  <si>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</si>
  <si>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</si>
  <si>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</si>
  <si>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</si>
  <si>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</si>
  <si>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</si>
  <si>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</si>
  <si>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</si>
  <si>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</si>
  <si>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</si>
  <si>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</si>
  <si>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</si>
  <si>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</si>
  <si>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</si>
  <si>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</si>
  <si>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</si>
  <si>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</si>
  <si>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</si>
  <si>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</si>
  <si>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</si>
  <si>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</si>
  <si>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</si>
  <si>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</si>
  <si>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</si>
  <si>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</si>
  <si>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</si>
  <si>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</si>
  <si>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</si>
  <si>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</si>
  <si>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</si>
  <si>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</si>
  <si>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</si>
  <si>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</si>
  <si>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</si>
  <si>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</si>
  <si>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</si>
  <si>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</si>
  <si>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</si>
  <si>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</si>
  <si>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</si>
  <si>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</si>
  <si>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</si>
  <si>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</si>
  <si>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</si>
  <si>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</si>
  <si>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</si>
  <si>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</si>
  <si>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</si>
  <si>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</si>
  <si>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</si>
  <si>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</si>
  <si>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</si>
  <si>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</si>
  <si>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</si>
  <si>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</si>
  <si>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</si>
  <si>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</si>
  <si>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</si>
  <si>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</si>
  <si>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</si>
  <si>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</si>
  <si>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</si>
  <si>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</si>
  <si>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</si>
  <si>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</si>
  <si>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</si>
  <si>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</si>
  <si>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</si>
  <si>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</si>
  <si>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</si>
  <si>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</si>
  <si>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</si>
  <si>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</si>
  <si>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</si>
  <si>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</si>
  <si>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</si>
  <si>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</si>
  <si>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</si>
  <si>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</si>
  <si>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</si>
  <si>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</si>
  <si>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</si>
  <si>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</si>
  <si>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</si>
  <si>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</si>
  <si>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</si>
  <si>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</si>
  <si>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</si>
  <si>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</si>
  <si>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</si>
  <si>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</si>
  <si>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</si>
  <si>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</si>
  <si>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</si>
  <si>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</si>
  <si>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</si>
  <si>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</si>
  <si>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</si>
  <si>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</si>
  <si>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</si>
  <si>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</si>
  <si>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</si>
  <si>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</si>
  <si>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</si>
  <si>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</si>
  <si>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</si>
  <si>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</si>
  <si>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</si>
  <si>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</si>
  <si>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</si>
  <si>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</si>
  <si>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</si>
  <si>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</si>
  <si>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</si>
  <si>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</si>
  <si>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</si>
  <si>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</si>
  <si>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</si>
  <si>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</si>
  <si>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</si>
  <si>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</si>
  <si>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</si>
  <si>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</si>
  <si>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</si>
  <si>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</si>
  <si>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</si>
  <si>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</si>
  <si>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</si>
  <si>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</si>
  <si>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</si>
  <si>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</si>
  <si>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</si>
  <si>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</si>
  <si>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</si>
  <si>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</si>
  <si>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</si>
  <si>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</si>
  <si>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</si>
  <si>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</si>
  <si>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</si>
  <si>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</si>
  <si>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</si>
  <si>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</si>
  <si>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</si>
  <si>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</si>
  <si>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</si>
  <si>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</si>
  <si>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</si>
  <si>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</si>
  <si>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</si>
  <si>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</si>
  <si>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</si>
  <si>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</si>
  <si>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</si>
  <si>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</si>
  <si>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</si>
  <si>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</si>
  <si>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</si>
  <si>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</si>
  <si>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</si>
  <si>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</si>
  <si>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</si>
  <si>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</si>
  <si>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</si>
  <si>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</si>
  <si>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</si>
  <si>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</si>
  <si>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</si>
  <si>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</si>
  <si>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</si>
  <si>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</si>
  <si>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</si>
  <si>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</si>
  <si>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</si>
  <si>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</si>
  <si>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</si>
  <si>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</si>
  <si>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</si>
  <si>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</si>
  <si>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</si>
  <si>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</si>
  <si>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</si>
  <si>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</si>
  <si>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</si>
  <si>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</si>
  <si>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</si>
  <si>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</si>
  <si>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</si>
  <si>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</si>
  <si>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</si>
  <si>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</si>
  <si>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</si>
  <si>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</si>
  <si>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</si>
  <si>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</si>
  <si>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</si>
  <si>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</si>
  <si>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</si>
  <si>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</si>
  <si>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</si>
  <si>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</si>
  <si>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</si>
  <si>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</si>
  <si>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</si>
  <si>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</si>
  <si>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</si>
  <si>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</si>
  <si>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</si>
  <si>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</si>
  <si>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</si>
  <si>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</si>
  <si>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</si>
  <si>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</si>
  <si>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</si>
  <si>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</si>
  <si>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</si>
  <si>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</si>
  <si>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</si>
  <si>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</si>
  <si>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</si>
  <si>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</si>
  <si>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</si>
  <si>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</si>
  <si>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</si>
  <si>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</si>
  <si>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</si>
  <si>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</si>
  <si>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</si>
  <si>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</si>
  <si>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</si>
  <si>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</si>
  <si>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</si>
  <si>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</si>
  <si>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</si>
  <si>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</si>
  <si>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</si>
  <si>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</si>
  <si>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</si>
  <si>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</si>
  <si>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</si>
  <si>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</si>
  <si>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</si>
  <si>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</si>
  <si>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</si>
  <si>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</si>
  <si>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</si>
  <si>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</si>
  <si>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</si>
  <si>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</si>
  <si>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</si>
  <si>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</si>
  <si>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</si>
  <si>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</si>
  <si>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</si>
  <si>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</si>
  <si>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</si>
  <si>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</si>
  <si>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</si>
  <si>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</si>
  <si>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</si>
  <si>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</si>
  <si>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</si>
  <si>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</si>
  <si>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</si>
  <si>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</si>
  <si>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</si>
  <si>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</si>
  <si>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</si>
  <si>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</si>
  <si>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</si>
  <si>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</si>
  <si>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</si>
  <si>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</si>
  <si>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</si>
  <si>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</si>
  <si>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</si>
  <si>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</si>
  <si>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</si>
  <si>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</si>
  <si>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</si>
  <si>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</si>
  <si>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</si>
  <si>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</si>
  <si>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</si>
  <si>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</si>
  <si>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</si>
  <si>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</si>
  <si>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</si>
  <si>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</si>
  <si>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</si>
  <si>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</si>
  <si>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</si>
  <si>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</si>
  <si>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</si>
  <si>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</si>
  <si>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</si>
  <si>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</si>
  <si>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</si>
  <si>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</si>
  <si>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</si>
  <si>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</si>
  <si>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</si>
  <si>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</si>
  <si>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</si>
  <si>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</si>
  <si>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</si>
  <si>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</si>
  <si>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</si>
  <si>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</si>
  <si>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</si>
  <si>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</si>
  <si>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</si>
  <si>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</si>
  <si>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</si>
  <si>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</si>
  <si>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</si>
  <si>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</si>
  <si>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</si>
  <si>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</si>
  <si>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</si>
  <si>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</si>
  <si>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</si>
  <si>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</si>
  <si>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</si>
  <si>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</si>
  <si>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</si>
  <si>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</si>
  <si>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</si>
  <si>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</si>
  <si>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</si>
  <si>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</si>
  <si>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</si>
  <si>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</si>
  <si>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</si>
  <si>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</si>
  <si>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</si>
  <si>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</si>
  <si>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</si>
  <si>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</si>
  <si>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</si>
  <si>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</si>
  <si>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</si>
  <si>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</si>
  <si>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</si>
  <si>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</si>
  <si>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</si>
  <si>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</si>
  <si>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</si>
  <si>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</si>
  <si>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</si>
  <si>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</si>
  <si>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</si>
  <si>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</si>
  <si>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</si>
  <si>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</si>
  <si>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</si>
  <si>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</si>
  <si>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</si>
  <si>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</si>
  <si>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</si>
  <si>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</si>
  <si>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</si>
  <si>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</si>
  <si>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</si>
  <si>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</si>
  <si>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</si>
  <si>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</si>
  <si>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</si>
  <si>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</si>
  <si>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</si>
  <si>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</si>
  <si>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</si>
  <si>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</si>
  <si>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</si>
  <si>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</si>
  <si>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</si>
  <si>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</si>
  <si>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</si>
  <si>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</si>
  <si>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</si>
  <si>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</si>
  <si>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</si>
  <si>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</si>
  <si>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</si>
  <si>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</si>
  <si>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</si>
  <si>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</si>
  <si>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</si>
  <si>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</si>
  <si>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</si>
  <si>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</si>
  <si>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</si>
  <si>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</si>
  <si>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</si>
  <si>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</si>
  <si>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</si>
  <si>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</si>
  <si>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</si>
  <si>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</si>
  <si>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</si>
  <si>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</si>
  <si>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</si>
  <si>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</si>
  <si>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</si>
  <si>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</si>
  <si>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</si>
  <si>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</si>
  <si>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</si>
  <si>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</si>
  <si>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</si>
  <si>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</si>
  <si>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</si>
  <si>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</si>
  <si>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</si>
  <si>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</si>
  <si>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</si>
  <si>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</si>
  <si>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</si>
  <si>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</si>
  <si>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</si>
  <si>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</si>
  <si>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</si>
  <si>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</si>
  <si>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</si>
  <si>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</si>
  <si>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</si>
  <si>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</si>
  <si>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</si>
  <si>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</si>
  <si>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</si>
  <si>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</si>
  <si>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</si>
  <si>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</si>
  <si>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</si>
  <si>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</si>
  <si>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</si>
  <si>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</si>
  <si>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</si>
  <si>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</si>
  <si>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</si>
  <si>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</si>
  <si>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</si>
  <si>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</si>
  <si>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</si>
  <si>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</si>
  <si>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</si>
  <si>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</si>
  <si>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</si>
  <si>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</si>
  <si>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</si>
  <si>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</si>
  <si>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</si>
  <si>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</si>
  <si>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</si>
  <si>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</si>
  <si>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</si>
  <si>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</si>
  <si>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</si>
  <si>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</si>
  <si>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</si>
  <si>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</si>
  <si>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</si>
  <si>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</si>
  <si>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</si>
  <si>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</si>
  <si>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</si>
  <si>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</si>
  <si>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</si>
  <si>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</si>
  <si>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</si>
  <si>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</si>
  <si>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</si>
  <si>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</si>
  <si>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</si>
  <si>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</si>
  <si>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</si>
  <si>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</si>
  <si>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</si>
  <si>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</si>
  <si>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</si>
  <si>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</si>
  <si>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</si>
  <si>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</si>
  <si>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</si>
  <si>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</si>
  <si>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</si>
  <si>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</si>
  <si>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</si>
  <si>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</si>
  <si>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</si>
  <si>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</si>
  <si>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</si>
  <si>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</si>
  <si>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</si>
  <si>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</si>
  <si>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</si>
  <si>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</si>
  <si>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</si>
  <si>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</si>
  <si>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</si>
  <si>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</si>
  <si>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</si>
  <si>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</si>
  <si>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</si>
  <si>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</si>
  <si>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</si>
  <si>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</si>
  <si>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</si>
  <si>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</si>
  <si>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</si>
  <si>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</si>
  <si>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</si>
  <si>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</si>
  <si>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</si>
  <si>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</si>
  <si>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</si>
  <si>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</si>
  <si>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</si>
  <si>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</si>
  <si>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</si>
  <si>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</si>
  <si>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</si>
  <si>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</si>
  <si>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</si>
  <si>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</si>
  <si>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</si>
  <si>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</si>
  <si>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</si>
  <si>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</si>
  <si>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</si>
  <si>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</si>
  <si>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</si>
  <si>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</si>
  <si>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</si>
  <si>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</si>
  <si>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</si>
  <si>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</si>
  <si>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</si>
  <si>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</si>
  <si>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</si>
  <si>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</si>
  <si>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</si>
  <si>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</si>
  <si>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</si>
  <si>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</si>
  <si>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</si>
  <si>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</si>
  <si>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</si>
  <si>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</si>
  <si>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</si>
  <si>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</si>
  <si>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</si>
  <si>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</si>
  <si>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</si>
  <si>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</si>
  <si>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</si>
  <si>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</si>
  <si>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</si>
  <si>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</si>
  <si>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</si>
  <si>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</si>
  <si>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</si>
  <si>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</si>
  <si>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</si>
  <si>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</si>
  <si>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</si>
  <si>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</si>
  <si>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</si>
  <si>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</si>
  <si>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</si>
  <si>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</si>
  <si>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</si>
  <si>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</si>
  <si>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</si>
  <si>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</si>
  <si>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</si>
  <si>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</si>
  <si>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</si>
  <si>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</si>
  <si>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</si>
  <si>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</si>
  <si>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</si>
  <si>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</si>
  <si>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</si>
  <si>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</si>
  <si>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</si>
  <si>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</si>
  <si>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</si>
  <si>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</si>
  <si>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</si>
  <si>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</si>
  <si>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</si>
  <si>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</si>
  <si>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</si>
  <si>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</si>
  <si>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</si>
  <si>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</si>
  <si>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</si>
  <si>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</si>
  <si>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</si>
  <si>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</si>
  <si>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</si>
  <si>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</si>
  <si>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</si>
  <si>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</si>
  <si>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</si>
  <si>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</si>
  <si>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</si>
  <si>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</si>
  <si>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</si>
  <si>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</si>
  <si>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</si>
  <si>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</si>
  <si>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</si>
  <si>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</si>
  <si>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</si>
  <si>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</si>
  <si>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</si>
  <si>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</si>
  <si>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</si>
  <si>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</si>
  <si>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</si>
  <si>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</si>
  <si>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</si>
  <si>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</si>
  <si>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</si>
  <si>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</si>
  <si>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</si>
  <si>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</si>
  <si>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</si>
  <si>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</si>
  <si>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</si>
  <si>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</si>
  <si>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</si>
  <si>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</si>
  <si>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</si>
  <si>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</si>
  <si>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</si>
  <si>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</si>
  <si>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</si>
  <si>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</si>
  <si>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</si>
  <si>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</si>
  <si>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</si>
  <si>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</si>
  <si>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</si>
  <si>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</si>
  <si>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</si>
  <si>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</si>
  <si>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</si>
  <si>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</si>
  <si>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</si>
  <si>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</si>
  <si>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</si>
  <si>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</si>
  <si>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</si>
  <si>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</si>
  <si>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</si>
  <si>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</si>
  <si>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</si>
  <si>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</si>
  <si>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</si>
  <si>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</si>
  <si>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</si>
  <si>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</si>
  <si>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</si>
  <si>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</si>
  <si>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</si>
  <si>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</si>
  <si>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</si>
  <si>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</si>
  <si>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</si>
  <si>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</si>
  <si>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</si>
  <si>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</si>
  <si>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</si>
  <si>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</si>
  <si>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</si>
  <si>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</si>
  <si>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</si>
  <si>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</si>
  <si>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</si>
  <si>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</si>
  <si>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</si>
  <si>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</si>
  <si>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</si>
  <si>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</si>
  <si>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</si>
  <si>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</si>
  <si>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</si>
  <si>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</si>
  <si>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</si>
  <si>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</si>
  <si>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</si>
  <si>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</si>
  <si>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</si>
  <si>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</si>
  <si>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</si>
  <si>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</si>
  <si>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</si>
  <si>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</si>
  <si>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</si>
  <si>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</si>
  <si>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</si>
  <si>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</si>
  <si>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</si>
  <si>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</si>
  <si>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</si>
  <si>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</si>
  <si>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</si>
  <si>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</si>
  <si>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</si>
  <si>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</si>
  <si>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</si>
  <si>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</si>
  <si>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</si>
  <si>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</si>
  <si>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</si>
  <si>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</si>
  <si>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</si>
  <si>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</si>
  <si>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</si>
  <si>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</si>
  <si>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</si>
  <si>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</si>
  <si>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</si>
  <si>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</si>
  <si>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</si>
  <si>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</si>
  <si>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</si>
  <si>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</si>
  <si>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</si>
  <si>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</si>
  <si>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</si>
  <si>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</si>
  <si>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</si>
  <si>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</si>
  <si>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</si>
  <si>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</si>
  <si>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</si>
  <si>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</si>
  <si>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</si>
  <si>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</si>
  <si>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</si>
  <si>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</si>
  <si>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</si>
  <si>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</si>
  <si>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</si>
  <si>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</si>
  <si>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</si>
  <si>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</si>
  <si>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</si>
  <si>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</si>
  <si>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</si>
  <si>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</si>
  <si>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</si>
  <si>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</si>
  <si>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</si>
  <si>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</si>
  <si>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</si>
  <si>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</si>
  <si>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</si>
  <si>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</si>
  <si>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</si>
  <si>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</si>
  <si>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</si>
  <si>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</si>
  <si>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</si>
  <si>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</si>
  <si>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</si>
  <si>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</si>
  <si>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</si>
  <si>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</si>
  <si>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</si>
  <si>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</si>
  <si>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</si>
  <si>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</si>
  <si>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</si>
  <si>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</si>
  <si>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</si>
  <si>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</si>
  <si>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</si>
  <si>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</si>
  <si>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</si>
  <si>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</si>
  <si>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</si>
  <si>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</si>
  <si>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</si>
  <si>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</si>
  <si>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</si>
  <si>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</si>
  <si>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</si>
  <si>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</si>
  <si>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</si>
  <si>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</si>
  <si>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</si>
  <si>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</si>
  <si>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</si>
  <si>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</si>
  <si>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</si>
  <si>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</si>
  <si>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</si>
  <si>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</si>
  <si>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</si>
  <si>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</si>
  <si>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</si>
  <si>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</si>
  <si>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</si>
  <si>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</si>
  <si>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</si>
  <si>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</si>
  <si>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</si>
  <si>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</si>
  <si>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</si>
  <si>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</si>
  <si>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</si>
  <si>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</si>
  <si>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</si>
  <si>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</si>
  <si>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</si>
  <si>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</si>
  <si>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</si>
  <si>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</si>
  <si>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</si>
  <si>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</si>
  <si>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</si>
  <si>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</si>
  <si>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</si>
  <si>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</si>
  <si>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</si>
  <si>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</si>
  <si>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</si>
  <si>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</si>
  <si>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</si>
  <si>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</si>
  <si>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</si>
  <si>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</si>
  <si>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</si>
  <si>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</si>
  <si>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</si>
  <si>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</si>
  <si>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</si>
  <si>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</si>
  <si>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</si>
  <si>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</si>
  <si>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</si>
  <si>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</si>
  <si>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</si>
  <si>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</si>
  <si>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</si>
  <si>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</si>
  <si>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</si>
  <si>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</si>
  <si>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</si>
  <si>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</si>
  <si>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</si>
  <si>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</si>
  <si>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</si>
  <si>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</si>
  <si>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</si>
  <si>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</si>
  <si>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</si>
  <si>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</si>
  <si>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</si>
  <si>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</si>
  <si>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</si>
  <si>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</si>
  <si>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</si>
  <si>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</si>
  <si>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</si>
  <si>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</si>
  <si>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</si>
  <si>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</si>
  <si>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</si>
  <si>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</si>
  <si>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</si>
  <si>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</si>
  <si>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</si>
  <si>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</si>
  <si>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</si>
  <si>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</si>
  <si>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</si>
  <si>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</si>
  <si>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</si>
  <si>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</si>
  <si>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</si>
  <si>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</si>
  <si>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</si>
  <si>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</si>
  <si>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</si>
  <si>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</si>
  <si>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</si>
  <si>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</si>
  <si>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</si>
  <si>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</si>
  <si>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</si>
  <si>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</si>
  <si>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</si>
  <si>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</si>
  <si>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</si>
  <si>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</si>
  <si>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</si>
  <si>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</si>
  <si>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</si>
  <si>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</si>
  <si>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</si>
  <si>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</si>
  <si>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</si>
  <si>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</si>
  <si>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</si>
  <si>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</si>
  <si>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</si>
  <si>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</si>
  <si>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</si>
  <si>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</si>
  <si>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</si>
  <si>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</si>
  <si>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</si>
  <si>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</si>
  <si>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</si>
  <si>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</si>
  <si>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</si>
  <si>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</si>
  <si>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</si>
  <si>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</si>
  <si>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</si>
  <si>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</si>
  <si>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</si>
  <si>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</si>
  <si>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</si>
  <si>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</si>
  <si>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</si>
  <si>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</si>
  <si>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</si>
  <si>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</si>
  <si>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</si>
  <si>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</si>
  <si>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</si>
  <si>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</si>
  <si>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</si>
  <si>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</si>
  <si>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</si>
  <si>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</si>
  <si>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</si>
  <si>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</si>
  <si>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</si>
  <si>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</si>
  <si>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</si>
  <si>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</si>
  <si>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</si>
  <si>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</si>
  <si>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</si>
  <si>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</si>
  <si>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</si>
  <si>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</si>
  <si>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</si>
  <si>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</si>
  <si>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</si>
  <si>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</si>
  <si>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</si>
  <si>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</si>
  <si>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</si>
  <si>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</si>
  <si>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</si>
  <si>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</si>
  <si>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</si>
  <si>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</si>
  <si>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</si>
  <si>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</si>
  <si>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</si>
  <si>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</si>
  <si>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</si>
  <si>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</si>
  <si>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</si>
  <si>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</si>
  <si>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</si>
  <si>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</si>
  <si>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</si>
  <si>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</si>
  <si>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</si>
  <si>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</si>
  <si>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</si>
  <si>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</si>
  <si>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</si>
  <si>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</si>
  <si>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</si>
  <si>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</si>
  <si>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</si>
  <si>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</si>
  <si>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</si>
  <si>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</si>
  <si>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</si>
  <si>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</si>
  <si>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</si>
  <si>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</si>
  <si>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</si>
  <si>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</si>
  <si>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</si>
  <si>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</si>
  <si>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</si>
  <si>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</si>
  <si>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</si>
  <si>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</si>
  <si>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</si>
  <si>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</si>
  <si>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</si>
  <si>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</si>
  <si>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</si>
  <si>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</si>
  <si>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</si>
  <si>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</si>
  <si>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</si>
  <si>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</si>
  <si>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</si>
  <si>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</si>
  <si>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</si>
  <si>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</si>
  <si>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</si>
  <si>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</si>
  <si>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</si>
  <si>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</si>
  <si>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</si>
  <si>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</si>
  <si>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</si>
  <si>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</si>
  <si>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</si>
  <si>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</si>
  <si>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</si>
  <si>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</si>
  <si>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</si>
  <si>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</si>
  <si>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</si>
  <si>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</si>
  <si>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</si>
  <si>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</si>
  <si>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</si>
  <si>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</si>
  <si>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</si>
  <si>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</si>
  <si>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</si>
  <si>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</si>
  <si>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</si>
  <si>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</si>
  <si>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</si>
  <si>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</si>
  <si>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</si>
  <si>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</si>
  <si>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</si>
  <si>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</si>
  <si>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</si>
  <si>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</si>
  <si>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</si>
  <si>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</si>
  <si>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</si>
  <si>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</si>
  <si>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</si>
  <si>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</si>
  <si>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</si>
  <si>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</si>
  <si>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</si>
  <si>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</si>
  <si>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</si>
  <si>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</si>
  <si>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</si>
  <si>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</si>
  <si>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</si>
  <si>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</si>
  <si>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</si>
  <si>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</si>
  <si>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</si>
  <si>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</si>
  <si>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</si>
  <si>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</si>
  <si>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</si>
  <si>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</si>
  <si>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</si>
  <si>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</si>
  <si>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</si>
  <si>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</si>
  <si>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</si>
  <si>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</si>
  <si>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</si>
  <si>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</si>
  <si>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</si>
  <si>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</si>
  <si>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</si>
  <si>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</si>
  <si>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</si>
  <si>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</si>
  <si>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</si>
  <si>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</si>
  <si>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</si>
  <si>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</si>
  <si>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</si>
  <si>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</si>
  <si>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</si>
  <si>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</si>
  <si>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</si>
  <si>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</si>
  <si>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</si>
  <si>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</si>
  <si>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</si>
  <si>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</si>
  <si>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</si>
  <si>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</si>
  <si>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</si>
  <si>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</si>
  <si>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</si>
  <si>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</si>
  <si>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</si>
  <si>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</si>
  <si>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</si>
  <si>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</si>
  <si>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</si>
  <si>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</si>
  <si>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</si>
  <si>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</si>
  <si>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</si>
  <si>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</si>
  <si>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</si>
  <si>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</si>
  <si>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</si>
  <si>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</si>
  <si>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</si>
  <si>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</si>
  <si>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</si>
  <si>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</si>
  <si>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</si>
  <si>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</si>
  <si>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</si>
  <si>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</si>
  <si>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</si>
  <si>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</si>
  <si>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</si>
  <si>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</si>
  <si>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</si>
  <si>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</si>
  <si>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</si>
  <si>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</si>
  <si>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</si>
  <si>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</si>
  <si>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</si>
  <si>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</si>
  <si>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</si>
  <si>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</si>
  <si>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</si>
  <si>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</si>
  <si>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</si>
  <si>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</si>
  <si>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</si>
  <si>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</si>
  <si>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</si>
  <si>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</si>
  <si>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</si>
  <si>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</si>
  <si>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</si>
  <si>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</si>
  <si>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</si>
  <si>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</si>
  <si>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</si>
  <si>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</si>
  <si>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</si>
  <si>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</si>
  <si>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</si>
  <si>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</si>
  <si>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</si>
  <si>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</si>
  <si>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</si>
  <si>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</si>
  <si>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</si>
  <si>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</si>
  <si>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</si>
  <si>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</si>
  <si>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</si>
  <si>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</si>
  <si>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</si>
  <si>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</si>
  <si>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</si>
  <si>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</si>
  <si>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</si>
  <si>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</si>
  <si>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</si>
  <si>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</si>
  <si>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</si>
  <si>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</si>
  <si>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</si>
  <si>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</si>
  <si>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</si>
  <si>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</si>
  <si>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</si>
  <si>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</si>
  <si>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</si>
  <si>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</si>
  <si>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</si>
  <si>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</si>
  <si>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</si>
  <si>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</si>
  <si>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</si>
  <si>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</si>
  <si>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</si>
  <si>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</si>
  <si>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</si>
  <si>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</si>
  <si>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</si>
  <si>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</si>
  <si>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</si>
  <si>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</si>
  <si>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</si>
  <si>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</si>
  <si>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</si>
  <si>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</si>
  <si>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</si>
  <si>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</si>
  <si>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</si>
  <si>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</si>
  <si>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</si>
  <si>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</si>
  <si>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</si>
  <si>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</si>
  <si>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</si>
  <si>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</si>
  <si>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</si>
  <si>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</si>
  <si>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</si>
  <si>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</si>
  <si>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</si>
  <si>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</si>
  <si>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</si>
  <si>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</si>
  <si>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</si>
  <si>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</si>
  <si>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</si>
  <si>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</si>
  <si>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</si>
  <si>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</si>
  <si>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</si>
  <si>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</si>
  <si>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</si>
  <si>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</si>
  <si>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</si>
  <si>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</si>
  <si>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</si>
  <si>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</si>
  <si>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</si>
  <si>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</si>
  <si>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</si>
  <si>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</si>
  <si>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</si>
  <si>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</si>
  <si>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</si>
  <si>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</si>
  <si>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</si>
  <si>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</si>
  <si>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</si>
  <si>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</si>
  <si>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</si>
  <si>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</si>
  <si>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</si>
  <si>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</si>
  <si>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</si>
  <si>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</si>
  <si>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</si>
  <si>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</si>
  <si>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</si>
  <si>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</si>
  <si>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</si>
  <si>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</si>
  <si>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</si>
  <si>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</si>
  <si>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</si>
  <si>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</si>
  <si>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</si>
  <si>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</si>
  <si>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</si>
  <si>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</si>
  <si>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</si>
  <si>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</si>
  <si>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</si>
  <si>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</si>
  <si>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</si>
  <si>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</si>
  <si>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</si>
  <si>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</si>
  <si>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</si>
  <si>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</si>
  <si>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</si>
  <si>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</si>
  <si>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</si>
  <si>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</si>
  <si>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</si>
  <si>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</si>
  <si>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</si>
  <si>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</si>
  <si>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</si>
  <si>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</si>
  <si>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</si>
  <si>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</si>
  <si>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</si>
  <si>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</si>
  <si>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</si>
  <si>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</si>
  <si>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</si>
  <si>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</si>
  <si>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</si>
  <si>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</si>
  <si>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</si>
  <si>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</si>
  <si>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</si>
  <si>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</si>
  <si>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</si>
  <si>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</si>
  <si>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</si>
  <si>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</si>
  <si>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</si>
  <si>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</si>
  <si>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</si>
  <si>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</si>
  <si>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</si>
  <si>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</si>
  <si>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</si>
  <si>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</si>
  <si>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</si>
  <si>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</si>
  <si>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</si>
  <si>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</si>
  <si>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</si>
  <si>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</si>
  <si>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</si>
  <si>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</si>
  <si>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</si>
  <si>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</si>
  <si>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</si>
  <si>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</si>
  <si>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</si>
  <si>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</si>
  <si>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</si>
  <si>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</si>
  <si>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</si>
  <si>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</si>
  <si>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</si>
  <si>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</si>
  <si>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</si>
  <si>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</si>
  <si>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</si>
  <si>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</si>
  <si>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</si>
  <si>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</si>
  <si>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</si>
  <si>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</si>
  <si>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</si>
  <si>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</si>
  <si>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</si>
  <si>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</si>
  <si>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</si>
  <si>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</si>
  <si>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</si>
  <si>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</si>
  <si>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</si>
  <si>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</si>
  <si>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</si>
  <si>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</si>
  <si>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</si>
  <si>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</si>
  <si>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</si>
  <si>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</si>
  <si>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</si>
  <si>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</si>
  <si>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</si>
  <si>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</si>
  <si>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</si>
  <si>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</si>
  <si>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</si>
  <si>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</si>
  <si>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</si>
  <si>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</si>
  <si>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</si>
  <si>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</si>
  <si>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</si>
  <si>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</si>
  <si>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</si>
  <si>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</si>
  <si>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</si>
  <si>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</si>
  <si>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</si>
  <si>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</si>
  <si>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</si>
  <si>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</si>
  <si>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</si>
  <si>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</si>
  <si>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</si>
  <si>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</si>
  <si>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</si>
  <si>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</si>
  <si>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</si>
  <si>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</si>
  <si>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</si>
  <si>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</si>
  <si>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</si>
  <si>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</si>
  <si>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</si>
  <si>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</si>
  <si>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</si>
  <si>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</si>
  <si>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</si>
  <si>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</si>
  <si>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</si>
  <si>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</si>
  <si>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</si>
  <si>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</si>
  <si>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</si>
  <si>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</si>
  <si>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</si>
  <si>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</si>
  <si>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</si>
  <si>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</si>
  <si>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</si>
  <si>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</si>
  <si>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</si>
  <si>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</si>
  <si>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</si>
  <si>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</si>
  <si>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</si>
  <si>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</si>
  <si>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</si>
  <si>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</si>
  <si>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</si>
  <si>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</si>
  <si>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</si>
  <si>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</si>
  <si>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</si>
  <si>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</si>
  <si>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</si>
  <si>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</si>
  <si>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</si>
  <si>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</si>
  <si>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</si>
  <si>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</si>
  <si>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</si>
  <si>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</si>
  <si>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</si>
  <si>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</si>
  <si>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</si>
  <si>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</si>
  <si>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</si>
  <si>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</si>
  <si>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</si>
  <si>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</si>
  <si>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</si>
  <si>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</si>
  <si>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</si>
  <si>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</si>
  <si>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</si>
  <si>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</si>
  <si>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</si>
  <si>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</si>
  <si>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</si>
  <si>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</si>
  <si>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</si>
  <si>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</si>
  <si>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</si>
  <si>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</si>
  <si>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</si>
  <si>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</si>
  <si>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</si>
  <si>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</si>
  <si>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</si>
  <si>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</si>
  <si>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</si>
  <si>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</si>
  <si>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</si>
  <si>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</si>
  <si>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</si>
  <si>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</si>
  <si>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</si>
  <si>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</si>
  <si>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</si>
  <si>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</si>
  <si>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</si>
  <si>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</si>
  <si>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</si>
  <si>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</si>
  <si>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</si>
  <si>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</si>
  <si>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</si>
  <si>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</si>
  <si>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</si>
  <si>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</si>
  <si>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</si>
  <si>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</si>
  <si>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</si>
  <si>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</si>
  <si>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</si>
  <si>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</si>
  <si>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</si>
  <si>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</si>
  <si>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</si>
  <si>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</si>
  <si>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</si>
  <si>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</si>
  <si>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</si>
  <si>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</si>
  <si>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</si>
  <si>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</si>
  <si>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</si>
  <si>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</si>
  <si>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</si>
  <si>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</si>
  <si>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</si>
  <si>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</si>
  <si>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</si>
  <si>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</si>
  <si>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</si>
  <si>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</si>
  <si>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</si>
  <si>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</si>
  <si>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</si>
  <si>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</si>
  <si>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</si>
  <si>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</si>
  <si>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</si>
  <si>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</si>
  <si>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</si>
  <si>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</si>
  <si>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</si>
  <si>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</si>
  <si>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</si>
  <si>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</si>
  <si>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</si>
  <si>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</si>
  <si>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</si>
  <si>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</si>
  <si>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</si>
  <si>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</si>
  <si>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</si>
  <si>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</si>
  <si>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</si>
  <si>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</si>
  <si>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</si>
  <si>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</si>
  <si>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</si>
  <si>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</si>
  <si>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</si>
  <si>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</si>
  <si>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</si>
  <si>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</si>
  <si>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</si>
  <si>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</si>
  <si>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</si>
  <si>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</si>
  <si>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</si>
  <si>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</si>
  <si>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</si>
  <si>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</si>
  <si>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</si>
  <si>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</si>
  <si>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</si>
  <si>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</si>
  <si>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</si>
  <si>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</si>
  <si>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</si>
  <si>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</si>
  <si>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</si>
  <si>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</si>
  <si>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</si>
  <si>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</si>
  <si>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</si>
  <si>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</si>
  <si>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</si>
  <si>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</si>
  <si>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</si>
  <si>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</si>
  <si>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</si>
  <si>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</si>
  <si>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</si>
  <si>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</si>
  <si>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</si>
  <si>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</si>
  <si>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</si>
  <si>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</si>
  <si>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</si>
  <si>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</si>
  <si>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</si>
  <si>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</si>
  <si>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</si>
  <si>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</si>
  <si>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</si>
  <si>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</si>
  <si>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</si>
  <si>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</si>
  <si>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</si>
  <si>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</si>
  <si>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</si>
  <si>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</si>
  <si>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</si>
  <si>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</si>
  <si>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</si>
  <si>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</si>
  <si>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</si>
  <si>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</si>
  <si>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</si>
  <si>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</si>
  <si>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</si>
  <si>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</si>
  <si>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</si>
  <si>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</si>
  <si>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</si>
  <si>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</si>
  <si>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</si>
  <si>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</si>
  <si>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</si>
  <si>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</si>
  <si>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</si>
  <si>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</si>
  <si>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</si>
  <si>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</si>
  <si>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</si>
  <si>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</si>
  <si>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</si>
  <si>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</si>
  <si>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</si>
  <si>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</si>
  <si>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</si>
  <si>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</si>
  <si>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</si>
  <si>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</si>
  <si>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</si>
  <si>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</si>
  <si>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</si>
  <si>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</si>
  <si>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</si>
  <si>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</si>
  <si>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</si>
  <si>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</si>
  <si>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</si>
  <si>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</si>
  <si>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</si>
  <si>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</si>
  <si>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</si>
  <si>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</si>
  <si>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</si>
  <si>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</si>
  <si>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</si>
  <si>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</si>
  <si>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</si>
  <si>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</si>
  <si>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</si>
  <si>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</si>
  <si>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</si>
  <si>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</si>
  <si>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</si>
  <si>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</si>
  <si>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</si>
  <si>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</si>
  <si>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</si>
  <si>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</si>
  <si>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</si>
  <si>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</si>
  <si>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</si>
  <si>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</si>
  <si>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</si>
  <si>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</si>
  <si>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</si>
  <si>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</si>
  <si>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</si>
  <si>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</si>
  <si>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</si>
  <si>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</si>
  <si>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</si>
  <si>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</si>
  <si>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</si>
  <si>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</si>
  <si>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</si>
  <si>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</si>
  <si>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</si>
  <si>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</si>
  <si>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</si>
  <si>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</si>
  <si>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</si>
  <si>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</si>
  <si>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</si>
  <si>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</si>
  <si>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</si>
  <si>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</si>
  <si>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</si>
  <si>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</si>
  <si>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</si>
  <si>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</si>
  <si>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</si>
  <si>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</si>
  <si>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</si>
  <si>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</si>
  <si>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</si>
  <si>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</si>
  <si>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</si>
  <si>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</si>
  <si>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</si>
  <si>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</si>
  <si>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</si>
  <si>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</si>
  <si>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</si>
  <si>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</si>
  <si>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</si>
  <si>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</si>
  <si>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</si>
  <si>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</si>
  <si>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</si>
  <si>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</si>
  <si>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</si>
  <si>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</si>
  <si>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</si>
  <si>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</si>
  <si>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</si>
  <si>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</si>
  <si>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</si>
  <si>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</si>
  <si>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</si>
  <si>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</si>
  <si>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</si>
  <si>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</si>
  <si>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</si>
  <si>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</si>
  <si>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</si>
  <si>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</si>
  <si>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</si>
  <si>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</si>
  <si>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</si>
  <si>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</si>
  <si>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</si>
  <si>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</si>
  <si>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</si>
  <si>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</si>
  <si>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</si>
  <si>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</si>
  <si>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</si>
  <si>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</si>
  <si>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</si>
  <si>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</si>
  <si>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</si>
  <si>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</si>
  <si>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</si>
  <si>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</si>
  <si>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</si>
  <si>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</si>
  <si>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</si>
  <si>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</si>
  <si>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</si>
  <si>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</si>
  <si>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</si>
  <si>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</si>
  <si>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</si>
  <si>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</si>
  <si>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</si>
  <si>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</si>
  <si>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</si>
  <si>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</si>
  <si>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</si>
  <si>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</si>
  <si>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</si>
  <si>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</si>
  <si>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</si>
  <si>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</si>
  <si>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</si>
  <si>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</si>
  <si>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</si>
  <si>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</si>
  <si>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</si>
  <si>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</si>
  <si>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</si>
  <si>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</si>
  <si>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</si>
  <si>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</si>
  <si>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</si>
  <si>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</si>
  <si>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</si>
  <si>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</si>
  <si>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</si>
  <si>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</si>
  <si>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</si>
  <si>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</si>
  <si>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</si>
  <si>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</si>
  <si>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</si>
  <si>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</si>
  <si>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</si>
  <si>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</si>
  <si>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</si>
  <si>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</si>
  <si>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</si>
  <si>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</si>
  <si>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</si>
  <si>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</si>
  <si>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</si>
  <si>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</si>
  <si>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</si>
  <si>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</si>
  <si>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</si>
  <si>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</si>
  <si>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</si>
  <si>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</si>
  <si>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</si>
  <si>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</si>
  <si>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</si>
  <si>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</si>
  <si>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</si>
  <si>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</si>
  <si>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</si>
  <si>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</si>
  <si>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</si>
  <si>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</si>
  <si>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</si>
  <si>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</si>
  <si>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</si>
  <si>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</si>
  <si>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</si>
  <si>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</si>
  <si>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</si>
  <si>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</si>
  <si>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</si>
  <si>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</si>
  <si>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</si>
  <si>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</si>
  <si>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</si>
  <si>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</si>
  <si>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</si>
  <si>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</si>
  <si>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</si>
  <si>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</si>
  <si>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</si>
  <si>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</si>
  <si>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</si>
  <si>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</si>
  <si>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</si>
  <si>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</si>
  <si>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</si>
  <si>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</si>
  <si>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</si>
  <si>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</si>
  <si>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</si>
  <si>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</si>
  <si>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</si>
  <si>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</si>
  <si>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</si>
  <si>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</si>
  <si>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</si>
  <si>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</si>
  <si>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</si>
  <si>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</si>
  <si>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</si>
  <si>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</si>
  <si>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</si>
  <si>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</si>
  <si>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</si>
  <si>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</si>
  <si>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</si>
  <si>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</si>
  <si>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</si>
  <si>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</si>
  <si>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</si>
  <si>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</si>
  <si>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</si>
  <si>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</si>
  <si>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</si>
  <si>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</si>
  <si>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</si>
  <si>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</si>
  <si>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</si>
  <si>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</si>
  <si>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</si>
  <si>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</si>
  <si>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</si>
  <si>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</si>
  <si>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</si>
  <si>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</si>
  <si>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</si>
  <si>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</si>
  <si>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</si>
  <si>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</si>
  <si>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</si>
  <si>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</si>
  <si>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</si>
  <si>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</si>
  <si>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</si>
  <si>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</si>
  <si>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</si>
  <si>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</si>
  <si>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</si>
  <si>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</si>
  <si>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</si>
  <si>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</si>
  <si>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</si>
  <si>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</si>
  <si>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</si>
  <si>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</si>
  <si>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</si>
  <si>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</si>
  <si>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</si>
  <si>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</si>
  <si>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</si>
  <si>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</si>
  <si>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</si>
  <si>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</si>
  <si>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</si>
  <si>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</si>
  <si>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</si>
  <si>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</si>
  <si>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</si>
  <si>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</si>
  <si>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</si>
  <si>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</si>
  <si>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</si>
  <si>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</si>
  <si>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</si>
  <si>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</si>
  <si>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</si>
  <si>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</si>
  <si>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</si>
  <si>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</si>
  <si>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</si>
  <si>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</si>
  <si>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</si>
  <si>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</si>
  <si>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</si>
  <si>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</si>
  <si>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</si>
  <si>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</si>
  <si>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</si>
  <si>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</si>
  <si>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</si>
  <si>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</si>
  <si>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</si>
  <si>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</si>
  <si>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</si>
  <si>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</si>
  <si>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</si>
  <si>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</si>
  <si>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</si>
  <si>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</si>
  <si>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</si>
  <si>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</si>
  <si>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</si>
  <si>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</si>
  <si>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</si>
  <si>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</si>
  <si>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</si>
  <si>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</si>
  <si>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</si>
  <si>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</si>
  <si>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</si>
  <si>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</si>
  <si>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</si>
  <si>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</si>
  <si>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</si>
  <si>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</si>
  <si>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</si>
  <si>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</si>
  <si>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</si>
  <si>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</si>
  <si>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</si>
  <si>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</si>
  <si>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</si>
  <si>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</si>
  <si>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</si>
  <si>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</si>
  <si>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</si>
  <si>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</si>
  <si>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</si>
  <si>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</si>
  <si>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</si>
  <si>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</si>
  <si>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</si>
  <si>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</si>
  <si>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</si>
  <si>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</si>
  <si>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</si>
  <si>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</si>
  <si>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</si>
  <si>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</si>
  <si>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</si>
  <si>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</si>
  <si>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</si>
  <si>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</si>
  <si>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</si>
  <si>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</si>
  <si>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</si>
  <si>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</si>
  <si>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</si>
  <si>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</si>
  <si>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</si>
  <si>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</si>
  <si>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</si>
  <si>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</si>
  <si>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</si>
  <si>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</si>
  <si>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</si>
  <si>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</si>
  <si>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</si>
  <si>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</si>
  <si>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</si>
  <si>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</si>
  <si>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</si>
  <si>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</si>
  <si>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</si>
  <si>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</si>
  <si>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</si>
  <si>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</si>
  <si>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</si>
  <si>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</si>
  <si>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</si>
  <si>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</si>
  <si>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</si>
  <si>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</si>
  <si>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</si>
  <si>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</si>
  <si>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</si>
  <si>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</si>
  <si>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</si>
  <si>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</si>
  <si>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</si>
  <si>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</si>
  <si>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</si>
  <si>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</si>
  <si>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</si>
  <si>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</si>
  <si>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</si>
  <si>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</si>
  <si>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</si>
  <si>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</si>
  <si>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</si>
  <si>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</si>
  <si>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</si>
  <si>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</si>
  <si>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</si>
  <si>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</si>
  <si>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</si>
  <si>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</si>
  <si>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</si>
  <si>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</si>
  <si>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</si>
  <si>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</si>
  <si>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</si>
  <si>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</si>
  <si>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</si>
  <si>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</si>
  <si>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</si>
  <si>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</si>
  <si>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</si>
  <si>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</si>
  <si>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</si>
  <si>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</si>
  <si>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</si>
  <si>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</si>
  <si>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</si>
  <si>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</si>
  <si>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</si>
  <si>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</si>
  <si>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</si>
  <si>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</si>
  <si>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</si>
  <si>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</si>
  <si>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</si>
  <si>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</si>
  <si>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</si>
  <si>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</si>
  <si>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</si>
  <si>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</si>
  <si>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</si>
  <si>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</si>
  <si>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</si>
  <si>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</si>
  <si>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</si>
  <si>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</si>
  <si>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</si>
  <si>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</si>
  <si>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</si>
  <si>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</si>
  <si>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</si>
  <si>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</si>
  <si>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</si>
  <si>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</si>
  <si>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</si>
  <si>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</si>
  <si>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</si>
  <si>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</si>
  <si>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</si>
  <si>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</si>
  <si>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</si>
  <si>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</si>
  <si>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</si>
  <si>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</si>
  <si>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</si>
  <si>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</si>
  <si>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</si>
  <si>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</si>
  <si>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</si>
  <si>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</si>
  <si>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</si>
  <si>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</si>
  <si>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</si>
  <si>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</si>
  <si>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</si>
  <si>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</si>
  <si>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</si>
  <si>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</si>
  <si>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</si>
  <si>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</si>
  <si>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</si>
  <si>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</si>
  <si>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</si>
  <si>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</si>
  <si>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</si>
  <si>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</si>
  <si>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</si>
  <si>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</si>
  <si>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</si>
  <si>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</si>
  <si>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</si>
  <si>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</si>
  <si>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</si>
  <si>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</si>
  <si>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</si>
  <si>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</si>
  <si>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</si>
  <si>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</si>
  <si>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</si>
  <si>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</si>
  <si>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</si>
  <si>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</si>
  <si>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</si>
  <si>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</si>
  <si>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</si>
  <si>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</si>
  <si>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</si>
  <si>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</si>
  <si>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</si>
  <si>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</si>
  <si>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</si>
  <si>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</si>
  <si>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</si>
  <si>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</si>
  <si>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</si>
  <si>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</si>
  <si>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</si>
  <si>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</si>
  <si>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</si>
  <si>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</si>
  <si>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</si>
  <si>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</si>
  <si>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</si>
  <si>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</si>
  <si>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</si>
  <si>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</si>
  <si>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</si>
  <si>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</si>
  <si>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</si>
  <si>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</si>
  <si>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</si>
  <si>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</si>
  <si>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</si>
  <si>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</si>
  <si>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</si>
  <si>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</si>
  <si>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</si>
  <si>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</si>
  <si>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</si>
  <si>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</si>
  <si>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</si>
  <si>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</si>
  <si>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</si>
  <si>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</si>
  <si>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</si>
  <si>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</si>
  <si>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</si>
  <si>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</si>
  <si>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</si>
  <si>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</si>
  <si>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</si>
  <si>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</si>
  <si>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</si>
  <si>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</si>
  <si>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</si>
  <si>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</si>
  <si>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</si>
  <si>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</si>
  <si>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</si>
  <si>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</si>
  <si>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</si>
  <si>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</si>
  <si>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</si>
  <si>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</si>
  <si>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</si>
  <si>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</si>
  <si>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</si>
  <si>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</si>
  <si>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</si>
  <si>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</si>
  <si>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</si>
  <si>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</si>
  <si>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</si>
  <si>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</si>
  <si>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</si>
  <si>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</si>
  <si>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</si>
  <si>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</si>
  <si>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</si>
  <si>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</si>
  <si>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</si>
  <si>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</si>
  <si>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</si>
  <si>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</si>
  <si>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</si>
  <si>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</si>
  <si>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</si>
  <si>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</si>
  <si>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</si>
  <si>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</si>
  <si>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</si>
  <si>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</si>
  <si>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</si>
  <si>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</si>
  <si>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</si>
  <si>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</si>
  <si>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</si>
  <si>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</si>
  <si>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</si>
  <si>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</si>
  <si>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</si>
  <si>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</si>
  <si>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</si>
  <si>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</si>
  <si>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</si>
  <si>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</si>
  <si>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</si>
  <si>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</si>
  <si>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</si>
  <si>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</si>
  <si>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</si>
  <si>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</si>
  <si>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</si>
  <si>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</si>
  <si>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</si>
  <si>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</si>
  <si>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</si>
  <si>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</si>
  <si>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</si>
  <si>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</si>
  <si>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</si>
  <si>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</si>
  <si>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</si>
  <si>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</si>
  <si>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</si>
  <si>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</si>
  <si>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</si>
  <si>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</si>
  <si>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</si>
  <si>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</si>
  <si>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</si>
  <si>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</si>
  <si>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</si>
  <si>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</si>
  <si>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</si>
  <si>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</si>
  <si>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</si>
  <si>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</si>
  <si>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</si>
  <si>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</si>
  <si>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</si>
  <si>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</si>
  <si>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</si>
  <si>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</si>
  <si>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</si>
  <si>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</si>
  <si>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</si>
  <si>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</si>
  <si>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</si>
  <si>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</si>
  <si>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</si>
  <si>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</si>
  <si>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</si>
  <si>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</si>
  <si>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</si>
  <si>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</si>
  <si>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</si>
  <si>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</si>
  <si>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</si>
  <si>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</si>
  <si>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</si>
  <si>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</si>
  <si>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</si>
  <si>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</si>
  <si>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</si>
  <si>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</si>
  <si>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</si>
  <si>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</si>
  <si>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</si>
  <si>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</si>
  <si>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</si>
  <si>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</si>
  <si>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</si>
  <si>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</si>
  <si>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</si>
  <si>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</si>
  <si>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</si>
  <si>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</si>
  <si>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</si>
  <si>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</si>
  <si>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</si>
  <si>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</si>
  <si>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</si>
  <si>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</si>
  <si>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</si>
  <si>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</si>
  <si>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</si>
  <si>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</si>
  <si>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</si>
  <si>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</si>
  <si>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</si>
  <si>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</si>
  <si>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</si>
  <si>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</si>
  <si>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</si>
  <si>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</si>
  <si>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</si>
  <si>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</si>
  <si>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</si>
  <si>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</si>
  <si>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</si>
  <si>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</si>
  <si>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</si>
  <si>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</si>
  <si>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</si>
  <si>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</si>
  <si>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</si>
  <si>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</si>
  <si>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</si>
  <si>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</si>
  <si>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</si>
  <si>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</si>
  <si>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</si>
  <si>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</si>
  <si>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</si>
  <si>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</si>
  <si>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</si>
  <si>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</si>
  <si>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</si>
  <si>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</si>
  <si>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</si>
  <si>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</si>
  <si>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</si>
  <si>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</si>
  <si>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</si>
  <si>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</si>
  <si>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</si>
  <si>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</si>
  <si>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</si>
  <si>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</si>
  <si>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</si>
  <si>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</si>
  <si>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</si>
  <si>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</si>
  <si>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</si>
  <si>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</si>
  <si>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</si>
  <si>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</si>
  <si>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</si>
  <si>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</si>
  <si>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</si>
  <si>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</si>
  <si>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</si>
  <si>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</si>
  <si>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</si>
  <si>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</si>
  <si>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</si>
  <si>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</si>
  <si>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</si>
  <si>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</si>
  <si>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</si>
  <si>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</si>
  <si>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</si>
  <si>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</si>
  <si>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</si>
  <si>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</si>
  <si>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</si>
  <si>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</si>
  <si>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</si>
  <si>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</si>
  <si>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</si>
  <si>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</si>
  <si>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</si>
  <si>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</si>
  <si>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</si>
  <si>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</si>
  <si>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</si>
  <si>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</si>
  <si>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</si>
  <si>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</si>
  <si>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</si>
  <si>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</si>
  <si>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</si>
  <si>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</si>
  <si>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</si>
  <si>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</si>
  <si>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</si>
  <si>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</si>
  <si>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</si>
  <si>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</si>
  <si>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</si>
  <si>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</si>
  <si>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</si>
  <si>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</si>
  <si>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</si>
  <si>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</si>
  <si>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</si>
  <si>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</si>
  <si>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</si>
  <si>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</si>
  <si>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</si>
  <si>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</si>
  <si>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</si>
  <si>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</si>
  <si>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</si>
  <si>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</si>
  <si>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</si>
  <si>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</si>
  <si>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</si>
  <si>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</si>
  <si>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</si>
  <si>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</si>
  <si>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</si>
  <si>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</si>
  <si>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</si>
  <si>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</si>
  <si>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</si>
  <si>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</si>
  <si>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</si>
  <si>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</si>
  <si>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</si>
  <si>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</si>
  <si>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</si>
  <si>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</si>
  <si>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</si>
  <si>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</si>
  <si>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</si>
  <si>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</si>
  <si>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</si>
  <si>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</si>
  <si>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</si>
  <si>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</si>
  <si>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</si>
  <si>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</si>
  <si>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</si>
  <si>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</si>
  <si>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</si>
  <si>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</si>
  <si>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</si>
  <si>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</si>
  <si>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</si>
  <si>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</si>
  <si>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</si>
  <si>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</si>
  <si>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</si>
  <si>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</si>
  <si>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</si>
  <si>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</si>
  <si>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</si>
  <si>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</si>
  <si>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</si>
  <si>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</si>
  <si>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</si>
  <si>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</si>
  <si>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</si>
  <si>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</si>
  <si>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</si>
  <si>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</si>
  <si>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</si>
  <si>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</si>
  <si>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</si>
  <si>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</si>
  <si>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</si>
  <si>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</si>
  <si>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</si>
  <si>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</si>
  <si>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</si>
  <si>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</si>
  <si>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</si>
  <si>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</si>
  <si>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</si>
  <si>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</si>
  <si>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</si>
  <si>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</si>
  <si>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</si>
  <si>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</si>
  <si>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</si>
  <si>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</si>
  <si>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</si>
  <si>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</si>
  <si>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</si>
  <si>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</si>
  <si>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</si>
  <si>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</si>
  <si>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</si>
  <si>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</si>
  <si>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</si>
  <si>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</si>
  <si>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</si>
  <si>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</si>
  <si>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</si>
  <si>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</si>
  <si>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</si>
  <si>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</si>
  <si>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</si>
  <si>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</si>
  <si>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</si>
  <si>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</si>
  <si>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</si>
  <si>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</si>
  <si>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</si>
  <si>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</si>
  <si>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</si>
  <si>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</si>
  <si>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</si>
  <si>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</si>
  <si>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</si>
  <si>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</si>
  <si>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</si>
  <si>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</si>
  <si>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</si>
  <si>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</si>
  <si>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</si>
  <si>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</si>
  <si>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</si>
  <si>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</si>
  <si>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</si>
  <si>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</si>
  <si>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</si>
  <si>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</si>
  <si>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</si>
  <si>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</si>
  <si>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</si>
  <si>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</si>
  <si>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</si>
  <si>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</si>
  <si>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</si>
  <si>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</si>
  <si>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</si>
  <si>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</si>
  <si>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</si>
  <si>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</si>
  <si>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</si>
  <si>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</si>
  <si>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</si>
  <si>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</si>
  <si>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</si>
  <si>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</si>
  <si>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</si>
  <si>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</si>
  <si>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</si>
  <si>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</si>
  <si>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</si>
  <si>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</si>
  <si>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</si>
  <si>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</si>
  <si>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</si>
  <si>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</si>
  <si>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</si>
  <si>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</si>
  <si>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</si>
  <si>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</si>
  <si>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</si>
  <si>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</si>
  <si>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</si>
  <si>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</si>
  <si>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</si>
  <si>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</si>
  <si>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</si>
  <si>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</si>
  <si>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</si>
  <si>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</si>
  <si>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</si>
  <si>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</si>
  <si>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</si>
  <si>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</si>
  <si>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</si>
  <si>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</si>
  <si>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</si>
  <si>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</si>
  <si>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</si>
  <si>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</si>
  <si>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</si>
  <si>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</si>
  <si>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</si>
  <si>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</si>
  <si>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</si>
  <si>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</si>
  <si>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</si>
  <si>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</si>
  <si>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</si>
  <si>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</si>
  <si>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</si>
  <si>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</si>
  <si>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</si>
  <si>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</si>
  <si>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</si>
  <si>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</si>
  <si>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</si>
  <si>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</si>
  <si>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</si>
  <si>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</si>
  <si>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</si>
  <si>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</si>
  <si>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</si>
  <si>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</si>
  <si>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</si>
  <si>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</si>
  <si>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</si>
  <si>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</si>
  <si>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</si>
  <si>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</si>
  <si>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</si>
  <si>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</si>
  <si>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</si>
  <si>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</si>
  <si>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</si>
  <si>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</si>
  <si>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</si>
  <si>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</si>
  <si>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</si>
  <si>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</si>
  <si>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</si>
  <si>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</si>
  <si>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</si>
  <si>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</si>
  <si>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</si>
  <si>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</si>
  <si>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</si>
  <si>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</si>
  <si>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</si>
  <si>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</si>
  <si>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</si>
  <si>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</si>
  <si>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</si>
  <si>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</si>
  <si>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</si>
  <si>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</si>
  <si>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</si>
  <si>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</si>
  <si>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</si>
  <si>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</si>
  <si>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</si>
  <si>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</si>
  <si>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</si>
  <si>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</si>
  <si>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</si>
  <si>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</si>
  <si>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</si>
  <si>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</si>
  <si>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</si>
  <si>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</si>
  <si>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</si>
  <si>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</si>
  <si>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</si>
  <si>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</si>
  <si>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</si>
  <si>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</si>
  <si>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</si>
  <si>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</si>
  <si>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</si>
  <si>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</si>
  <si>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</si>
  <si>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</si>
  <si>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</si>
  <si>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</si>
  <si>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</si>
  <si>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</si>
  <si>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</si>
  <si>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</si>
  <si>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</si>
  <si>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</si>
  <si>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</si>
  <si>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</si>
  <si>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</si>
  <si>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</si>
  <si>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</si>
  <si>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</si>
  <si>
    <t>可租赁</t>
    <phoneticPr fontId="135" type="noConversion"/>
  </si>
  <si>
    <t>会所</t>
    <phoneticPr fontId="135" type="noConversion"/>
  </si>
  <si>
    <t>酒店</t>
    <phoneticPr fontId="135" type="noConversion"/>
  </si>
  <si>
    <t>商业</t>
    <phoneticPr fontId="135" type="noConversion"/>
  </si>
  <si>
    <t>房屋所有权证：X京房权证朝字第1530570号</t>
    <phoneticPr fontId="4" type="noConversion"/>
  </si>
  <si>
    <t>朝阳区日坛北路17号院2号楼4层4001</t>
    <phoneticPr fontId="4" type="noConversion"/>
  </si>
  <si>
    <t>序号</t>
  </si>
  <si>
    <t>房屋座落</t>
  </si>
  <si>
    <t>总楼层</t>
  </si>
  <si>
    <t>所在楼层</t>
  </si>
  <si>
    <t>建筑面积（㎡）</t>
  </si>
  <si>
    <t>规划用途</t>
  </si>
  <si>
    <t>酒店</t>
  </si>
  <si>
    <t>地上小计</t>
  </si>
  <si>
    <t>地下小计</t>
  </si>
  <si>
    <t>合计</t>
  </si>
  <si>
    <r>
      <t>房屋所有权证证号</t>
    </r>
    <r>
      <rPr>
        <sz val="10"/>
        <color theme="1"/>
        <rFont val="Arial"/>
        <family val="2"/>
      </rPr>
      <t>/</t>
    </r>
    <r>
      <rPr>
        <sz val="10"/>
        <color theme="1"/>
        <rFont val="华文细黑"/>
        <family val="3"/>
        <charset val="134"/>
      </rPr>
      <t>不动产权证证号</t>
    </r>
  </si>
  <si>
    <r>
      <t>京</t>
    </r>
    <r>
      <rPr>
        <sz val="10"/>
        <color theme="1"/>
        <rFont val="Arial"/>
        <family val="2"/>
      </rPr>
      <t>(2024)</t>
    </r>
    <r>
      <rPr>
        <sz val="10"/>
        <color theme="1"/>
        <rFont val="华文细黑"/>
        <family val="3"/>
        <charset val="134"/>
      </rPr>
      <t>朝不动产权第</t>
    </r>
    <r>
      <rPr>
        <sz val="10"/>
        <color theme="1"/>
        <rFont val="Arial"/>
        <family val="2"/>
      </rPr>
      <t>0077615</t>
    </r>
    <r>
      <rPr>
        <sz val="10"/>
        <color theme="1"/>
        <rFont val="华文细黑"/>
        <family val="3"/>
        <charset val="134"/>
      </rPr>
      <t>号</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</si>
  <si>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4</t>
    </r>
    <r>
      <rPr>
        <sz val="10"/>
        <color theme="1"/>
        <rFont val="华文细黑"/>
        <family val="3"/>
        <charset val="134"/>
      </rPr>
      <t>层</t>
    </r>
    <r>
      <rPr>
        <sz val="10"/>
        <color theme="1"/>
        <rFont val="Arial"/>
        <family val="2"/>
      </rPr>
      <t>4001</t>
    </r>
  </si>
  <si>
    <r>
      <t>17</t>
    </r>
    <r>
      <rPr>
        <sz val="10"/>
        <color theme="1"/>
        <rFont val="华文细黑"/>
        <family val="3"/>
        <charset val="134"/>
      </rPr>
      <t>（</t>
    </r>
    <r>
      <rPr>
        <sz val="10"/>
        <color theme="1"/>
        <rFont val="Arial"/>
        <family val="2"/>
      </rPr>
      <t>-3</t>
    </r>
    <r>
      <rPr>
        <sz val="10"/>
        <color theme="1"/>
        <rFont val="华文细黑"/>
        <family val="3"/>
        <charset val="134"/>
      </rPr>
      <t>）</t>
    </r>
  </si>
  <si>
    <r>
      <t>京</t>
    </r>
    <r>
      <rPr>
        <sz val="10"/>
        <color theme="1"/>
        <rFont val="Arial"/>
        <family val="2"/>
      </rPr>
      <t>(2023)</t>
    </r>
    <r>
      <rPr>
        <sz val="10"/>
        <color theme="1"/>
        <rFont val="华文细黑"/>
        <family val="3"/>
        <charset val="134"/>
      </rPr>
      <t>朝不动产权第</t>
    </r>
    <r>
      <rPr>
        <sz val="10"/>
        <color theme="1"/>
        <rFont val="Arial"/>
        <family val="2"/>
      </rPr>
      <t>0119166</t>
    </r>
    <r>
      <rPr>
        <sz val="10"/>
        <color theme="1"/>
        <rFont val="华文细黑"/>
        <family val="3"/>
        <charset val="134"/>
      </rPr>
      <t>号</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</si>
  <si>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122</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</si>
  <si>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126</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</si>
  <si>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127</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</si>
  <si>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128</t>
    </r>
  </si>
  <si>
    <r>
      <t>京</t>
    </r>
    <r>
      <rPr>
        <sz val="10"/>
        <color theme="1"/>
        <rFont val="Arial"/>
        <family val="2"/>
      </rPr>
      <t>(2024)</t>
    </r>
    <r>
      <rPr>
        <sz val="10"/>
        <color theme="1"/>
        <rFont val="华文细黑"/>
        <family val="3"/>
        <charset val="134"/>
      </rPr>
      <t>朝不动产权第</t>
    </r>
    <r>
      <rPr>
        <sz val="10"/>
        <color theme="1"/>
        <rFont val="Arial"/>
        <family val="2"/>
      </rPr>
      <t>0077064</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</si>
  <si>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5</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501</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</si>
  <si>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6</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601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</si>
  <si>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0077077</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</si>
  <si>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7</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701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</si>
  <si>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0077577</t>
    </r>
    <r>
      <rPr>
        <sz val="10"/>
        <color theme="1"/>
        <rFont val="宋体"/>
        <family val="3"/>
        <charset val="134"/>
      </rPr>
      <t>号</t>
    </r>
    <r>
      <rPr>
        <sz val="10"/>
        <color theme="1"/>
        <rFont val="华文细黑"/>
        <family val="3"/>
        <charset val="134"/>
      </rPr>
      <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</si>
  <si>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0077585</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</si>
  <si>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8</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801</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</si>
  <si>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9</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901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</si>
  <si>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0077643</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</si>
  <si>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10</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1001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</si>
  <si>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0077604</t>
    </r>
    <r>
      <rPr>
        <sz val="10"/>
        <color theme="1"/>
        <rFont val="宋体"/>
        <family val="3"/>
        <charset val="134"/>
      </rPr>
      <t>号</t>
    </r>
    <r>
      <rPr>
        <sz val="10"/>
        <color theme="1"/>
        <rFont val="华文细黑"/>
        <family val="3"/>
        <charset val="134"/>
      </rPr>
      <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</si>
  <si>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0077569</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</si>
  <si>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11</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1101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</si>
  <si>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0077626</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</si>
  <si>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12</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1201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</si>
  <si>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0077059</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</si>
  <si>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13</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1501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</si>
  <si>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0077080</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</si>
  <si>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14</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1601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</si>
  <si>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0077097</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</si>
  <si>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15</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1701</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</si>
</sst>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0"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37" fillId="0" borderId="0"/>
    <xf numFmtId="0" fontId="37" fillId="0" borderId="0"/>
    <xf numFmtId="0" fontId="270" fillId="0" borderId="0"/>
    <xf numFmtId="0" fontId="96" fillId="0" borderId="0">
      <alignment vertical="center"/>
    </xf>
    <xf numFmtId="0" fontId="96" fillId="0" borderId="0">
      <alignment vertical="center"/>
    </xf>
    <xf numFmtId="0" fontId="96" fillId="0" borderId="0"/>
    <xf numFmtId="0"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0" fontId="96" fillId="0" borderId="0"/>
    <xf numFmtId="0"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9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0"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119" fillId="0" borderId="1" xfId="5" applyNumberFormat="1" applyFont="1" applyFill="1" applyBorder="1" applyAlignment="1">
      <alignment horizontal="left" vertical="center"/>
    </xf>
    <xf numFmtId="0"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0"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 xfId="10" applyBorder="1" applyAlignment="1">
      <alignment vertical="center"/>
    </xf>
    <xf numFmtId="0"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9" fillId="0" borderId="1" xfId="0" applyFont="1" applyBorder="1" applyAlignment="1"/>
    <xf numFmtId="0" fontId="115" fillId="0" borderId="1" xfId="0" applyFont="1" applyFill="1" applyBorder="1" applyAlignment="1"/>
    <xf numFmtId="0" fontId="99" fillId="0" borderId="1" xfId="0" applyFont="1" applyBorder="1" applyAlignment="1">
      <alignment horizontal="left"/>
    </xf>
    <xf numFmtId="0" fontId="115" fillId="0" borderId="1" xfId="0" applyFont="1" applyBorder="1" applyAlignment="1">
      <alignment horizontal="left"/>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0" fontId="55" fillId="6" borderId="1" xfId="1" applyFont="1" applyFill="1" applyBorder="1" applyAlignment="1" applyProtection="1">
      <alignment vertical="center"/>
    </xf>
    <xf numFmtId="0" fontId="55" fillId="6" borderId="32" xfId="1" applyFont="1" applyFill="1" applyBorder="1" applyAlignment="1" applyProtection="1">
      <alignment vertical="center"/>
    </xf>
    <xf numFmtId="0" fontId="20" fillId="0" borderId="0" xfId="0" applyFont="1" applyAlignment="1">
      <alignment vertical="center"/>
    </xf>
    <xf numFmtId="0" fontId="20" fillId="0" borderId="0" xfId="0" applyFont="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43" fontId="96" fillId="0" borderId="1" xfId="10" applyNumberFormat="1" applyBorder="1" applyAlignment="1">
      <alignment vertical="center"/>
    </xf>
    <xf numFmtId="181" fontId="45" fillId="22" borderId="1" xfId="0" applyNumberFormat="1" applyFont="1" applyFill="1" applyBorder="1" applyAlignment="1" applyProtection="1">
      <alignment vertical="center"/>
      <protection locked="0"/>
    </xf>
    <xf numFmtId="10" fontId="45" fillId="22" borderId="1" xfId="0" applyNumberFormat="1" applyFont="1" applyFill="1" applyBorder="1" applyAlignment="1" applyProtection="1">
      <alignment horizontal="center" vertical="center"/>
      <protection locked="0"/>
    </xf>
    <xf numFmtId="181" fontId="45" fillId="22" borderId="24" xfId="0"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81" fillId="0" borderId="60" xfId="0" applyFont="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xf numFmtId="0" fontId="20" fillId="0" borderId="1" xfId="0" applyFont="1" applyFill="1" applyBorder="1" applyAlignment="1"/>
    <xf numFmtId="0" fontId="20" fillId="22" borderId="1" xfId="0" applyFont="1" applyFill="1" applyBorder="1" applyAlignment="1">
      <alignment horizontal="center" vertical="center"/>
    </xf>
    <xf numFmtId="0" fontId="14" fillId="0" borderId="1" xfId="0" applyFont="1" applyBorder="1" applyAlignment="1">
      <alignment horizontal="center" shrinkToFit="1"/>
    </xf>
    <xf numFmtId="43" fontId="20" fillId="0" borderId="1" xfId="50" applyFont="1" applyBorder="1" applyAlignment="1">
      <alignment vertical="center"/>
    </xf>
    <xf numFmtId="43" fontId="20" fillId="0" borderId="1" xfId="0" applyNumberFormat="1"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43" fontId="20" fillId="0" borderId="1" xfId="0" applyNumberFormat="1" applyFont="1" applyBorder="1" applyAlignment="1">
      <alignment horizontal="center" vertical="center"/>
    </xf>
    <xf numFmtId="0" fontId="81" fillId="0" borderId="1" xfId="0" applyFont="1" applyBorder="1" applyAlignment="1">
      <alignment horizontal="center" vertical="center"/>
    </xf>
    <xf numFmtId="43" fontId="81" fillId="0" borderId="1" xfId="50" applyFont="1" applyBorder="1" applyAlignment="1">
      <alignment vertical="center"/>
    </xf>
    <xf numFmtId="0" fontId="81" fillId="0" borderId="1" xfId="0" applyFont="1" applyBorder="1" applyAlignment="1">
      <alignment vertical="center"/>
    </xf>
    <xf numFmtId="43" fontId="81" fillId="0" borderId="1" xfId="0" applyNumberFormat="1" applyFont="1" applyBorder="1" applyAlignment="1">
      <alignment vertical="center"/>
    </xf>
    <xf numFmtId="0" fontId="81" fillId="0" borderId="54" xfId="0" applyFont="1" applyBorder="1" applyAlignment="1">
      <alignment horizontal="center" vertical="center"/>
    </xf>
    <xf numFmtId="43" fontId="81" fillId="0" borderId="0" xfId="0" applyNumberFormat="1" applyFont="1" applyAlignment="1">
      <alignment vertical="center"/>
    </xf>
    <xf numFmtId="0" fontId="273" fillId="0" borderId="82" xfId="0" applyFont="1" applyBorder="1">
      <alignment vertical="center"/>
    </xf>
    <xf numFmtId="0" fontId="273" fillId="0" borderId="65" xfId="0" applyFont="1" applyBorder="1">
      <alignment vertical="center"/>
    </xf>
    <xf numFmtId="0" fontId="100" fillId="0" borderId="81" xfId="0" applyFont="1" applyBorder="1">
      <alignment vertical="center"/>
    </xf>
    <xf numFmtId="0" fontId="273" fillId="0" borderId="43" xfId="0" applyFont="1" applyBorder="1">
      <alignment vertical="center"/>
    </xf>
    <xf numFmtId="0" fontId="100" fillId="0" borderId="43" xfId="0" applyFont="1" applyBorder="1">
      <alignment vertical="center"/>
    </xf>
    <xf numFmtId="0" fontId="273" fillId="0" borderId="63" xfId="0" applyFont="1" applyBorder="1">
      <alignment vertical="center"/>
    </xf>
    <xf numFmtId="0" fontId="273" fillId="0" borderId="64" xfId="0" applyFont="1" applyBorder="1">
      <alignment vertical="center"/>
    </xf>
    <xf numFmtId="0" fontId="273" fillId="0" borderId="176" xfId="0" applyFont="1" applyBorder="1">
      <alignment vertical="center"/>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xfId="50" builtinId="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房地产抵押价值预评估</v>
      </c>
    </row>
    <row r="3" spans="1:2" s="1198" customFormat="1">
      <c r="A3" s="1196" t="s">
        <v>523</v>
      </c>
      <c r="B3" s="1197">
        <f>'预评函-封皮'!B40</f>
        <v>0</v>
      </c>
    </row>
    <row r="4" spans="1:2" s="1198" customFormat="1">
      <c r="A4" s="1196" t="s">
        <v>524</v>
      </c>
      <c r="B4" s="1197" t="str">
        <f ca="1">'预评函-封皮'!B46</f>
        <v>郑燚（注册号：1120070131)、崔锴（注册号：1120100036)</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受贵公司委托，我公司对房地产抵押价值进行了预评估。</v>
      </c>
    </row>
    <row r="7" spans="1:2" s="1198" customFormat="1">
      <c r="A7" s="1196" t="s">
        <v>566</v>
      </c>
      <c r="B7" s="1197" t="str">
        <f>'预评函-1'!A7</f>
        <v>估价对象为房地产，为所有。根据《国有土地使用证》[]，估价对象（分摊）出让国有建设用地使用权面积为0平方米，建筑面积为28830.28平方米。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估价对象为房地产,属开发建设的综合项目（居住、综合），该项目尚在开发建设中。根据《国有土地使用证》[]，估价对象（分摊）出让国有建设用地使用权面积为0平方米，规划建筑面积为28830.28平方米。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2024年7月12日（评估专业人员实地查勘之日）</v>
      </c>
    </row>
    <row r="13" spans="1:2" s="1198" customFormat="1">
      <c r="A13" s="1196" t="s">
        <v>529</v>
      </c>
      <c r="B13" s="1197"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86312</v>
      </c>
    </row>
    <row r="21" spans="1:2" s="1198" customFormat="1">
      <c r="A21" s="1196" t="s">
        <v>537</v>
      </c>
      <c r="B21" s="1197">
        <f ca="1">'预评函-2'!D7</f>
        <v>29938</v>
      </c>
    </row>
    <row r="22" spans="1:2" s="1198" customFormat="1">
      <c r="A22" s="1196" t="s">
        <v>538</v>
      </c>
      <c r="B22" s="1197" t="str">
        <f ca="1">'预评函-2'!D6</f>
        <v>捌亿陆仟叁佰壹拾贰万元整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v>
      </c>
    </row>
    <row r="30" spans="1:2" s="1198" customFormat="1">
      <c r="A30" s="1196" t="s">
        <v>594</v>
      </c>
      <c r="B30" s="1197" t="str">
        <f>'预评函-2'!D13</f>
        <v>——</v>
      </c>
    </row>
    <row r="31" spans="1:2" s="1198" customFormat="1">
      <c r="A31" s="1196" t="s">
        <v>576</v>
      </c>
      <c r="B31" s="1197" t="e">
        <f ca="1">'预评函-2'!D15</f>
        <v>#VALUE!</v>
      </c>
    </row>
    <row r="32" spans="1:2" s="1198" customFormat="1">
      <c r="A32" s="1196" t="s">
        <v>543</v>
      </c>
      <c r="B32" s="1197" t="e">
        <f>'预评函-2'!D14</f>
        <v>#VALUE!</v>
      </c>
    </row>
    <row r="33" spans="1:2" s="1198" customFormat="1">
      <c r="A33" s="1196" t="s">
        <v>578</v>
      </c>
      <c r="B33" s="1197" t="str">
        <f>'预评函-2'!B16</f>
        <v>3.抵押担保权已注销时的房地产抵押价值</v>
      </c>
    </row>
    <row r="34" spans="1:2" s="1198" customFormat="1">
      <c r="A34" s="1196" t="s">
        <v>596</v>
      </c>
      <c r="B34" s="1197">
        <f ca="1">'预评函-2'!D16</f>
        <v>86312</v>
      </c>
    </row>
    <row r="35" spans="1:2" s="1198" customFormat="1">
      <c r="A35" s="1196" t="s">
        <v>577</v>
      </c>
      <c r="B35" s="1197">
        <f ca="1">'预评函-2'!D18</f>
        <v>29938</v>
      </c>
    </row>
    <row r="36" spans="1:2" s="1198" customFormat="1">
      <c r="A36" s="1196" t="s">
        <v>544</v>
      </c>
      <c r="B36" s="1197" t="str">
        <f ca="1">'预评函-2'!D17</f>
        <v>捌亿陆仟叁佰壹拾贰万元整</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房地产</v>
      </c>
    </row>
    <row r="42" spans="1:2" s="1198" customFormat="1">
      <c r="A42" s="1196" t="s">
        <v>590</v>
      </c>
      <c r="B42" s="1197" t="str">
        <f>'预评函-3'!B2</f>
        <v>建筑面积</v>
      </c>
    </row>
    <row r="43" spans="1:2" s="1198" customFormat="1">
      <c r="A43" s="1196" t="s">
        <v>591</v>
      </c>
      <c r="B43" s="1197">
        <f>'预评函-3'!B4</f>
        <v>28830.28</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 ca="1">'预评函-3'!D4</f>
        <v>67841</v>
      </c>
    </row>
    <row r="48" spans="1:2" s="1198" customFormat="1">
      <c r="A48" s="1196" t="s">
        <v>549</v>
      </c>
      <c r="B48" s="1197">
        <f ca="1">'预评函-3'!E4</f>
        <v>23531</v>
      </c>
    </row>
    <row r="49" spans="1:2" s="1198" customFormat="1">
      <c r="A49" s="1196" t="s">
        <v>550</v>
      </c>
      <c r="B49" s="1197" t="str">
        <f ca="1">'预评函-3'!D5</f>
        <v>陆亿柒仟捌佰肆拾壹万元整</v>
      </c>
    </row>
    <row r="50" spans="1:2" s="1198" customFormat="1">
      <c r="A50" s="1196" t="s">
        <v>574</v>
      </c>
      <c r="B50" s="1197" t="str">
        <f>'预评函-3'!F2</f>
        <v>在建建筑物价值</v>
      </c>
    </row>
    <row r="51" spans="1:2" s="1198" customFormat="1">
      <c r="A51" s="1196" t="s">
        <v>551</v>
      </c>
      <c r="B51" s="1197">
        <f ca="1">'预评函-3'!F4</f>
        <v>18471</v>
      </c>
    </row>
    <row r="52" spans="1:2" s="1198" customFormat="1">
      <c r="A52" s="1196" t="s">
        <v>552</v>
      </c>
      <c r="B52" s="1197">
        <f ca="1">'预评函-3'!G4</f>
        <v>6407</v>
      </c>
    </row>
    <row r="53" spans="1:2" s="1198" customFormat="1">
      <c r="A53" s="1196" t="s">
        <v>580</v>
      </c>
      <c r="B53" s="1197" t="str">
        <f ca="1">'预评函-3'!F5</f>
        <v>壹亿捌仟肆佰柒拾壹万元整</v>
      </c>
    </row>
    <row r="54" spans="1:2" s="1198" customFormat="1">
      <c r="A54" s="1196" t="s">
        <v>598</v>
      </c>
      <c r="B54" s="1197" t="str">
        <f>'预评函-3'!A8</f>
        <v/>
      </c>
    </row>
    <row r="55" spans="1:2" s="1198" customFormat="1">
      <c r="A55" s="1196" t="s">
        <v>581</v>
      </c>
      <c r="B55" s="1197" t="str">
        <f>'预评函-3'!A10</f>
        <v>抵押担保权已注销时的房地产抵押价值</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崔锴</v>
      </c>
    </row>
    <row r="73" spans="1:2" s="1192" customFormat="1" ht="15" thickBot="1">
      <c r="A73" s="1199" t="s">
        <v>565</v>
      </c>
      <c r="B73" s="1200">
        <f ca="1">'预评函-4'!B5</f>
        <v>1120100036</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2577</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2578</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2289</v>
      </c>
      <c r="C17" s="1542"/>
    </row>
    <row r="18" spans="1:3">
      <c r="A18" s="1541" t="s">
        <v>1046</v>
      </c>
      <c r="B18" s="1541" t="s">
        <v>2433</v>
      </c>
      <c r="C18" s="1542"/>
    </row>
    <row r="19" spans="1:3">
      <c r="A19" s="1541" t="s">
        <v>1047</v>
      </c>
      <c r="B19" s="1541" t="s">
        <v>3433</v>
      </c>
      <c r="C19" s="1542"/>
    </row>
    <row r="20" spans="1:3">
      <c r="A20" s="1541" t="s">
        <v>1048</v>
      </c>
      <c r="B20" s="1541" t="s">
        <v>3441</v>
      </c>
      <c r="C20" s="1542"/>
    </row>
    <row r="21" spans="1:3">
      <c r="A21" s="1541" t="s">
        <v>1049</v>
      </c>
      <c r="B21" s="1541" t="s">
        <v>3443</v>
      </c>
      <c r="C21" s="1542"/>
    </row>
    <row r="22" spans="1:3">
      <c r="A22" s="1541" t="s">
        <v>1050</v>
      </c>
      <c r="B22" s="1541" t="s">
        <v>3444</v>
      </c>
      <c r="C22" s="1542"/>
    </row>
    <row r="23" spans="1:3">
      <c r="A23" s="1541" t="s">
        <v>1051</v>
      </c>
      <c r="B23" s="1541"/>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7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2"/>
      <c r="B54" s="1549" t="s">
        <v>385</v>
      </c>
      <c r="C54" s="1546" t="s">
        <v>583</v>
      </c>
    </row>
    <row r="55" spans="1:4">
      <c r="A55" s="3572"/>
      <c r="B55" s="1549" t="s">
        <v>386</v>
      </c>
      <c r="C55" s="1546" t="s">
        <v>584</v>
      </c>
    </row>
    <row r="56" spans="1:4">
      <c r="A56" s="3572"/>
      <c r="B56" s="1549" t="s">
        <v>387</v>
      </c>
      <c r="C56" s="1546" t="s">
        <v>588</v>
      </c>
    </row>
    <row r="57" spans="1:4">
      <c r="A57" s="357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0" t="s">
        <v>2593</v>
      </c>
      <c r="J1" s="3220"/>
      <c r="K1" s="3220"/>
      <c r="L1" s="3220"/>
      <c r="M1" s="3220"/>
      <c r="N1" s="3431"/>
      <c r="O1" s="3431"/>
      <c r="P1" s="3431"/>
      <c r="Q1" s="3431"/>
      <c r="R1" s="3431"/>
    </row>
    <row r="2" spans="1:18">
      <c r="A2" s="3011"/>
      <c r="B2" s="3012"/>
      <c r="C2" s="3012"/>
      <c r="D2" s="3012"/>
      <c r="E2" s="3012"/>
      <c r="F2" s="3013"/>
      <c r="I2" s="3573" t="s">
        <v>2580</v>
      </c>
      <c r="J2" s="3573"/>
      <c r="K2" s="3573"/>
      <c r="L2" s="3573"/>
      <c r="M2" s="3573"/>
      <c r="N2" s="3573"/>
      <c r="O2" s="3573"/>
      <c r="P2" s="3573"/>
      <c r="Q2" s="3573"/>
      <c r="R2" s="3573"/>
    </row>
    <row r="3" spans="1:18">
      <c r="A3" s="3014" t="s">
        <v>2501</v>
      </c>
      <c r="B3" s="3015">
        <f>项目基本情况!D3</f>
        <v>45485</v>
      </c>
      <c r="C3" s="3017"/>
      <c r="D3" s="3017"/>
      <c r="E3" s="3017"/>
      <c r="F3" s="3013"/>
      <c r="I3" s="3432"/>
      <c r="J3" s="3432" t="s">
        <v>2584</v>
      </c>
      <c r="K3" s="3432" t="s">
        <v>2585</v>
      </c>
      <c r="L3" s="3432" t="s">
        <v>2586</v>
      </c>
      <c r="M3" s="3432" t="s">
        <v>2587</v>
      </c>
      <c r="N3" s="3433" t="s">
        <v>2588</v>
      </c>
      <c r="O3" s="3433" t="s">
        <v>2589</v>
      </c>
      <c r="P3" s="3433" t="s">
        <v>2590</v>
      </c>
      <c r="Q3" s="3433" t="s">
        <v>2591</v>
      </c>
      <c r="R3" s="3433" t="s">
        <v>2592</v>
      </c>
    </row>
    <row r="4" spans="1:18">
      <c r="A4" s="3014" t="s">
        <v>2502</v>
      </c>
      <c r="B4" s="3017" t="s">
        <v>2503</v>
      </c>
      <c r="C4" s="3017" t="s">
        <v>2504</v>
      </c>
      <c r="D4" s="3017" t="s">
        <v>2505</v>
      </c>
      <c r="E4" s="3017" t="s">
        <v>2506</v>
      </c>
      <c r="F4" s="3013"/>
      <c r="I4" s="3432" t="s">
        <v>2581</v>
      </c>
      <c r="J4" s="3432">
        <v>80</v>
      </c>
      <c r="K4" s="3432">
        <v>70</v>
      </c>
      <c r="L4" s="3432">
        <v>20</v>
      </c>
      <c r="M4" s="3432">
        <v>30</v>
      </c>
      <c r="N4" s="3017">
        <v>45</v>
      </c>
      <c r="O4" s="3017">
        <v>60</v>
      </c>
      <c r="P4" s="3017">
        <v>50</v>
      </c>
      <c r="Q4" s="3017">
        <v>20</v>
      </c>
      <c r="R4" s="3017">
        <v>375</v>
      </c>
    </row>
    <row r="5" spans="1:18">
      <c r="A5" s="3018">
        <v>40</v>
      </c>
      <c r="B5" s="3015">
        <v>46375</v>
      </c>
      <c r="C5" s="3017">
        <f>ROUNDDOWN(MIN((B5-B3)/365,A5),2)</f>
        <v>2.4300000000000002</v>
      </c>
      <c r="D5" s="3019">
        <f>IF(ISERROR(ROUND(POWER(1+E5,A5-C5)*(POWER(1+E5,C5)-1)/(POWER(1+E5,A5)-1),3)),0,ROUND(POWER(1+E5,A5-C5)*(POWER(1+E5,C5)-1)/(POWER(1+E5,A5)-1),4))</f>
        <v>0.1148</v>
      </c>
      <c r="E5" s="3020">
        <v>0.04</v>
      </c>
      <c r="F5" s="3013"/>
      <c r="I5" s="3432" t="s">
        <v>2582</v>
      </c>
      <c r="J5" s="3432">
        <v>70</v>
      </c>
      <c r="K5" s="3432">
        <v>60</v>
      </c>
      <c r="L5" s="3432">
        <v>15</v>
      </c>
      <c r="M5" s="3432">
        <v>25</v>
      </c>
      <c r="N5" s="3017">
        <v>40</v>
      </c>
      <c r="O5" s="3017">
        <v>50</v>
      </c>
      <c r="P5" s="3017">
        <v>40</v>
      </c>
      <c r="Q5" s="3017">
        <v>15</v>
      </c>
      <c r="R5" s="3017">
        <v>315</v>
      </c>
    </row>
    <row r="6" spans="1:18">
      <c r="A6" s="3018">
        <v>50</v>
      </c>
      <c r="B6" s="3015">
        <v>50028</v>
      </c>
      <c r="C6" s="3017">
        <f>ROUNDDOWN(MIN((B6-B3)/365,A6),2)</f>
        <v>12.44</v>
      </c>
      <c r="D6" s="3019">
        <f>IF(ISERROR(ROUND(POWER(1+E6,A6-C6)*(POWER(1+E6,C6)-1)/(POWER(1+E6,A6)-1),3)),0,ROUND(POWER(1+E6,A6-C6)*(POWER(1+E6,C6)-1)/(POWER(1+E6,A6)-1),4))</f>
        <v>0.44929999999999998</v>
      </c>
      <c r="E6" s="3020">
        <v>0.04</v>
      </c>
      <c r="F6" s="3013"/>
      <c r="I6" s="3432" t="s">
        <v>2583</v>
      </c>
      <c r="J6" s="3432">
        <v>60</v>
      </c>
      <c r="K6" s="3432">
        <v>50</v>
      </c>
      <c r="L6" s="3432">
        <v>10</v>
      </c>
      <c r="M6" s="3432">
        <v>20</v>
      </c>
      <c r="N6" s="3017">
        <v>35</v>
      </c>
      <c r="O6" s="3017">
        <v>40</v>
      </c>
      <c r="P6" s="3017">
        <v>30</v>
      </c>
      <c r="Q6" s="3017">
        <v>10</v>
      </c>
      <c r="R6" s="3017">
        <v>255</v>
      </c>
    </row>
    <row r="7" spans="1:18">
      <c r="A7" s="3018">
        <v>70</v>
      </c>
      <c r="B7" s="3015">
        <v>57333</v>
      </c>
      <c r="C7" s="3017">
        <f>ROUNDDOWN(MIN((B7-B3)/365,A7),2)</f>
        <v>32.46</v>
      </c>
      <c r="D7" s="3019">
        <f>IF(ISERROR(ROUND(POWER(1+E7,A7-C7)*(POWER(1+E7,C7)-1)/(POWER(1+E7,A7)-1),3)),0,ROUND(POWER(1+E7,A7-C7)*(POWER(1+E7,C7)-1)/(POWER(1+E7,A7)-1),4))</f>
        <v>0.76949999999999996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7" sqref="H27"/>
    </sheetView>
  </sheetViews>
  <sheetFormatPr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9" style="1738"/>
    <col min="31" max="16384" width="9" style="1740"/>
  </cols>
  <sheetData>
    <row r="1" spans="1:30" ht="13.5" thickBot="1">
      <c r="A1" s="2361" t="s">
        <v>2168</v>
      </c>
      <c r="B1" s="3574" t="str">
        <f>IF(B10="北京市","北京市",C10)&amp;F10&amp;IF(结果表!G1="在建","出让国有建设用地使用权及在建建筑物",IF(结果表!G1="土地","出让国有建设用地使用权",))&amp;B9&amp;"预评估"</f>
        <v>房地产抵押价值预评估</v>
      </c>
      <c r="C1" s="3575"/>
      <c r="D1" s="3575"/>
      <c r="E1" s="3575"/>
      <c r="F1" s="3575"/>
      <c r="G1" s="3575"/>
      <c r="H1" s="3575"/>
      <c r="I1" s="3576"/>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房地产抵押价值</v>
      </c>
      <c r="T1" s="1740"/>
      <c r="U1" s="1740"/>
      <c r="V1" s="1740"/>
      <c r="W1" s="1740"/>
      <c r="X1" s="1740"/>
      <c r="Y1" s="1740"/>
      <c r="Z1" s="1740"/>
      <c r="AA1" s="1740"/>
      <c r="AB1" s="1740"/>
    </row>
    <row r="2" spans="1:30">
      <c r="A2" s="2362" t="s">
        <v>2169</v>
      </c>
      <c r="B2" s="2366"/>
      <c r="C2" s="2367"/>
      <c r="D2" s="2664"/>
      <c r="E2" s="2656"/>
      <c r="F2" s="2656"/>
      <c r="G2" s="2657"/>
      <c r="H2" s="2657"/>
      <c r="I2" s="2657"/>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房地产</v>
      </c>
      <c r="T2" s="1740"/>
      <c r="U2" s="1740"/>
      <c r="V2" s="1740"/>
      <c r="W2" s="1740"/>
      <c r="X2" s="1740"/>
      <c r="Y2" s="1740"/>
      <c r="Z2" s="1740"/>
      <c r="AA2" s="1740"/>
      <c r="AB2" s="1740"/>
    </row>
    <row r="3" spans="1:30">
      <c r="A3" s="302" t="s">
        <v>2170</v>
      </c>
      <c r="B3" s="2368">
        <v>45485</v>
      </c>
      <c r="C3" s="2369" t="s">
        <v>2171</v>
      </c>
      <c r="D3" s="2368">
        <f>B3</f>
        <v>45485</v>
      </c>
      <c r="E3" s="2657"/>
      <c r="F3" s="2657"/>
      <c r="G3" s="2657"/>
      <c r="H3" s="2657"/>
      <c r="I3" s="2657"/>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3380</v>
      </c>
      <c r="C4" s="2371">
        <f ca="1">SUMIF(注册房地产估价师,B4,估价师及机构信息!B3:B24)</f>
        <v>1120070131</v>
      </c>
      <c r="D4" s="2370" t="s">
        <v>3451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8"/>
      <c r="F5" s="2658"/>
      <c r="G5" s="2658"/>
      <c r="H5" s="2658"/>
      <c r="I5" s="2658"/>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6"/>
      <c r="F6" s="2658"/>
      <c r="G6" s="2658"/>
      <c r="H6" s="2658"/>
      <c r="I6" s="2658"/>
      <c r="J6" s="2434"/>
      <c r="K6" s="2610" t="str">
        <f>IF(COUNTIF(B6,"*上海银行*"),"上海银行","")</f>
        <v/>
      </c>
      <c r="L6" s="2608"/>
      <c r="M6" s="2608"/>
      <c r="N6" s="2434"/>
      <c r="O6" s="2445"/>
      <c r="P6" s="2434"/>
      <c r="Q6" s="2434"/>
      <c r="R6" s="2434"/>
    </row>
    <row r="7" spans="1:30">
      <c r="A7" s="2378" t="s">
        <v>2175</v>
      </c>
      <c r="B7" s="2382"/>
      <c r="C7" s="2380"/>
      <c r="D7" s="2381"/>
      <c r="E7" s="2656"/>
      <c r="F7" s="2658"/>
      <c r="G7" s="2658"/>
      <c r="H7" s="2658"/>
      <c r="I7" s="2658"/>
      <c r="J7" s="2434"/>
      <c r="K7" s="2611"/>
      <c r="L7" s="2608"/>
      <c r="M7" s="2608"/>
      <c r="N7" s="2434"/>
      <c r="O7" s="2445"/>
      <c r="P7" s="2434"/>
      <c r="Q7" s="2434"/>
      <c r="R7" s="2434"/>
    </row>
    <row r="8" spans="1:30">
      <c r="A8" s="2383" t="s">
        <v>2176</v>
      </c>
      <c r="B8" s="2384" t="s">
        <v>3381</v>
      </c>
      <c r="C8" s="2385"/>
      <c r="D8" s="3577" t="s">
        <v>2177</v>
      </c>
      <c r="E8" s="2386" t="s">
        <v>3383</v>
      </c>
      <c r="F8" s="2387"/>
      <c r="G8" s="2657"/>
      <c r="H8" s="2657"/>
      <c r="I8" s="2657"/>
      <c r="J8" s="2434"/>
      <c r="K8" s="2609"/>
      <c r="L8" s="2608"/>
      <c r="M8" s="2608"/>
      <c r="N8" s="2434"/>
      <c r="O8" s="2445"/>
      <c r="P8" s="2434"/>
      <c r="Q8" s="2434"/>
      <c r="R8" s="2434"/>
    </row>
    <row r="9" spans="1:30" ht="13.5" thickBot="1">
      <c r="A9" s="2388" t="s">
        <v>2178</v>
      </c>
      <c r="B9" s="2389" t="s">
        <v>3382</v>
      </c>
      <c r="C9" s="2390"/>
      <c r="D9" s="3578"/>
      <c r="E9" s="2389"/>
      <c r="F9" s="2391"/>
      <c r="G9" s="2659"/>
      <c r="H9" s="2659"/>
      <c r="I9" s="2659"/>
      <c r="J9" s="2434"/>
      <c r="K9" s="2611"/>
      <c r="L9" s="2608"/>
      <c r="M9" s="2608"/>
      <c r="N9" s="2434"/>
      <c r="O9" s="2445"/>
      <c r="P9" s="2434"/>
      <c r="Q9" s="2434"/>
      <c r="R9" s="2434"/>
    </row>
    <row r="10" spans="1:30" ht="13.5" thickTop="1">
      <c r="A10" s="2392" t="s">
        <v>2179</v>
      </c>
      <c r="B10" s="2393"/>
      <c r="C10" s="2394"/>
      <c r="D10" s="2377"/>
      <c r="E10" s="2395" t="s">
        <v>2180</v>
      </c>
      <c r="F10" s="2660"/>
      <c r="G10" s="2661"/>
      <c r="H10" s="2662"/>
      <c r="I10" s="2663"/>
      <c r="J10" s="2434"/>
      <c r="K10" s="2611"/>
      <c r="L10" s="2608"/>
      <c r="M10" s="2608"/>
      <c r="N10" s="2434"/>
      <c r="O10" s="2445"/>
      <c r="P10" s="2434"/>
      <c r="Q10" s="2434"/>
      <c r="R10" s="2434"/>
    </row>
    <row r="11" spans="1:30">
      <c r="A11" s="2396" t="s">
        <v>2181</v>
      </c>
      <c r="B11" s="2397"/>
      <c r="C11" s="2398"/>
      <c r="D11" s="2399"/>
      <c r="E11" s="2365"/>
      <c r="F11" s="2365"/>
      <c r="G11" s="2365"/>
      <c r="H11" s="2365"/>
      <c r="I11" s="2365"/>
      <c r="J11" s="3055"/>
      <c r="K11" s="3054"/>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3" t="s">
        <v>2576</v>
      </c>
      <c r="J12" s="3056"/>
      <c r="K12" s="2608"/>
      <c r="L12" s="2608"/>
      <c r="M12" s="2434"/>
      <c r="N12" s="2445"/>
      <c r="O12" s="2434"/>
      <c r="P12" s="2434"/>
      <c r="Q12" s="2434"/>
      <c r="AD12" s="1740"/>
    </row>
    <row r="13" spans="1:30">
      <c r="A13" s="3417" t="s">
        <v>3332</v>
      </c>
      <c r="B13" s="2402" t="s">
        <v>2190</v>
      </c>
      <c r="C13" s="851"/>
      <c r="D13" s="3521">
        <v>51810</v>
      </c>
      <c r="E13" s="3519">
        <v>55462</v>
      </c>
      <c r="F13" s="3520">
        <v>55462</v>
      </c>
      <c r="G13" s="851"/>
      <c r="H13" s="851"/>
      <c r="I13" s="851"/>
      <c r="J13" s="3056"/>
      <c r="K13" s="2608"/>
      <c r="L13" s="2608"/>
      <c r="M13" s="2434"/>
      <c r="N13" s="2445"/>
      <c r="O13" s="2434"/>
      <c r="P13" s="2434"/>
      <c r="Q13" s="2434"/>
      <c r="AD13" s="1740"/>
    </row>
    <row r="14" spans="1:30">
      <c r="A14" s="1076"/>
      <c r="B14" s="2402" t="s">
        <v>2191</v>
      </c>
      <c r="C14" s="2403"/>
      <c r="D14" s="2403">
        <v>40</v>
      </c>
      <c r="E14" s="2403">
        <v>50</v>
      </c>
      <c r="F14" s="2403">
        <v>50</v>
      </c>
      <c r="G14" s="2403"/>
      <c r="H14" s="2403"/>
      <c r="I14" s="2403"/>
      <c r="J14" s="3057"/>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17.32</v>
      </c>
      <c r="E15" s="2405">
        <f>IF(A13="出让",IF(E13="","",ROUNDDOWN(MIN((E13-$D$3)/365,E14),2)),E14)</f>
        <v>27.33</v>
      </c>
      <c r="F15" s="2405">
        <f>IF(A13="出让",IF(F13="","",ROUNDDOWN(MIN((F13-$D$3)/365,F14),2)),F14)</f>
        <v>27.33</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0"/>
    </row>
    <row r="16" spans="1:30">
      <c r="A16" s="2395" t="s">
        <v>2193</v>
      </c>
      <c r="B16" s="3584"/>
      <c r="C16" s="3585"/>
      <c r="D16" s="3586"/>
      <c r="E16" s="2408" t="s">
        <v>2194</v>
      </c>
      <c r="F16" s="3587"/>
      <c r="G16" s="3588"/>
      <c r="H16" s="3588"/>
      <c r="I16" s="3589"/>
      <c r="J16" s="2434"/>
      <c r="K16" s="2612"/>
      <c r="L16" s="2446"/>
      <c r="M16" s="2446"/>
      <c r="N16" s="2504"/>
      <c r="O16" s="2446"/>
      <c r="P16" s="2504"/>
      <c r="Q16" s="2434"/>
      <c r="R16" s="2434"/>
    </row>
    <row r="17" spans="1:28">
      <c r="A17" s="313" t="s">
        <v>2195</v>
      </c>
      <c r="B17" s="302" t="s">
        <v>2196</v>
      </c>
      <c r="C17" s="8">
        <f>'数据-汇总表'!E3</f>
        <v>28830.28</v>
      </c>
      <c r="D17" s="2317" t="s">
        <v>2197</v>
      </c>
      <c r="E17" s="3590" t="s">
        <v>2198</v>
      </c>
      <c r="F17" s="3591"/>
      <c r="G17" s="3591"/>
      <c r="H17" s="3591"/>
      <c r="I17" s="3592"/>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0</v>
      </c>
      <c r="D18" s="1087" t="s">
        <v>2201</v>
      </c>
      <c r="E18" s="3593" t="s">
        <v>2202</v>
      </c>
      <c r="F18" s="3594"/>
      <c r="G18" s="3594"/>
      <c r="H18" s="3594"/>
      <c r="I18" s="3595"/>
      <c r="J18" s="2434"/>
      <c r="K18" s="2613"/>
      <c r="L18" s="2446"/>
      <c r="M18" s="2446"/>
      <c r="N18" s="2504"/>
      <c r="O18" s="2446"/>
      <c r="P18" s="2504"/>
      <c r="Q18" s="2434"/>
      <c r="R18" s="2434"/>
      <c r="S18" s="2434"/>
      <c r="T18" s="2434"/>
      <c r="U18" s="2434"/>
      <c r="V18" s="2434"/>
    </row>
    <row r="19" spans="1:28" ht="37.5" thickTop="1" thickBot="1">
      <c r="A19" s="327" t="s">
        <v>1055</v>
      </c>
      <c r="B19" s="307" t="s">
        <v>2203</v>
      </c>
      <c r="C19" s="1558" t="s">
        <v>3384</v>
      </c>
      <c r="D19" s="1559" t="s">
        <v>2204</v>
      </c>
      <c r="E19" s="1560"/>
      <c r="F19" s="1561" t="str">
        <f>IF(AND(C19="是",E19="否"),"是否提供他项权证或相关说明","")</f>
        <v/>
      </c>
      <c r="G19" s="1562"/>
      <c r="H19" s="2658"/>
      <c r="I19" s="2658"/>
      <c r="J19" s="2434"/>
      <c r="K19" s="2611"/>
      <c r="L19" s="2608"/>
      <c r="M19" s="2608"/>
      <c r="N19" s="2504"/>
      <c r="O19" s="2446"/>
      <c r="P19" s="2504"/>
      <c r="Q19" s="2434"/>
      <c r="R19" s="2434"/>
      <c r="S19" s="2434"/>
      <c r="T19" s="2434"/>
      <c r="U19" s="2434"/>
      <c r="V19" s="2434"/>
    </row>
    <row r="20" spans="1:28">
      <c r="A20" s="2627" t="s">
        <v>2205</v>
      </c>
      <c r="B20" s="3580" t="s">
        <v>2206</v>
      </c>
      <c r="C20" s="3581"/>
      <c r="D20" s="3582" t="s">
        <v>2207</v>
      </c>
      <c r="E20" s="3583"/>
      <c r="F20" s="2642" t="s">
        <v>1056</v>
      </c>
      <c r="G20" s="2658"/>
      <c r="H20" s="2658"/>
      <c r="I20" s="2658"/>
      <c r="J20" s="2434"/>
      <c r="K20" s="357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8"/>
      <c r="H21" s="2658"/>
      <c r="I21" s="2658"/>
      <c r="J21" s="2434"/>
      <c r="K21" s="357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7"/>
      <c r="E22" s="2657"/>
      <c r="F22" s="2657"/>
      <c r="G22" s="2658"/>
      <c r="H22" s="2658"/>
      <c r="I22" s="2658"/>
      <c r="J22" s="2434"/>
      <c r="K22" s="357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7"/>
      <c r="G23" s="2658"/>
      <c r="H23" s="2658"/>
      <c r="I23" s="2658"/>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7"/>
      <c r="G24" s="2658"/>
      <c r="H24" s="2658"/>
      <c r="I24" s="2658"/>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7"/>
      <c r="G25" s="2658"/>
      <c r="H25" s="2658"/>
      <c r="I25" s="2658"/>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59"/>
      <c r="G26" s="2659"/>
      <c r="H26" s="2659"/>
      <c r="I26" s="2659"/>
      <c r="J26" s="2434"/>
      <c r="K26" s="2611"/>
      <c r="L26" s="2608"/>
      <c r="M26" s="2608"/>
      <c r="N26" s="2504"/>
      <c r="O26" s="2446"/>
      <c r="P26" s="2504"/>
      <c r="Q26" s="2434"/>
      <c r="R26" s="2434"/>
      <c r="S26" s="2434"/>
      <c r="T26" s="2434"/>
      <c r="U26" s="2434"/>
      <c r="V26" s="2434"/>
    </row>
    <row r="27" spans="1:28" ht="13.5" thickTop="1">
      <c r="A27" s="3597" t="s">
        <v>2214</v>
      </c>
      <c r="B27" s="320" t="s">
        <v>2215</v>
      </c>
      <c r="C27" s="2411" t="s">
        <v>3392</v>
      </c>
      <c r="D27" s="2412"/>
      <c r="E27" s="2658"/>
      <c r="F27" s="2658"/>
      <c r="G27" s="2658"/>
      <c r="H27" s="2658"/>
      <c r="I27" s="2658"/>
      <c r="J27" s="2434"/>
      <c r="K27" s="2612"/>
      <c r="L27" s="2446"/>
      <c r="M27" s="2446"/>
      <c r="N27" s="2504"/>
      <c r="O27" s="2446"/>
      <c r="P27" s="2504"/>
      <c r="Q27" s="2434"/>
      <c r="R27" s="2434"/>
      <c r="S27" s="2434"/>
      <c r="T27" s="2434"/>
      <c r="U27" s="2434"/>
      <c r="V27" s="2434"/>
    </row>
    <row r="28" spans="1:28">
      <c r="A28" s="3597"/>
      <c r="B28" s="302" t="s">
        <v>2216</v>
      </c>
      <c r="C28" s="2413"/>
      <c r="D28" s="2414"/>
      <c r="E28" s="2658"/>
      <c r="F28" s="2658"/>
      <c r="G28" s="2658"/>
      <c r="H28" s="2658"/>
      <c r="I28" s="2658"/>
      <c r="J28" s="2434"/>
      <c r="K28" s="2611"/>
      <c r="L28" s="2608"/>
      <c r="M28" s="2608"/>
      <c r="N28" s="2434"/>
      <c r="O28" s="2445"/>
      <c r="P28" s="2434"/>
      <c r="Q28" s="2434"/>
      <c r="R28" s="2434"/>
      <c r="S28" s="2434"/>
      <c r="T28" s="2434"/>
      <c r="U28" s="2434"/>
      <c r="V28" s="2434"/>
    </row>
    <row r="29" spans="1:28">
      <c r="A29" s="3597"/>
      <c r="B29" s="302" t="s">
        <v>2217</v>
      </c>
      <c r="C29" s="2415"/>
      <c r="D29" s="2416"/>
      <c r="E29" s="2658"/>
      <c r="F29" s="2658"/>
      <c r="G29" s="2658"/>
      <c r="H29" s="2658"/>
      <c r="I29" s="2658"/>
      <c r="J29" s="2434"/>
      <c r="K29" s="2611"/>
      <c r="L29" s="2608"/>
      <c r="M29" s="2608"/>
      <c r="N29" s="2434"/>
      <c r="O29" s="2445"/>
      <c r="P29" s="2434"/>
      <c r="Q29" s="2434"/>
      <c r="R29" s="2434"/>
      <c r="S29" s="2434"/>
      <c r="T29" s="2434"/>
      <c r="U29" s="2434"/>
      <c r="V29" s="2434"/>
    </row>
    <row r="30" spans="1:28">
      <c r="A30" s="3598"/>
      <c r="B30" s="302" t="s">
        <v>2218</v>
      </c>
      <c r="C30" s="3599"/>
      <c r="D30" s="3600"/>
      <c r="E30" s="2658"/>
      <c r="F30" s="2658"/>
      <c r="G30" s="2658"/>
      <c r="H30" s="2658"/>
      <c r="I30" s="2658"/>
      <c r="J30" s="2434"/>
      <c r="K30" s="2611"/>
      <c r="L30" s="2608"/>
      <c r="M30" s="2608"/>
      <c r="N30" s="2434"/>
      <c r="O30" s="2445"/>
      <c r="P30" s="2434"/>
      <c r="Q30" s="2434"/>
      <c r="R30" s="2434"/>
      <c r="S30" s="2434"/>
      <c r="T30" s="2434"/>
      <c r="U30" s="2434"/>
      <c r="V30" s="2434"/>
    </row>
    <row r="31" spans="1:28">
      <c r="A31" s="3601" t="s">
        <v>2219</v>
      </c>
      <c r="B31" s="2417" t="s">
        <v>3391</v>
      </c>
      <c r="C31" s="2318" t="str">
        <f>IF(B31="现房","成新及维护状况正常否",IF(B31="在建","工程状态是否正常",IF(B31="土地","是否闲置","-")))</f>
        <v>成新及维护状况正常否</v>
      </c>
      <c r="D31" s="1368"/>
      <c r="E31" s="2418"/>
      <c r="F31" s="2658"/>
      <c r="G31" s="2658"/>
      <c r="H31" s="2658"/>
      <c r="I31" s="2658"/>
      <c r="J31" s="2434"/>
      <c r="K31" s="2610"/>
      <c r="L31" s="2608"/>
      <c r="M31" s="2608"/>
      <c r="N31" s="2434"/>
      <c r="O31" s="2445"/>
      <c r="P31" s="2434"/>
      <c r="Q31" s="2434"/>
      <c r="R31" s="2434"/>
      <c r="S31" s="2434"/>
      <c r="T31" s="2434"/>
      <c r="U31" s="2434"/>
      <c r="V31" s="2434"/>
    </row>
    <row r="32" spans="1:28">
      <c r="A32" s="3602"/>
      <c r="B32" s="2417"/>
      <c r="C32" s="2318" t="str">
        <f>IF(B32="现房","成新及维护状况是否正常",IF(B32="在建","工程状态是否正常",IF(B32="土地","是否闲置","-")))</f>
        <v>-</v>
      </c>
      <c r="D32" s="1368"/>
      <c r="E32" s="2418"/>
      <c r="F32" s="2658"/>
      <c r="G32" s="2658"/>
      <c r="H32" s="2658"/>
      <c r="I32" s="2658"/>
      <c r="J32" s="2434"/>
      <c r="K32" s="2611"/>
      <c r="L32" s="2608"/>
      <c r="M32" s="2608"/>
      <c r="N32" s="2434"/>
      <c r="O32" s="2445"/>
      <c r="P32" s="2434"/>
      <c r="Q32" s="2434"/>
      <c r="R32" s="2434"/>
      <c r="S32" s="2434"/>
      <c r="T32" s="2434"/>
      <c r="U32" s="2434"/>
      <c r="V32" s="2434"/>
    </row>
    <row r="33" spans="1:30">
      <c r="A33" s="3602"/>
      <c r="B33" s="2420"/>
      <c r="C33" s="1585" t="str">
        <f>IF(B33="现房","成新及维护状况是否正常",IF(B33="在建","工程状态是否正常",IF(B33="土地","是否闲置","-")))</f>
        <v>-</v>
      </c>
      <c r="D33" s="1360"/>
      <c r="E33" s="2421"/>
      <c r="F33" s="2658"/>
      <c r="G33" s="2658"/>
      <c r="H33" s="2658"/>
      <c r="I33" s="2658"/>
      <c r="J33" s="2434"/>
      <c r="K33" s="2611"/>
      <c r="L33" s="2608"/>
      <c r="M33" s="2608"/>
      <c r="N33" s="2434"/>
      <c r="O33" s="2445"/>
      <c r="P33" s="2434"/>
      <c r="Q33" s="2434"/>
      <c r="R33" s="2434"/>
      <c r="S33" s="2434"/>
      <c r="T33" s="2434"/>
      <c r="U33" s="2434"/>
      <c r="V33" s="2434"/>
    </row>
    <row r="34" spans="1:30">
      <c r="A34" s="302" t="s">
        <v>2220</v>
      </c>
      <c r="B34" s="2021" t="s">
        <v>3385</v>
      </c>
      <c r="C34" s="2021" t="s">
        <v>3386</v>
      </c>
      <c r="D34" s="2021" t="s">
        <v>3387</v>
      </c>
      <c r="E34" s="2021" t="s">
        <v>3388</v>
      </c>
      <c r="F34" s="2021" t="s">
        <v>3389</v>
      </c>
      <c r="G34" s="2021" t="s">
        <v>3390</v>
      </c>
      <c r="H34" s="2021"/>
      <c r="I34" s="2658"/>
      <c r="J34" s="2434"/>
      <c r="K34" s="2422">
        <f>COUNTIF(B34:H34,"——")</f>
        <v>0</v>
      </c>
      <c r="L34" s="323" t="s">
        <v>2221</v>
      </c>
      <c r="M34" s="323" t="s">
        <v>2222</v>
      </c>
      <c r="N34" s="323" t="s">
        <v>2223</v>
      </c>
      <c r="O34" s="323" t="s">
        <v>2224</v>
      </c>
      <c r="P34" s="323" t="s">
        <v>2225</v>
      </c>
      <c r="Q34" s="323" t="s">
        <v>2226</v>
      </c>
      <c r="R34" s="323" t="s">
        <v>2227</v>
      </c>
      <c r="S34" s="3596" t="s">
        <v>2228</v>
      </c>
      <c r="T34" s="2423" t="str">
        <f>NUMBERSTRING(7-K34,1)&amp;"通"</f>
        <v>七通</v>
      </c>
      <c r="U34" s="2434"/>
      <c r="V34" s="2434"/>
    </row>
    <row r="35" spans="1:30">
      <c r="A35" s="2424"/>
      <c r="B35" s="3603" t="s">
        <v>2229</v>
      </c>
      <c r="C35" s="3603"/>
      <c r="D35" s="3603"/>
      <c r="E35" s="3603"/>
      <c r="F35" s="664">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96"/>
      <c r="T35" s="329" t="str">
        <f>IF(T34="一通",L35,IF(T34="二通",M35,IF(T34="三通",N35,IF(T34="四通",O35,IF(T34="五通",P35,IF(T34="六通",Q35,R35))))))</f>
        <v>通路、通电、通讯、通上水、通下水、燃气、</v>
      </c>
      <c r="U35" s="2434"/>
      <c r="V35" s="2434"/>
    </row>
    <row r="36" spans="1:30">
      <c r="A36" s="2425"/>
      <c r="B36" s="664" t="s">
        <v>2185</v>
      </c>
      <c r="C36" s="664" t="s">
        <v>2186</v>
      </c>
      <c r="D36" s="664" t="s">
        <v>2184</v>
      </c>
      <c r="E36" s="664" t="s">
        <v>2189</v>
      </c>
      <c r="F36" s="3059" t="s">
        <v>2579</v>
      </c>
      <c r="G36" s="2658"/>
      <c r="H36" s="2658"/>
      <c r="I36" s="2658"/>
      <c r="J36" s="2434"/>
      <c r="K36" s="2611"/>
      <c r="L36" s="2608"/>
      <c r="M36" s="2608"/>
      <c r="N36" s="2434"/>
      <c r="O36" s="2445"/>
      <c r="P36" s="2434"/>
      <c r="Q36" s="2434"/>
      <c r="R36" s="2434"/>
      <c r="S36" s="2434"/>
      <c r="T36" s="2434"/>
      <c r="U36" s="2434"/>
      <c r="V36" s="2434"/>
    </row>
    <row r="37" spans="1:30">
      <c r="A37" s="2625" t="s">
        <v>2230</v>
      </c>
      <c r="B37" s="2426" t="s">
        <v>144</v>
      </c>
      <c r="C37" s="2426" t="s">
        <v>144</v>
      </c>
      <c r="D37" s="2426"/>
      <c r="E37" s="2426"/>
      <c r="F37" s="2426"/>
      <c r="G37" s="2658"/>
      <c r="H37" s="2658"/>
      <c r="I37" s="2658"/>
      <c r="J37" s="2434"/>
      <c r="K37" s="2611"/>
      <c r="L37" s="2608"/>
      <c r="M37" s="2608"/>
      <c r="N37" s="2434"/>
      <c r="O37" s="2445"/>
      <c r="P37" s="2434"/>
      <c r="Q37" s="2434"/>
      <c r="R37" s="2434"/>
      <c r="S37" s="2434"/>
      <c r="T37" s="2434"/>
      <c r="U37" s="2434"/>
      <c r="V37" s="2434"/>
    </row>
    <row r="38" spans="1:30" ht="13.5" thickBot="1">
      <c r="A38" s="2626" t="s">
        <v>2231</v>
      </c>
      <c r="B38" s="2427" t="s">
        <v>145</v>
      </c>
      <c r="C38" s="2427" t="s">
        <v>145</v>
      </c>
      <c r="D38" s="2427"/>
      <c r="E38" s="2427"/>
      <c r="F38" s="2427"/>
      <c r="G38" s="2659"/>
      <c r="H38" s="2659"/>
      <c r="I38" s="2659"/>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28830.28</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28830.28</v>
      </c>
      <c r="H5" s="13">
        <f t="shared" ref="H5:AT5" si="0">SUM(H13:H656)</f>
        <v>28830.28</v>
      </c>
      <c r="I5" s="13">
        <f t="shared" si="0"/>
        <v>16589.39</v>
      </c>
      <c r="J5" s="13">
        <f t="shared" si="0"/>
        <v>0</v>
      </c>
      <c r="K5" s="13">
        <f t="shared" si="0"/>
        <v>12240.89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28830.28</v>
      </c>
      <c r="BA5" s="15">
        <f t="shared" si="1"/>
        <v>28830.28</v>
      </c>
      <c r="BB5" s="15">
        <f t="shared" si="1"/>
        <v>16589.39</v>
      </c>
      <c r="BC5" s="15">
        <f t="shared" si="1"/>
        <v>12240.89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3412</v>
      </c>
      <c r="J9" s="804"/>
      <c r="K9" s="1598" t="s">
        <v>3414</v>
      </c>
      <c r="L9" s="804"/>
      <c r="M9" s="1598" t="s">
        <v>3414</v>
      </c>
      <c r="N9" s="804"/>
      <c r="O9" s="1598" t="s">
        <v>3412</v>
      </c>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673</v>
      </c>
      <c r="L10" s="804"/>
      <c r="M10" s="1604" t="s">
        <v>3333</v>
      </c>
      <c r="N10" s="804"/>
      <c r="O10" s="1604" t="s">
        <v>21</v>
      </c>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车库</v>
      </c>
      <c r="BE11" s="1594" t="str">
        <f>O10</f>
        <v>办公</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82"/>
      <c r="D13" s="1620" t="s">
        <v>3384</v>
      </c>
      <c r="E13" s="13">
        <f>IF($C$3="是",ROUND($A$3*G13/$B$3,2),ROUND($A$3*(G13-AT13)/$B$3,2))</f>
        <v>0</v>
      </c>
      <c r="F13" s="29"/>
      <c r="G13" s="30">
        <f>H13+AC13+AT13</f>
        <v>28830.28</v>
      </c>
      <c r="H13" s="17">
        <f>SUMIF(I$12:AB$12,"总值",I13:AB13)</f>
        <v>28830.28</v>
      </c>
      <c r="I13" s="1621">
        <f>面积清单!D15</f>
        <v>16589.39</v>
      </c>
      <c r="J13" s="1621"/>
      <c r="K13" s="1621">
        <f>面积清单!D17</f>
        <v>12240.89</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28830.28</v>
      </c>
      <c r="BA13" s="13">
        <f>SUM(BB13:BK13)</f>
        <v>28830.28</v>
      </c>
      <c r="BB13" s="13">
        <f>IF($D13="是",I13-J13,0)</f>
        <v>16589.39</v>
      </c>
      <c r="BC13" s="13">
        <f>IF($D13="是",K13-L13,0)</f>
        <v>12240.89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82"/>
      <c r="D14" s="1620" t="s">
        <v>3384</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82"/>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3482"/>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82"/>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2"/>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82"/>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82"/>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83"/>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83"/>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83"/>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71"/>
  <sheetViews>
    <sheetView workbookViewId="0">
      <selection activeCell="K22" sqref="K22"/>
    </sheetView>
  </sheetViews>
  <sheetFormatPr defaultRowHeight="13.5"/>
  <cols>
    <col min="1" max="1" width="9" style="3465"/>
    <col min="2" max="2" width="10.75" style="3465" customWidth="1"/>
    <col min="3" max="3" width="19.25" style="3465" bestFit="1" customWidth="1"/>
    <col min="4" max="5" width="15.5" style="3465" bestFit="1" customWidth="1"/>
    <col min="6" max="6" width="15.75" style="3465" customWidth="1"/>
    <col min="7" max="8" width="12.75" style="3465" bestFit="1" customWidth="1"/>
    <col min="9" max="9" width="11.625" style="3465" bestFit="1" customWidth="1"/>
    <col min="10" max="10" width="9" style="3465"/>
    <col min="11" max="11" width="10.5" style="3465" bestFit="1" customWidth="1"/>
    <col min="12" max="12" width="9.5" style="3465" bestFit="1" customWidth="1"/>
    <col min="13" max="16384" width="9" style="3465"/>
  </cols>
  <sheetData>
    <row r="2" spans="2:8">
      <c r="B2" s="3464" t="s">
        <v>3393</v>
      </c>
    </row>
    <row r="3" spans="2:8">
      <c r="B3" s="3466"/>
      <c r="C3" s="3467" t="s">
        <v>2328</v>
      </c>
      <c r="D3" s="3467" t="s">
        <v>3394</v>
      </c>
      <c r="E3" s="3467" t="s">
        <v>3395</v>
      </c>
      <c r="F3" s="3466"/>
      <c r="G3" s="3468" t="s">
        <v>3396</v>
      </c>
    </row>
    <row r="4" spans="2:8">
      <c r="B4" s="3469" t="s">
        <v>3397</v>
      </c>
      <c r="C4" s="3470">
        <f>C5+C6</f>
        <v>28830.28</v>
      </c>
      <c r="D4" s="3470">
        <f>E4/C4</f>
        <v>3188.8365981877387</v>
      </c>
      <c r="E4" s="3470">
        <f>E5+E6</f>
        <v>91935052</v>
      </c>
      <c r="F4" s="3466"/>
      <c r="G4" s="3471">
        <v>1</v>
      </c>
    </row>
    <row r="5" spans="2:8">
      <c r="B5" s="3467" t="s">
        <v>3398</v>
      </c>
      <c r="C5" s="3472">
        <f>面积清单!D15</f>
        <v>16589.39</v>
      </c>
      <c r="D5" s="3466">
        <v>2000</v>
      </c>
      <c r="E5" s="3466">
        <f>D5*C5</f>
        <v>33178780</v>
      </c>
      <c r="F5" s="3466"/>
      <c r="G5" s="3466"/>
    </row>
    <row r="6" spans="2:8">
      <c r="B6" s="3467" t="s">
        <v>3399</v>
      </c>
      <c r="C6" s="3472">
        <f>面积清单!D17</f>
        <v>12240.89</v>
      </c>
      <c r="D6" s="3466">
        <v>4800</v>
      </c>
      <c r="E6" s="3466">
        <f t="shared" ref="E6:E9" si="0">D6*C6</f>
        <v>58756272</v>
      </c>
      <c r="F6" s="3466"/>
      <c r="G6" s="3466"/>
    </row>
    <row r="7" spans="2:8">
      <c r="B7" s="3469" t="s">
        <v>3400</v>
      </c>
      <c r="C7" s="3470">
        <f>C4</f>
        <v>28830.28</v>
      </c>
      <c r="D7" s="3470">
        <v>1500</v>
      </c>
      <c r="E7" s="3470">
        <f>D7*C7</f>
        <v>43245420</v>
      </c>
      <c r="F7" s="3466"/>
      <c r="G7" s="3471">
        <v>1</v>
      </c>
    </row>
    <row r="8" spans="2:8">
      <c r="B8" s="3469" t="s">
        <v>3401</v>
      </c>
      <c r="C8" s="3470">
        <f>C4</f>
        <v>28830.28</v>
      </c>
      <c r="D8" s="3470">
        <v>2000</v>
      </c>
      <c r="E8" s="3470">
        <f>D8*C8</f>
        <v>57660560</v>
      </c>
      <c r="F8" s="3466"/>
      <c r="G8" s="3471">
        <v>1</v>
      </c>
    </row>
    <row r="9" spans="2:8">
      <c r="B9" s="3469" t="s">
        <v>3402</v>
      </c>
      <c r="C9" s="3470">
        <v>0</v>
      </c>
      <c r="D9" s="3470">
        <f>D6</f>
        <v>4800</v>
      </c>
      <c r="E9" s="3470">
        <f t="shared" si="0"/>
        <v>0</v>
      </c>
      <c r="F9" s="3466"/>
      <c r="G9" s="3466"/>
    </row>
    <row r="10" spans="2:8">
      <c r="B10" s="3467" t="s">
        <v>3403</v>
      </c>
      <c r="C10" s="3466">
        <f>C4</f>
        <v>28830.28</v>
      </c>
      <c r="D10" s="3466">
        <f>E10/C10</f>
        <v>6688.8365981877387</v>
      </c>
      <c r="E10" s="3466">
        <f>E4+E7+E8+E9</f>
        <v>192841032</v>
      </c>
      <c r="F10" s="3466"/>
      <c r="G10" s="3469">
        <f>(G4*E4+G7*E7+G8*E8)/E10</f>
        <v>1</v>
      </c>
    </row>
    <row r="14" spans="2:8">
      <c r="B14" s="3464" t="s">
        <v>3404</v>
      </c>
    </row>
    <row r="15" spans="2:8">
      <c r="B15" s="3466"/>
      <c r="C15" s="3467" t="s">
        <v>3405</v>
      </c>
      <c r="D15" s="3467"/>
      <c r="E15" s="3467" t="s">
        <v>3406</v>
      </c>
      <c r="F15" s="3467" t="s">
        <v>3407</v>
      </c>
      <c r="G15" s="3467" t="s">
        <v>3408</v>
      </c>
      <c r="H15" s="3468" t="s">
        <v>3409</v>
      </c>
    </row>
    <row r="16" spans="2:8">
      <c r="B16" s="3469" t="s">
        <v>3410</v>
      </c>
      <c r="C16" s="3470">
        <v>2011</v>
      </c>
      <c r="D16" s="3470">
        <v>2024</v>
      </c>
      <c r="E16" s="3470">
        <v>50</v>
      </c>
      <c r="F16" s="3466">
        <v>60</v>
      </c>
      <c r="G16" s="3466">
        <v>0</v>
      </c>
      <c r="H16" s="3473">
        <f>ROUND((1-G16)-(D16-C16)/F16,2)</f>
        <v>0.78</v>
      </c>
    </row>
    <row r="17" spans="2:8">
      <c r="B17" s="3467" t="s">
        <v>3411</v>
      </c>
      <c r="C17" s="3472"/>
      <c r="D17" s="3466"/>
      <c r="E17" s="3466"/>
      <c r="F17" s="3466"/>
      <c r="G17" s="3466"/>
      <c r="H17" s="3471">
        <v>0.8</v>
      </c>
    </row>
    <row r="18" spans="2:8">
      <c r="B18" s="3467"/>
      <c r="C18" s="3466"/>
      <c r="D18" s="3466"/>
      <c r="E18" s="3466"/>
      <c r="F18" s="3466"/>
      <c r="G18" s="3466"/>
      <c r="H18" s="3474">
        <f>ROUND((H17+H16)/2,2)</f>
        <v>0.79</v>
      </c>
    </row>
    <row r="24" spans="2:8">
      <c r="B24" s="3475"/>
      <c r="C24" s="3476"/>
      <c r="D24" s="3476" t="s">
        <v>3511</v>
      </c>
      <c r="E24" s="3477"/>
      <c r="F24" s="3477"/>
    </row>
    <row r="25" spans="2:8">
      <c r="B25" s="3475" t="s">
        <v>3509</v>
      </c>
      <c r="C25" s="3526">
        <f>面积清单!D15</f>
        <v>16589.39</v>
      </c>
      <c r="D25" s="3527">
        <f>C25</f>
        <v>16589.39</v>
      </c>
      <c r="E25" s="3478">
        <v>4.5</v>
      </c>
      <c r="F25" s="3478"/>
    </row>
    <row r="26" spans="2:8">
      <c r="B26" s="3475" t="s">
        <v>3510</v>
      </c>
      <c r="C26" s="3526">
        <f>面积清单!D17</f>
        <v>12240.89</v>
      </c>
      <c r="D26" s="3527">
        <f>C26*2*70%</f>
        <v>17137.245999999999</v>
      </c>
      <c r="E26" s="3479">
        <v>4.7</v>
      </c>
      <c r="F26" s="3480"/>
    </row>
    <row r="27" spans="2:8">
      <c r="B27" s="3475"/>
      <c r="C27" s="3526">
        <f>C25+C26</f>
        <v>28830.28</v>
      </c>
      <c r="D27" s="3527"/>
      <c r="E27" s="3528">
        <f>(D25*E25+D26*E26)/C27</f>
        <v>5.3831357586537489</v>
      </c>
      <c r="F27" s="3479"/>
    </row>
    <row r="28" spans="2:8">
      <c r="B28" s="3475"/>
      <c r="C28" s="3477"/>
      <c r="D28" s="3478"/>
      <c r="E28" s="3479"/>
      <c r="F28" s="3479"/>
    </row>
    <row r="29" spans="2:8">
      <c r="B29" s="3475"/>
      <c r="C29" s="3477"/>
      <c r="D29" s="3478"/>
      <c r="E29" s="3478"/>
      <c r="F29" s="3478"/>
    </row>
    <row r="30" spans="2:8">
      <c r="B30" s="3475"/>
      <c r="C30" s="3477"/>
      <c r="D30" s="3478"/>
      <c r="E30" s="3478"/>
      <c r="F30" s="3478"/>
    </row>
    <row r="31" spans="2:8">
      <c r="B31" s="3475"/>
      <c r="C31" s="3477"/>
      <c r="D31" s="3478"/>
      <c r="E31" s="3478"/>
      <c r="F31" s="3479"/>
    </row>
    <row r="32" spans="2:8">
      <c r="B32" s="3481"/>
      <c r="F32" s="3479"/>
    </row>
    <row r="33" spans="2:9">
      <c r="B33" s="3481"/>
    </row>
    <row r="34" spans="2:9">
      <c r="B34" s="3481"/>
    </row>
    <row r="35" spans="2:9">
      <c r="B35" s="3481"/>
    </row>
    <row r="36" spans="2:9" ht="14.25">
      <c r="B36" s="3515"/>
      <c r="C36" s="3517"/>
      <c r="D36" s="3517"/>
      <c r="E36" s="3517"/>
      <c r="F36" s="3517"/>
      <c r="G36" s="3517"/>
      <c r="H36" s="3518"/>
      <c r="I36" s="3518"/>
    </row>
    <row r="37" spans="2:9" ht="14.25">
      <c r="B37" s="3515"/>
      <c r="C37" s="3517"/>
      <c r="D37" s="3517"/>
      <c r="E37" s="3517"/>
      <c r="F37" s="3517"/>
      <c r="G37" s="3517"/>
      <c r="H37" s="3517"/>
      <c r="I37" s="3517"/>
    </row>
    <row r="38" spans="2:9" ht="14.25">
      <c r="B38" s="3515"/>
      <c r="C38" s="3517"/>
      <c r="D38" s="3517"/>
      <c r="E38" s="3517"/>
      <c r="F38" s="3517"/>
      <c r="G38" s="3517"/>
      <c r="H38" s="3517"/>
      <c r="I38" s="3517"/>
    </row>
    <row r="39" spans="2:9" ht="14.25">
      <c r="B39" s="3515"/>
      <c r="C39" s="3517"/>
      <c r="D39" s="3517"/>
      <c r="E39" s="3517"/>
      <c r="F39" s="3517"/>
      <c r="G39" s="3517"/>
      <c r="H39" s="3517"/>
      <c r="I39" s="3517"/>
    </row>
    <row r="40" spans="2:9" ht="14.25">
      <c r="B40" s="3515"/>
      <c r="C40" s="3517"/>
      <c r="D40" s="3517"/>
      <c r="E40" s="3517"/>
      <c r="F40" s="3517"/>
      <c r="G40" s="3517"/>
      <c r="H40" s="3517"/>
      <c r="I40" s="3517"/>
    </row>
    <row r="41" spans="2:9" ht="14.25">
      <c r="B41" s="3515"/>
      <c r="C41" s="3517"/>
      <c r="D41" s="3517"/>
      <c r="E41" s="3517"/>
      <c r="F41" s="3517"/>
      <c r="G41" s="3517"/>
      <c r="H41" s="3517"/>
      <c r="I41" s="3517"/>
    </row>
    <row r="42" spans="2:9" ht="14.25">
      <c r="B42" s="3516"/>
      <c r="C42" s="3517"/>
      <c r="D42" s="3517"/>
      <c r="E42" s="3517"/>
      <c r="F42" s="3517"/>
      <c r="G42" s="3517"/>
      <c r="H42" s="3517"/>
      <c r="I42" s="3517"/>
    </row>
    <row r="43" spans="2:9">
      <c r="B43" s="3481"/>
    </row>
    <row r="44" spans="2:9">
      <c r="B44" s="3481"/>
    </row>
    <row r="45" spans="2:9">
      <c r="B45" s="3481"/>
    </row>
    <row r="46" spans="2:9">
      <c r="B46" s="3481"/>
      <c r="G46" s="3488"/>
      <c r="H46" s="3479"/>
    </row>
    <row r="47" spans="2:9">
      <c r="B47" s="3481"/>
    </row>
    <row r="48" spans="2:9">
      <c r="B48" s="3481"/>
      <c r="C48" s="3488"/>
    </row>
    <row r="49" spans="2:3">
      <c r="B49" s="3481"/>
      <c r="C49" s="3488"/>
    </row>
    <row r="50" spans="2:3">
      <c r="B50" s="3481"/>
      <c r="C50" s="3488"/>
    </row>
    <row r="51" spans="2:3">
      <c r="B51" s="3481"/>
    </row>
    <row r="52" spans="2:3">
      <c r="B52" s="3481"/>
    </row>
    <row r="53" spans="2:3">
      <c r="B53" s="3481"/>
    </row>
    <row r="54" spans="2:3">
      <c r="B54" s="3481"/>
    </row>
    <row r="55" spans="2:3">
      <c r="B55" s="3481"/>
    </row>
    <row r="56" spans="2:3">
      <c r="B56" s="3481"/>
    </row>
    <row r="57" spans="2:3">
      <c r="B57" s="3481"/>
    </row>
    <row r="58" spans="2:3">
      <c r="B58" s="3481"/>
    </row>
    <row r="59" spans="2:3">
      <c r="B59" s="3481"/>
    </row>
    <row r="60" spans="2:3">
      <c r="B60" s="3481"/>
    </row>
    <row r="61" spans="2:3">
      <c r="B61" s="3481"/>
    </row>
    <row r="62" spans="2:3">
      <c r="B62" s="3481"/>
    </row>
    <row r="63" spans="2:3">
      <c r="B63" s="3481"/>
    </row>
    <row r="64" spans="2:3">
      <c r="B64" s="3481"/>
    </row>
    <row r="65" spans="2:2">
      <c r="B65" s="3481"/>
    </row>
    <row r="66" spans="2:2">
      <c r="B66" s="3481"/>
    </row>
    <row r="67" spans="2:2">
      <c r="B67" s="3481"/>
    </row>
    <row r="68" spans="2:2">
      <c r="B68" s="3481"/>
    </row>
    <row r="69" spans="2:2">
      <c r="B69" s="3481"/>
    </row>
    <row r="70" spans="2:2">
      <c r="B70" s="3481"/>
    </row>
    <row r="71" spans="2:2">
      <c r="B71" s="348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tabSelected="1" workbookViewId="0">
      <pane xSplit="1" ySplit="1" topLeftCell="B14" activePane="bottomRight" state="frozen"/>
      <selection pane="topRight" activeCell="B1" sqref="B1"/>
      <selection pane="bottomLeft" activeCell="A2" sqref="A2"/>
      <selection pane="bottomRight" activeCell="H37" sqref="H37"/>
    </sheetView>
  </sheetViews>
  <sheetFormatPr defaultRowHeight="12"/>
  <cols>
    <col min="1" max="1" width="9" style="3525"/>
    <col min="2" max="2" width="29.5" style="3524" customWidth="1"/>
    <col min="3" max="3" width="32.875" style="3525" customWidth="1"/>
    <col min="4" max="4" width="12.75" style="3524" bestFit="1" customWidth="1"/>
    <col min="5" max="5" width="6.375" style="3524" customWidth="1"/>
    <col min="6" max="6" width="6.5" style="3524" bestFit="1" customWidth="1"/>
    <col min="7" max="7" width="11.625" style="3524" bestFit="1" customWidth="1"/>
    <col min="8" max="8" width="18.375" style="3524" bestFit="1" customWidth="1"/>
    <col min="9" max="9" width="12" style="3525" hidden="1" customWidth="1"/>
    <col min="10" max="10" width="14.5" style="3524" hidden="1" customWidth="1"/>
    <col min="11" max="11" width="13.125" style="3524" hidden="1" customWidth="1"/>
    <col min="12" max="257" width="9" style="3524"/>
    <col min="258" max="258" width="39.625" style="3524" bestFit="1" customWidth="1"/>
    <col min="259" max="259" width="41.625" style="3524" bestFit="1" customWidth="1"/>
    <col min="260" max="260" width="16.875" style="3524" customWidth="1"/>
    <col min="261" max="261" width="11.625" style="3524" bestFit="1" customWidth="1"/>
    <col min="262" max="262" width="6.5" style="3524" bestFit="1" customWidth="1"/>
    <col min="263" max="263" width="11.625" style="3524" bestFit="1" customWidth="1"/>
    <col min="264" max="264" width="18.375" style="3524" bestFit="1" customWidth="1"/>
    <col min="265" max="267" width="0" style="3524" hidden="1" customWidth="1"/>
    <col min="268" max="513" width="9" style="3524"/>
    <col min="514" max="514" width="39.625" style="3524" bestFit="1" customWidth="1"/>
    <col min="515" max="515" width="41.625" style="3524" bestFit="1" customWidth="1"/>
    <col min="516" max="516" width="16.875" style="3524" customWidth="1"/>
    <col min="517" max="517" width="11.625" style="3524" bestFit="1" customWidth="1"/>
    <col min="518" max="518" width="6.5" style="3524" bestFit="1" customWidth="1"/>
    <col min="519" max="519" width="11.625" style="3524" bestFit="1" customWidth="1"/>
    <col min="520" max="520" width="18.375" style="3524" bestFit="1" customWidth="1"/>
    <col min="521" max="523" width="0" style="3524" hidden="1" customWidth="1"/>
    <col min="524" max="769" width="9" style="3524"/>
    <col min="770" max="770" width="39.625" style="3524" bestFit="1" customWidth="1"/>
    <col min="771" max="771" width="41.625" style="3524" bestFit="1" customWidth="1"/>
    <col min="772" max="772" width="16.875" style="3524" customWidth="1"/>
    <col min="773" max="773" width="11.625" style="3524" bestFit="1" customWidth="1"/>
    <col min="774" max="774" width="6.5" style="3524" bestFit="1" customWidth="1"/>
    <col min="775" max="775" width="11.625" style="3524" bestFit="1" customWidth="1"/>
    <col min="776" max="776" width="18.375" style="3524" bestFit="1" customWidth="1"/>
    <col min="777" max="779" width="0" style="3524" hidden="1" customWidth="1"/>
    <col min="780" max="1025" width="9" style="3524"/>
    <col min="1026" max="1026" width="39.625" style="3524" bestFit="1" customWidth="1"/>
    <col min="1027" max="1027" width="41.625" style="3524" bestFit="1" customWidth="1"/>
    <col min="1028" max="1028" width="16.875" style="3524" customWidth="1"/>
    <col min="1029" max="1029" width="11.625" style="3524" bestFit="1" customWidth="1"/>
    <col min="1030" max="1030" width="6.5" style="3524" bestFit="1" customWidth="1"/>
    <col min="1031" max="1031" width="11.625" style="3524" bestFit="1" customWidth="1"/>
    <col min="1032" max="1032" width="18.375" style="3524" bestFit="1" customWidth="1"/>
    <col min="1033" max="1035" width="0" style="3524" hidden="1" customWidth="1"/>
    <col min="1036" max="1281" width="9" style="3524"/>
    <col min="1282" max="1282" width="39.625" style="3524" bestFit="1" customWidth="1"/>
    <col min="1283" max="1283" width="41.625" style="3524" bestFit="1" customWidth="1"/>
    <col min="1284" max="1284" width="16.875" style="3524" customWidth="1"/>
    <col min="1285" max="1285" width="11.625" style="3524" bestFit="1" customWidth="1"/>
    <col min="1286" max="1286" width="6.5" style="3524" bestFit="1" customWidth="1"/>
    <col min="1287" max="1287" width="11.625" style="3524" bestFit="1" customWidth="1"/>
    <col min="1288" max="1288" width="18.375" style="3524" bestFit="1" customWidth="1"/>
    <col min="1289" max="1291" width="0" style="3524" hidden="1" customWidth="1"/>
    <col min="1292" max="1537" width="9" style="3524"/>
    <col min="1538" max="1538" width="39.625" style="3524" bestFit="1" customWidth="1"/>
    <col min="1539" max="1539" width="41.625" style="3524" bestFit="1" customWidth="1"/>
    <col min="1540" max="1540" width="16.875" style="3524" customWidth="1"/>
    <col min="1541" max="1541" width="11.625" style="3524" bestFit="1" customWidth="1"/>
    <col min="1542" max="1542" width="6.5" style="3524" bestFit="1" customWidth="1"/>
    <col min="1543" max="1543" width="11.625" style="3524" bestFit="1" customWidth="1"/>
    <col min="1544" max="1544" width="18.375" style="3524" bestFit="1" customWidth="1"/>
    <col min="1545" max="1547" width="0" style="3524" hidden="1" customWidth="1"/>
    <col min="1548" max="1793" width="9" style="3524"/>
    <col min="1794" max="1794" width="39.625" style="3524" bestFit="1" customWidth="1"/>
    <col min="1795" max="1795" width="41.625" style="3524" bestFit="1" customWidth="1"/>
    <col min="1796" max="1796" width="16.875" style="3524" customWidth="1"/>
    <col min="1797" max="1797" width="11.625" style="3524" bestFit="1" customWidth="1"/>
    <col min="1798" max="1798" width="6.5" style="3524" bestFit="1" customWidth="1"/>
    <col min="1799" max="1799" width="11.625" style="3524" bestFit="1" customWidth="1"/>
    <col min="1800" max="1800" width="18.375" style="3524" bestFit="1" customWidth="1"/>
    <col min="1801" max="1803" width="0" style="3524" hidden="1" customWidth="1"/>
    <col min="1804" max="2049" width="9" style="3524"/>
    <col min="2050" max="2050" width="39.625" style="3524" bestFit="1" customWidth="1"/>
    <col min="2051" max="2051" width="41.625" style="3524" bestFit="1" customWidth="1"/>
    <col min="2052" max="2052" width="16.875" style="3524" customWidth="1"/>
    <col min="2053" max="2053" width="11.625" style="3524" bestFit="1" customWidth="1"/>
    <col min="2054" max="2054" width="6.5" style="3524" bestFit="1" customWidth="1"/>
    <col min="2055" max="2055" width="11.625" style="3524" bestFit="1" customWidth="1"/>
    <col min="2056" max="2056" width="18.375" style="3524" bestFit="1" customWidth="1"/>
    <col min="2057" max="2059" width="0" style="3524" hidden="1" customWidth="1"/>
    <col min="2060" max="2305" width="9" style="3524"/>
    <col min="2306" max="2306" width="39.625" style="3524" bestFit="1" customWidth="1"/>
    <col min="2307" max="2307" width="41.625" style="3524" bestFit="1" customWidth="1"/>
    <col min="2308" max="2308" width="16.875" style="3524" customWidth="1"/>
    <col min="2309" max="2309" width="11.625" style="3524" bestFit="1" customWidth="1"/>
    <col min="2310" max="2310" width="6.5" style="3524" bestFit="1" customWidth="1"/>
    <col min="2311" max="2311" width="11.625" style="3524" bestFit="1" customWidth="1"/>
    <col min="2312" max="2312" width="18.375" style="3524" bestFit="1" customWidth="1"/>
    <col min="2313" max="2315" width="0" style="3524" hidden="1" customWidth="1"/>
    <col min="2316" max="2561" width="9" style="3524"/>
    <col min="2562" max="2562" width="39.625" style="3524" bestFit="1" customWidth="1"/>
    <col min="2563" max="2563" width="41.625" style="3524" bestFit="1" customWidth="1"/>
    <col min="2564" max="2564" width="16.875" style="3524" customWidth="1"/>
    <col min="2565" max="2565" width="11.625" style="3524" bestFit="1" customWidth="1"/>
    <col min="2566" max="2566" width="6.5" style="3524" bestFit="1" customWidth="1"/>
    <col min="2567" max="2567" width="11.625" style="3524" bestFit="1" customWidth="1"/>
    <col min="2568" max="2568" width="18.375" style="3524" bestFit="1" customWidth="1"/>
    <col min="2569" max="2571" width="0" style="3524" hidden="1" customWidth="1"/>
    <col min="2572" max="2817" width="9" style="3524"/>
    <col min="2818" max="2818" width="39.625" style="3524" bestFit="1" customWidth="1"/>
    <col min="2819" max="2819" width="41.625" style="3524" bestFit="1" customWidth="1"/>
    <col min="2820" max="2820" width="16.875" style="3524" customWidth="1"/>
    <col min="2821" max="2821" width="11.625" style="3524" bestFit="1" customWidth="1"/>
    <col min="2822" max="2822" width="6.5" style="3524" bestFit="1" customWidth="1"/>
    <col min="2823" max="2823" width="11.625" style="3524" bestFit="1" customWidth="1"/>
    <col min="2824" max="2824" width="18.375" style="3524" bestFit="1" customWidth="1"/>
    <col min="2825" max="2827" width="0" style="3524" hidden="1" customWidth="1"/>
    <col min="2828" max="3073" width="9" style="3524"/>
    <col min="3074" max="3074" width="39.625" style="3524" bestFit="1" customWidth="1"/>
    <col min="3075" max="3075" width="41.625" style="3524" bestFit="1" customWidth="1"/>
    <col min="3076" max="3076" width="16.875" style="3524" customWidth="1"/>
    <col min="3077" max="3077" width="11.625" style="3524" bestFit="1" customWidth="1"/>
    <col min="3078" max="3078" width="6.5" style="3524" bestFit="1" customWidth="1"/>
    <col min="3079" max="3079" width="11.625" style="3524" bestFit="1" customWidth="1"/>
    <col min="3080" max="3080" width="18.375" style="3524" bestFit="1" customWidth="1"/>
    <col min="3081" max="3083" width="0" style="3524" hidden="1" customWidth="1"/>
    <col min="3084" max="3329" width="9" style="3524"/>
    <col min="3330" max="3330" width="39.625" style="3524" bestFit="1" customWidth="1"/>
    <col min="3331" max="3331" width="41.625" style="3524" bestFit="1" customWidth="1"/>
    <col min="3332" max="3332" width="16.875" style="3524" customWidth="1"/>
    <col min="3333" max="3333" width="11.625" style="3524" bestFit="1" customWidth="1"/>
    <col min="3334" max="3334" width="6.5" style="3524" bestFit="1" customWidth="1"/>
    <col min="3335" max="3335" width="11.625" style="3524" bestFit="1" customWidth="1"/>
    <col min="3336" max="3336" width="18.375" style="3524" bestFit="1" customWidth="1"/>
    <col min="3337" max="3339" width="0" style="3524" hidden="1" customWidth="1"/>
    <col min="3340" max="3585" width="9" style="3524"/>
    <col min="3586" max="3586" width="39.625" style="3524" bestFit="1" customWidth="1"/>
    <col min="3587" max="3587" width="41.625" style="3524" bestFit="1" customWidth="1"/>
    <col min="3588" max="3588" width="16.875" style="3524" customWidth="1"/>
    <col min="3589" max="3589" width="11.625" style="3524" bestFit="1" customWidth="1"/>
    <col min="3590" max="3590" width="6.5" style="3524" bestFit="1" customWidth="1"/>
    <col min="3591" max="3591" width="11.625" style="3524" bestFit="1" customWidth="1"/>
    <col min="3592" max="3592" width="18.375" style="3524" bestFit="1" customWidth="1"/>
    <col min="3593" max="3595" width="0" style="3524" hidden="1" customWidth="1"/>
    <col min="3596" max="3841" width="9" style="3524"/>
    <col min="3842" max="3842" width="39.625" style="3524" bestFit="1" customWidth="1"/>
    <col min="3843" max="3843" width="41.625" style="3524" bestFit="1" customWidth="1"/>
    <col min="3844" max="3844" width="16.875" style="3524" customWidth="1"/>
    <col min="3845" max="3845" width="11.625" style="3524" bestFit="1" customWidth="1"/>
    <col min="3846" max="3846" width="6.5" style="3524" bestFit="1" customWidth="1"/>
    <col min="3847" max="3847" width="11.625" style="3524" bestFit="1" customWidth="1"/>
    <col min="3848" max="3848" width="18.375" style="3524" bestFit="1" customWidth="1"/>
    <col min="3849" max="3851" width="0" style="3524" hidden="1" customWidth="1"/>
    <col min="3852" max="4097" width="9" style="3524"/>
    <col min="4098" max="4098" width="39.625" style="3524" bestFit="1" customWidth="1"/>
    <col min="4099" max="4099" width="41.625" style="3524" bestFit="1" customWidth="1"/>
    <col min="4100" max="4100" width="16.875" style="3524" customWidth="1"/>
    <col min="4101" max="4101" width="11.625" style="3524" bestFit="1" customWidth="1"/>
    <col min="4102" max="4102" width="6.5" style="3524" bestFit="1" customWidth="1"/>
    <col min="4103" max="4103" width="11.625" style="3524" bestFit="1" customWidth="1"/>
    <col min="4104" max="4104" width="18.375" style="3524" bestFit="1" customWidth="1"/>
    <col min="4105" max="4107" width="0" style="3524" hidden="1" customWidth="1"/>
    <col min="4108" max="4353" width="9" style="3524"/>
    <col min="4354" max="4354" width="39.625" style="3524" bestFit="1" customWidth="1"/>
    <col min="4355" max="4355" width="41.625" style="3524" bestFit="1" customWidth="1"/>
    <col min="4356" max="4356" width="16.875" style="3524" customWidth="1"/>
    <col min="4357" max="4357" width="11.625" style="3524" bestFit="1" customWidth="1"/>
    <col min="4358" max="4358" width="6.5" style="3524" bestFit="1" customWidth="1"/>
    <col min="4359" max="4359" width="11.625" style="3524" bestFit="1" customWidth="1"/>
    <col min="4360" max="4360" width="18.375" style="3524" bestFit="1" customWidth="1"/>
    <col min="4361" max="4363" width="0" style="3524" hidden="1" customWidth="1"/>
    <col min="4364" max="4609" width="9" style="3524"/>
    <col min="4610" max="4610" width="39.625" style="3524" bestFit="1" customWidth="1"/>
    <col min="4611" max="4611" width="41.625" style="3524" bestFit="1" customWidth="1"/>
    <col min="4612" max="4612" width="16.875" style="3524" customWidth="1"/>
    <col min="4613" max="4613" width="11.625" style="3524" bestFit="1" customWidth="1"/>
    <col min="4614" max="4614" width="6.5" style="3524" bestFit="1" customWidth="1"/>
    <col min="4615" max="4615" width="11.625" style="3524" bestFit="1" customWidth="1"/>
    <col min="4616" max="4616" width="18.375" style="3524" bestFit="1" customWidth="1"/>
    <col min="4617" max="4619" width="0" style="3524" hidden="1" customWidth="1"/>
    <col min="4620" max="4865" width="9" style="3524"/>
    <col min="4866" max="4866" width="39.625" style="3524" bestFit="1" customWidth="1"/>
    <col min="4867" max="4867" width="41.625" style="3524" bestFit="1" customWidth="1"/>
    <col min="4868" max="4868" width="16.875" style="3524" customWidth="1"/>
    <col min="4869" max="4869" width="11.625" style="3524" bestFit="1" customWidth="1"/>
    <col min="4870" max="4870" width="6.5" style="3524" bestFit="1" customWidth="1"/>
    <col min="4871" max="4871" width="11.625" style="3524" bestFit="1" customWidth="1"/>
    <col min="4872" max="4872" width="18.375" style="3524" bestFit="1" customWidth="1"/>
    <col min="4873" max="4875" width="0" style="3524" hidden="1" customWidth="1"/>
    <col min="4876" max="5121" width="9" style="3524"/>
    <col min="5122" max="5122" width="39.625" style="3524" bestFit="1" customWidth="1"/>
    <col min="5123" max="5123" width="41.625" style="3524" bestFit="1" customWidth="1"/>
    <col min="5124" max="5124" width="16.875" style="3524" customWidth="1"/>
    <col min="5125" max="5125" width="11.625" style="3524" bestFit="1" customWidth="1"/>
    <col min="5126" max="5126" width="6.5" style="3524" bestFit="1" customWidth="1"/>
    <col min="5127" max="5127" width="11.625" style="3524" bestFit="1" customWidth="1"/>
    <col min="5128" max="5128" width="18.375" style="3524" bestFit="1" customWidth="1"/>
    <col min="5129" max="5131" width="0" style="3524" hidden="1" customWidth="1"/>
    <col min="5132" max="5377" width="9" style="3524"/>
    <col min="5378" max="5378" width="39.625" style="3524" bestFit="1" customWidth="1"/>
    <col min="5379" max="5379" width="41.625" style="3524" bestFit="1" customWidth="1"/>
    <col min="5380" max="5380" width="16.875" style="3524" customWidth="1"/>
    <col min="5381" max="5381" width="11.625" style="3524" bestFit="1" customWidth="1"/>
    <col min="5382" max="5382" width="6.5" style="3524" bestFit="1" customWidth="1"/>
    <col min="5383" max="5383" width="11.625" style="3524" bestFit="1" customWidth="1"/>
    <col min="5384" max="5384" width="18.375" style="3524" bestFit="1" customWidth="1"/>
    <col min="5385" max="5387" width="0" style="3524" hidden="1" customWidth="1"/>
    <col min="5388" max="5633" width="9" style="3524"/>
    <col min="5634" max="5634" width="39.625" style="3524" bestFit="1" customWidth="1"/>
    <col min="5635" max="5635" width="41.625" style="3524" bestFit="1" customWidth="1"/>
    <col min="5636" max="5636" width="16.875" style="3524" customWidth="1"/>
    <col min="5637" max="5637" width="11.625" style="3524" bestFit="1" customWidth="1"/>
    <col min="5638" max="5638" width="6.5" style="3524" bestFit="1" customWidth="1"/>
    <col min="5639" max="5639" width="11.625" style="3524" bestFit="1" customWidth="1"/>
    <col min="5640" max="5640" width="18.375" style="3524" bestFit="1" customWidth="1"/>
    <col min="5641" max="5643" width="0" style="3524" hidden="1" customWidth="1"/>
    <col min="5644" max="5889" width="9" style="3524"/>
    <col min="5890" max="5890" width="39.625" style="3524" bestFit="1" customWidth="1"/>
    <col min="5891" max="5891" width="41.625" style="3524" bestFit="1" customWidth="1"/>
    <col min="5892" max="5892" width="16.875" style="3524" customWidth="1"/>
    <col min="5893" max="5893" width="11.625" style="3524" bestFit="1" customWidth="1"/>
    <col min="5894" max="5894" width="6.5" style="3524" bestFit="1" customWidth="1"/>
    <col min="5895" max="5895" width="11.625" style="3524" bestFit="1" customWidth="1"/>
    <col min="5896" max="5896" width="18.375" style="3524" bestFit="1" customWidth="1"/>
    <col min="5897" max="5899" width="0" style="3524" hidden="1" customWidth="1"/>
    <col min="5900" max="6145" width="9" style="3524"/>
    <col min="6146" max="6146" width="39.625" style="3524" bestFit="1" customWidth="1"/>
    <col min="6147" max="6147" width="41.625" style="3524" bestFit="1" customWidth="1"/>
    <col min="6148" max="6148" width="16.875" style="3524" customWidth="1"/>
    <col min="6149" max="6149" width="11.625" style="3524" bestFit="1" customWidth="1"/>
    <col min="6150" max="6150" width="6.5" style="3524" bestFit="1" customWidth="1"/>
    <col min="6151" max="6151" width="11.625" style="3524" bestFit="1" customWidth="1"/>
    <col min="6152" max="6152" width="18.375" style="3524" bestFit="1" customWidth="1"/>
    <col min="6153" max="6155" width="0" style="3524" hidden="1" customWidth="1"/>
    <col min="6156" max="6401" width="9" style="3524"/>
    <col min="6402" max="6402" width="39.625" style="3524" bestFit="1" customWidth="1"/>
    <col min="6403" max="6403" width="41.625" style="3524" bestFit="1" customWidth="1"/>
    <col min="6404" max="6404" width="16.875" style="3524" customWidth="1"/>
    <col min="6405" max="6405" width="11.625" style="3524" bestFit="1" customWidth="1"/>
    <col min="6406" max="6406" width="6.5" style="3524" bestFit="1" customWidth="1"/>
    <col min="6407" max="6407" width="11.625" style="3524" bestFit="1" customWidth="1"/>
    <col min="6408" max="6408" width="18.375" style="3524" bestFit="1" customWidth="1"/>
    <col min="6409" max="6411" width="0" style="3524" hidden="1" customWidth="1"/>
    <col min="6412" max="6657" width="9" style="3524"/>
    <col min="6658" max="6658" width="39.625" style="3524" bestFit="1" customWidth="1"/>
    <col min="6659" max="6659" width="41.625" style="3524" bestFit="1" customWidth="1"/>
    <col min="6660" max="6660" width="16.875" style="3524" customWidth="1"/>
    <col min="6661" max="6661" width="11.625" style="3524" bestFit="1" customWidth="1"/>
    <col min="6662" max="6662" width="6.5" style="3524" bestFit="1" customWidth="1"/>
    <col min="6663" max="6663" width="11.625" style="3524" bestFit="1" customWidth="1"/>
    <col min="6664" max="6664" width="18.375" style="3524" bestFit="1" customWidth="1"/>
    <col min="6665" max="6667" width="0" style="3524" hidden="1" customWidth="1"/>
    <col min="6668" max="6913" width="9" style="3524"/>
    <col min="6914" max="6914" width="39.625" style="3524" bestFit="1" customWidth="1"/>
    <col min="6915" max="6915" width="41.625" style="3524" bestFit="1" customWidth="1"/>
    <col min="6916" max="6916" width="16.875" style="3524" customWidth="1"/>
    <col min="6917" max="6917" width="11.625" style="3524" bestFit="1" customWidth="1"/>
    <col min="6918" max="6918" width="6.5" style="3524" bestFit="1" customWidth="1"/>
    <col min="6919" max="6919" width="11.625" style="3524" bestFit="1" customWidth="1"/>
    <col min="6920" max="6920" width="18.375" style="3524" bestFit="1" customWidth="1"/>
    <col min="6921" max="6923" width="0" style="3524" hidden="1" customWidth="1"/>
    <col min="6924" max="7169" width="9" style="3524"/>
    <col min="7170" max="7170" width="39.625" style="3524" bestFit="1" customWidth="1"/>
    <col min="7171" max="7171" width="41.625" style="3524" bestFit="1" customWidth="1"/>
    <col min="7172" max="7172" width="16.875" style="3524" customWidth="1"/>
    <col min="7173" max="7173" width="11.625" style="3524" bestFit="1" customWidth="1"/>
    <col min="7174" max="7174" width="6.5" style="3524" bestFit="1" customWidth="1"/>
    <col min="7175" max="7175" width="11.625" style="3524" bestFit="1" customWidth="1"/>
    <col min="7176" max="7176" width="18.375" style="3524" bestFit="1" customWidth="1"/>
    <col min="7177" max="7179" width="0" style="3524" hidden="1" customWidth="1"/>
    <col min="7180" max="7425" width="9" style="3524"/>
    <col min="7426" max="7426" width="39.625" style="3524" bestFit="1" customWidth="1"/>
    <col min="7427" max="7427" width="41.625" style="3524" bestFit="1" customWidth="1"/>
    <col min="7428" max="7428" width="16.875" style="3524" customWidth="1"/>
    <col min="7429" max="7429" width="11.625" style="3524" bestFit="1" customWidth="1"/>
    <col min="7430" max="7430" width="6.5" style="3524" bestFit="1" customWidth="1"/>
    <col min="7431" max="7431" width="11.625" style="3524" bestFit="1" customWidth="1"/>
    <col min="7432" max="7432" width="18.375" style="3524" bestFit="1" customWidth="1"/>
    <col min="7433" max="7435" width="0" style="3524" hidden="1" customWidth="1"/>
    <col min="7436" max="7681" width="9" style="3524"/>
    <col min="7682" max="7682" width="39.625" style="3524" bestFit="1" customWidth="1"/>
    <col min="7683" max="7683" width="41.625" style="3524" bestFit="1" customWidth="1"/>
    <col min="7684" max="7684" width="16.875" style="3524" customWidth="1"/>
    <col min="7685" max="7685" width="11.625" style="3524" bestFit="1" customWidth="1"/>
    <col min="7686" max="7686" width="6.5" style="3524" bestFit="1" customWidth="1"/>
    <col min="7687" max="7687" width="11.625" style="3524" bestFit="1" customWidth="1"/>
    <col min="7688" max="7688" width="18.375" style="3524" bestFit="1" customWidth="1"/>
    <col min="7689" max="7691" width="0" style="3524" hidden="1" customWidth="1"/>
    <col min="7692" max="7937" width="9" style="3524"/>
    <col min="7938" max="7938" width="39.625" style="3524" bestFit="1" customWidth="1"/>
    <col min="7939" max="7939" width="41.625" style="3524" bestFit="1" customWidth="1"/>
    <col min="7940" max="7940" width="16.875" style="3524" customWidth="1"/>
    <col min="7941" max="7941" width="11.625" style="3524" bestFit="1" customWidth="1"/>
    <col min="7942" max="7942" width="6.5" style="3524" bestFit="1" customWidth="1"/>
    <col min="7943" max="7943" width="11.625" style="3524" bestFit="1" customWidth="1"/>
    <col min="7944" max="7944" width="18.375" style="3524" bestFit="1" customWidth="1"/>
    <col min="7945" max="7947" width="0" style="3524" hidden="1" customWidth="1"/>
    <col min="7948" max="8193" width="9" style="3524"/>
    <col min="8194" max="8194" width="39.625" style="3524" bestFit="1" customWidth="1"/>
    <col min="8195" max="8195" width="41.625" style="3524" bestFit="1" customWidth="1"/>
    <col min="8196" max="8196" width="16.875" style="3524" customWidth="1"/>
    <col min="8197" max="8197" width="11.625" style="3524" bestFit="1" customWidth="1"/>
    <col min="8198" max="8198" width="6.5" style="3524" bestFit="1" customWidth="1"/>
    <col min="8199" max="8199" width="11.625" style="3524" bestFit="1" customWidth="1"/>
    <col min="8200" max="8200" width="18.375" style="3524" bestFit="1" customWidth="1"/>
    <col min="8201" max="8203" width="0" style="3524" hidden="1" customWidth="1"/>
    <col min="8204" max="8449" width="9" style="3524"/>
    <col min="8450" max="8450" width="39.625" style="3524" bestFit="1" customWidth="1"/>
    <col min="8451" max="8451" width="41.625" style="3524" bestFit="1" customWidth="1"/>
    <col min="8452" max="8452" width="16.875" style="3524" customWidth="1"/>
    <col min="8453" max="8453" width="11.625" style="3524" bestFit="1" customWidth="1"/>
    <col min="8454" max="8454" width="6.5" style="3524" bestFit="1" customWidth="1"/>
    <col min="8455" max="8455" width="11.625" style="3524" bestFit="1" customWidth="1"/>
    <col min="8456" max="8456" width="18.375" style="3524" bestFit="1" customWidth="1"/>
    <col min="8457" max="8459" width="0" style="3524" hidden="1" customWidth="1"/>
    <col min="8460" max="8705" width="9" style="3524"/>
    <col min="8706" max="8706" width="39.625" style="3524" bestFit="1" customWidth="1"/>
    <col min="8707" max="8707" width="41.625" style="3524" bestFit="1" customWidth="1"/>
    <col min="8708" max="8708" width="16.875" style="3524" customWidth="1"/>
    <col min="8709" max="8709" width="11.625" style="3524" bestFit="1" customWidth="1"/>
    <col min="8710" max="8710" width="6.5" style="3524" bestFit="1" customWidth="1"/>
    <col min="8711" max="8711" width="11.625" style="3524" bestFit="1" customWidth="1"/>
    <col min="8712" max="8712" width="18.375" style="3524" bestFit="1" customWidth="1"/>
    <col min="8713" max="8715" width="0" style="3524" hidden="1" customWidth="1"/>
    <col min="8716" max="8961" width="9" style="3524"/>
    <col min="8962" max="8962" width="39.625" style="3524" bestFit="1" customWidth="1"/>
    <col min="8963" max="8963" width="41.625" style="3524" bestFit="1" customWidth="1"/>
    <col min="8964" max="8964" width="16.875" style="3524" customWidth="1"/>
    <col min="8965" max="8965" width="11.625" style="3524" bestFit="1" customWidth="1"/>
    <col min="8966" max="8966" width="6.5" style="3524" bestFit="1" customWidth="1"/>
    <col min="8967" max="8967" width="11.625" style="3524" bestFit="1" customWidth="1"/>
    <col min="8968" max="8968" width="18.375" style="3524" bestFit="1" customWidth="1"/>
    <col min="8969" max="8971" width="0" style="3524" hidden="1" customWidth="1"/>
    <col min="8972" max="9217" width="9" style="3524"/>
    <col min="9218" max="9218" width="39.625" style="3524" bestFit="1" customWidth="1"/>
    <col min="9219" max="9219" width="41.625" style="3524" bestFit="1" customWidth="1"/>
    <col min="9220" max="9220" width="16.875" style="3524" customWidth="1"/>
    <col min="9221" max="9221" width="11.625" style="3524" bestFit="1" customWidth="1"/>
    <col min="9222" max="9222" width="6.5" style="3524" bestFit="1" customWidth="1"/>
    <col min="9223" max="9223" width="11.625" style="3524" bestFit="1" customWidth="1"/>
    <col min="9224" max="9224" width="18.375" style="3524" bestFit="1" customWidth="1"/>
    <col min="9225" max="9227" width="0" style="3524" hidden="1" customWidth="1"/>
    <col min="9228" max="9473" width="9" style="3524"/>
    <col min="9474" max="9474" width="39.625" style="3524" bestFit="1" customWidth="1"/>
    <col min="9475" max="9475" width="41.625" style="3524" bestFit="1" customWidth="1"/>
    <col min="9476" max="9476" width="16.875" style="3524" customWidth="1"/>
    <col min="9477" max="9477" width="11.625" style="3524" bestFit="1" customWidth="1"/>
    <col min="9478" max="9478" width="6.5" style="3524" bestFit="1" customWidth="1"/>
    <col min="9479" max="9479" width="11.625" style="3524" bestFit="1" customWidth="1"/>
    <col min="9480" max="9480" width="18.375" style="3524" bestFit="1" customWidth="1"/>
    <col min="9481" max="9483" width="0" style="3524" hidden="1" customWidth="1"/>
    <col min="9484" max="9729" width="9" style="3524"/>
    <col min="9730" max="9730" width="39.625" style="3524" bestFit="1" customWidth="1"/>
    <col min="9731" max="9731" width="41.625" style="3524" bestFit="1" customWidth="1"/>
    <col min="9732" max="9732" width="16.875" style="3524" customWidth="1"/>
    <col min="9733" max="9733" width="11.625" style="3524" bestFit="1" customWidth="1"/>
    <col min="9734" max="9734" width="6.5" style="3524" bestFit="1" customWidth="1"/>
    <col min="9735" max="9735" width="11.625" style="3524" bestFit="1" customWidth="1"/>
    <col min="9736" max="9736" width="18.375" style="3524" bestFit="1" customWidth="1"/>
    <col min="9737" max="9739" width="0" style="3524" hidden="1" customWidth="1"/>
    <col min="9740" max="9985" width="9" style="3524"/>
    <col min="9986" max="9986" width="39.625" style="3524" bestFit="1" customWidth="1"/>
    <col min="9987" max="9987" width="41.625" style="3524" bestFit="1" customWidth="1"/>
    <col min="9988" max="9988" width="16.875" style="3524" customWidth="1"/>
    <col min="9989" max="9989" width="11.625" style="3524" bestFit="1" customWidth="1"/>
    <col min="9990" max="9990" width="6.5" style="3524" bestFit="1" customWidth="1"/>
    <col min="9991" max="9991" width="11.625" style="3524" bestFit="1" customWidth="1"/>
    <col min="9992" max="9992" width="18.375" style="3524" bestFit="1" customWidth="1"/>
    <col min="9993" max="9995" width="0" style="3524" hidden="1" customWidth="1"/>
    <col min="9996" max="10241" width="9" style="3524"/>
    <col min="10242" max="10242" width="39.625" style="3524" bestFit="1" customWidth="1"/>
    <col min="10243" max="10243" width="41.625" style="3524" bestFit="1" customWidth="1"/>
    <col min="10244" max="10244" width="16.875" style="3524" customWidth="1"/>
    <col min="10245" max="10245" width="11.625" style="3524" bestFit="1" customWidth="1"/>
    <col min="10246" max="10246" width="6.5" style="3524" bestFit="1" customWidth="1"/>
    <col min="10247" max="10247" width="11.625" style="3524" bestFit="1" customWidth="1"/>
    <col min="10248" max="10248" width="18.375" style="3524" bestFit="1" customWidth="1"/>
    <col min="10249" max="10251" width="0" style="3524" hidden="1" customWidth="1"/>
    <col min="10252" max="10497" width="9" style="3524"/>
    <col min="10498" max="10498" width="39.625" style="3524" bestFit="1" customWidth="1"/>
    <col min="10499" max="10499" width="41.625" style="3524" bestFit="1" customWidth="1"/>
    <col min="10500" max="10500" width="16.875" style="3524" customWidth="1"/>
    <col min="10501" max="10501" width="11.625" style="3524" bestFit="1" customWidth="1"/>
    <col min="10502" max="10502" width="6.5" style="3524" bestFit="1" customWidth="1"/>
    <col min="10503" max="10503" width="11.625" style="3524" bestFit="1" customWidth="1"/>
    <col min="10504" max="10504" width="18.375" style="3524" bestFit="1" customWidth="1"/>
    <col min="10505" max="10507" width="0" style="3524" hidden="1" customWidth="1"/>
    <col min="10508" max="10753" width="9" style="3524"/>
    <col min="10754" max="10754" width="39.625" style="3524" bestFit="1" customWidth="1"/>
    <col min="10755" max="10755" width="41.625" style="3524" bestFit="1" customWidth="1"/>
    <col min="10756" max="10756" width="16.875" style="3524" customWidth="1"/>
    <col min="10757" max="10757" width="11.625" style="3524" bestFit="1" customWidth="1"/>
    <col min="10758" max="10758" width="6.5" style="3524" bestFit="1" customWidth="1"/>
    <col min="10759" max="10759" width="11.625" style="3524" bestFit="1" customWidth="1"/>
    <col min="10760" max="10760" width="18.375" style="3524" bestFit="1" customWidth="1"/>
    <col min="10761" max="10763" width="0" style="3524" hidden="1" customWidth="1"/>
    <col min="10764" max="11009" width="9" style="3524"/>
    <col min="11010" max="11010" width="39.625" style="3524" bestFit="1" customWidth="1"/>
    <col min="11011" max="11011" width="41.625" style="3524" bestFit="1" customWidth="1"/>
    <col min="11012" max="11012" width="16.875" style="3524" customWidth="1"/>
    <col min="11013" max="11013" width="11.625" style="3524" bestFit="1" customWidth="1"/>
    <col min="11014" max="11014" width="6.5" style="3524" bestFit="1" customWidth="1"/>
    <col min="11015" max="11015" width="11.625" style="3524" bestFit="1" customWidth="1"/>
    <col min="11016" max="11016" width="18.375" style="3524" bestFit="1" customWidth="1"/>
    <col min="11017" max="11019" width="0" style="3524" hidden="1" customWidth="1"/>
    <col min="11020" max="11265" width="9" style="3524"/>
    <col min="11266" max="11266" width="39.625" style="3524" bestFit="1" customWidth="1"/>
    <col min="11267" max="11267" width="41.625" style="3524" bestFit="1" customWidth="1"/>
    <col min="11268" max="11268" width="16.875" style="3524" customWidth="1"/>
    <col min="11269" max="11269" width="11.625" style="3524" bestFit="1" customWidth="1"/>
    <col min="11270" max="11270" width="6.5" style="3524" bestFit="1" customWidth="1"/>
    <col min="11271" max="11271" width="11.625" style="3524" bestFit="1" customWidth="1"/>
    <col min="11272" max="11272" width="18.375" style="3524" bestFit="1" customWidth="1"/>
    <col min="11273" max="11275" width="0" style="3524" hidden="1" customWidth="1"/>
    <col min="11276" max="11521" width="9" style="3524"/>
    <col min="11522" max="11522" width="39.625" style="3524" bestFit="1" customWidth="1"/>
    <col min="11523" max="11523" width="41.625" style="3524" bestFit="1" customWidth="1"/>
    <col min="11524" max="11524" width="16.875" style="3524" customWidth="1"/>
    <col min="11525" max="11525" width="11.625" style="3524" bestFit="1" customWidth="1"/>
    <col min="11526" max="11526" width="6.5" style="3524" bestFit="1" customWidth="1"/>
    <col min="11527" max="11527" width="11.625" style="3524" bestFit="1" customWidth="1"/>
    <col min="11528" max="11528" width="18.375" style="3524" bestFit="1" customWidth="1"/>
    <col min="11529" max="11531" width="0" style="3524" hidden="1" customWidth="1"/>
    <col min="11532" max="11777" width="9" style="3524"/>
    <col min="11778" max="11778" width="39.625" style="3524" bestFit="1" customWidth="1"/>
    <col min="11779" max="11779" width="41.625" style="3524" bestFit="1" customWidth="1"/>
    <col min="11780" max="11780" width="16.875" style="3524" customWidth="1"/>
    <col min="11781" max="11781" width="11.625" style="3524" bestFit="1" customWidth="1"/>
    <col min="11782" max="11782" width="6.5" style="3524" bestFit="1" customWidth="1"/>
    <col min="11783" max="11783" width="11.625" style="3524" bestFit="1" customWidth="1"/>
    <col min="11784" max="11784" width="18.375" style="3524" bestFit="1" customWidth="1"/>
    <col min="11785" max="11787" width="0" style="3524" hidden="1" customWidth="1"/>
    <col min="11788" max="12033" width="9" style="3524"/>
    <col min="12034" max="12034" width="39.625" style="3524" bestFit="1" customWidth="1"/>
    <col min="12035" max="12035" width="41.625" style="3524" bestFit="1" customWidth="1"/>
    <col min="12036" max="12036" width="16.875" style="3524" customWidth="1"/>
    <col min="12037" max="12037" width="11.625" style="3524" bestFit="1" customWidth="1"/>
    <col min="12038" max="12038" width="6.5" style="3524" bestFit="1" customWidth="1"/>
    <col min="12039" max="12039" width="11.625" style="3524" bestFit="1" customWidth="1"/>
    <col min="12040" max="12040" width="18.375" style="3524" bestFit="1" customWidth="1"/>
    <col min="12041" max="12043" width="0" style="3524" hidden="1" customWidth="1"/>
    <col min="12044" max="12289" width="9" style="3524"/>
    <col min="12290" max="12290" width="39.625" style="3524" bestFit="1" customWidth="1"/>
    <col min="12291" max="12291" width="41.625" style="3524" bestFit="1" customWidth="1"/>
    <col min="12292" max="12292" width="16.875" style="3524" customWidth="1"/>
    <col min="12293" max="12293" width="11.625" style="3524" bestFit="1" customWidth="1"/>
    <col min="12294" max="12294" width="6.5" style="3524" bestFit="1" customWidth="1"/>
    <col min="12295" max="12295" width="11.625" style="3524" bestFit="1" customWidth="1"/>
    <col min="12296" max="12296" width="18.375" style="3524" bestFit="1" customWidth="1"/>
    <col min="12297" max="12299" width="0" style="3524" hidden="1" customWidth="1"/>
    <col min="12300" max="12545" width="9" style="3524"/>
    <col min="12546" max="12546" width="39.625" style="3524" bestFit="1" customWidth="1"/>
    <col min="12547" max="12547" width="41.625" style="3524" bestFit="1" customWidth="1"/>
    <col min="12548" max="12548" width="16.875" style="3524" customWidth="1"/>
    <col min="12549" max="12549" width="11.625" style="3524" bestFit="1" customWidth="1"/>
    <col min="12550" max="12550" width="6.5" style="3524" bestFit="1" customWidth="1"/>
    <col min="12551" max="12551" width="11.625" style="3524" bestFit="1" customWidth="1"/>
    <col min="12552" max="12552" width="18.375" style="3524" bestFit="1" customWidth="1"/>
    <col min="12553" max="12555" width="0" style="3524" hidden="1" customWidth="1"/>
    <col min="12556" max="12801" width="9" style="3524"/>
    <col min="12802" max="12802" width="39.625" style="3524" bestFit="1" customWidth="1"/>
    <col min="12803" max="12803" width="41.625" style="3524" bestFit="1" customWidth="1"/>
    <col min="12804" max="12804" width="16.875" style="3524" customWidth="1"/>
    <col min="12805" max="12805" width="11.625" style="3524" bestFit="1" customWidth="1"/>
    <col min="12806" max="12806" width="6.5" style="3524" bestFit="1" customWidth="1"/>
    <col min="12807" max="12807" width="11.625" style="3524" bestFit="1" customWidth="1"/>
    <col min="12808" max="12808" width="18.375" style="3524" bestFit="1" customWidth="1"/>
    <col min="12809" max="12811" width="0" style="3524" hidden="1" customWidth="1"/>
    <col min="12812" max="13057" width="9" style="3524"/>
    <col min="13058" max="13058" width="39.625" style="3524" bestFit="1" customWidth="1"/>
    <col min="13059" max="13059" width="41.625" style="3524" bestFit="1" customWidth="1"/>
    <col min="13060" max="13060" width="16.875" style="3524" customWidth="1"/>
    <col min="13061" max="13061" width="11.625" style="3524" bestFit="1" customWidth="1"/>
    <col min="13062" max="13062" width="6.5" style="3524" bestFit="1" customWidth="1"/>
    <col min="13063" max="13063" width="11.625" style="3524" bestFit="1" customWidth="1"/>
    <col min="13064" max="13064" width="18.375" style="3524" bestFit="1" customWidth="1"/>
    <col min="13065" max="13067" width="0" style="3524" hidden="1" customWidth="1"/>
    <col min="13068" max="13313" width="9" style="3524"/>
    <col min="13314" max="13314" width="39.625" style="3524" bestFit="1" customWidth="1"/>
    <col min="13315" max="13315" width="41.625" style="3524" bestFit="1" customWidth="1"/>
    <col min="13316" max="13316" width="16.875" style="3524" customWidth="1"/>
    <col min="13317" max="13317" width="11.625" style="3524" bestFit="1" customWidth="1"/>
    <col min="13318" max="13318" width="6.5" style="3524" bestFit="1" customWidth="1"/>
    <col min="13319" max="13319" width="11.625" style="3524" bestFit="1" customWidth="1"/>
    <col min="13320" max="13320" width="18.375" style="3524" bestFit="1" customWidth="1"/>
    <col min="13321" max="13323" width="0" style="3524" hidden="1" customWidth="1"/>
    <col min="13324" max="13569" width="9" style="3524"/>
    <col min="13570" max="13570" width="39.625" style="3524" bestFit="1" customWidth="1"/>
    <col min="13571" max="13571" width="41.625" style="3524" bestFit="1" customWidth="1"/>
    <col min="13572" max="13572" width="16.875" style="3524" customWidth="1"/>
    <col min="13573" max="13573" width="11.625" style="3524" bestFit="1" customWidth="1"/>
    <col min="13574" max="13574" width="6.5" style="3524" bestFit="1" customWidth="1"/>
    <col min="13575" max="13575" width="11.625" style="3524" bestFit="1" customWidth="1"/>
    <col min="13576" max="13576" width="18.375" style="3524" bestFit="1" customWidth="1"/>
    <col min="13577" max="13579" width="0" style="3524" hidden="1" customWidth="1"/>
    <col min="13580" max="13825" width="9" style="3524"/>
    <col min="13826" max="13826" width="39.625" style="3524" bestFit="1" customWidth="1"/>
    <col min="13827" max="13827" width="41.625" style="3524" bestFit="1" customWidth="1"/>
    <col min="13828" max="13828" width="16.875" style="3524" customWidth="1"/>
    <col min="13829" max="13829" width="11.625" style="3524" bestFit="1" customWidth="1"/>
    <col min="13830" max="13830" width="6.5" style="3524" bestFit="1" customWidth="1"/>
    <col min="13831" max="13831" width="11.625" style="3524" bestFit="1" customWidth="1"/>
    <col min="13832" max="13832" width="18.375" style="3524" bestFit="1" customWidth="1"/>
    <col min="13833" max="13835" width="0" style="3524" hidden="1" customWidth="1"/>
    <col min="13836" max="14081" width="9" style="3524"/>
    <col min="14082" max="14082" width="39.625" style="3524" bestFit="1" customWidth="1"/>
    <col min="14083" max="14083" width="41.625" style="3524" bestFit="1" customWidth="1"/>
    <col min="14084" max="14084" width="16.875" style="3524" customWidth="1"/>
    <col min="14085" max="14085" width="11.625" style="3524" bestFit="1" customWidth="1"/>
    <col min="14086" max="14086" width="6.5" style="3524" bestFit="1" customWidth="1"/>
    <col min="14087" max="14087" width="11.625" style="3524" bestFit="1" customWidth="1"/>
    <col min="14088" max="14088" width="18.375" style="3524" bestFit="1" customWidth="1"/>
    <col min="14089" max="14091" width="0" style="3524" hidden="1" customWidth="1"/>
    <col min="14092" max="14337" width="9" style="3524"/>
    <col min="14338" max="14338" width="39.625" style="3524" bestFit="1" customWidth="1"/>
    <col min="14339" max="14339" width="41.625" style="3524" bestFit="1" customWidth="1"/>
    <col min="14340" max="14340" width="16.875" style="3524" customWidth="1"/>
    <col min="14341" max="14341" width="11.625" style="3524" bestFit="1" customWidth="1"/>
    <col min="14342" max="14342" width="6.5" style="3524" bestFit="1" customWidth="1"/>
    <col min="14343" max="14343" width="11.625" style="3524" bestFit="1" customWidth="1"/>
    <col min="14344" max="14344" width="18.375" style="3524" bestFit="1" customWidth="1"/>
    <col min="14345" max="14347" width="0" style="3524" hidden="1" customWidth="1"/>
    <col min="14348" max="14593" width="9" style="3524"/>
    <col min="14594" max="14594" width="39.625" style="3524" bestFit="1" customWidth="1"/>
    <col min="14595" max="14595" width="41.625" style="3524" bestFit="1" customWidth="1"/>
    <col min="14596" max="14596" width="16.875" style="3524" customWidth="1"/>
    <col min="14597" max="14597" width="11.625" style="3524" bestFit="1" customWidth="1"/>
    <col min="14598" max="14598" width="6.5" style="3524" bestFit="1" customWidth="1"/>
    <col min="14599" max="14599" width="11.625" style="3524" bestFit="1" customWidth="1"/>
    <col min="14600" max="14600" width="18.375" style="3524" bestFit="1" customWidth="1"/>
    <col min="14601" max="14603" width="0" style="3524" hidden="1" customWidth="1"/>
    <col min="14604" max="14849" width="9" style="3524"/>
    <col min="14850" max="14850" width="39.625" style="3524" bestFit="1" customWidth="1"/>
    <col min="14851" max="14851" width="41.625" style="3524" bestFit="1" customWidth="1"/>
    <col min="14852" max="14852" width="16.875" style="3524" customWidth="1"/>
    <col min="14853" max="14853" width="11.625" style="3524" bestFit="1" customWidth="1"/>
    <col min="14854" max="14854" width="6.5" style="3524" bestFit="1" customWidth="1"/>
    <col min="14855" max="14855" width="11.625" style="3524" bestFit="1" customWidth="1"/>
    <col min="14856" max="14856" width="18.375" style="3524" bestFit="1" customWidth="1"/>
    <col min="14857" max="14859" width="0" style="3524" hidden="1" customWidth="1"/>
    <col min="14860" max="15105" width="9" style="3524"/>
    <col min="15106" max="15106" width="39.625" style="3524" bestFit="1" customWidth="1"/>
    <col min="15107" max="15107" width="41.625" style="3524" bestFit="1" customWidth="1"/>
    <col min="15108" max="15108" width="16.875" style="3524" customWidth="1"/>
    <col min="15109" max="15109" width="11.625" style="3524" bestFit="1" customWidth="1"/>
    <col min="15110" max="15110" width="6.5" style="3524" bestFit="1" customWidth="1"/>
    <col min="15111" max="15111" width="11.625" style="3524" bestFit="1" customWidth="1"/>
    <col min="15112" max="15112" width="18.375" style="3524" bestFit="1" customWidth="1"/>
    <col min="15113" max="15115" width="0" style="3524" hidden="1" customWidth="1"/>
    <col min="15116" max="15361" width="9" style="3524"/>
    <col min="15362" max="15362" width="39.625" style="3524" bestFit="1" customWidth="1"/>
    <col min="15363" max="15363" width="41.625" style="3524" bestFit="1" customWidth="1"/>
    <col min="15364" max="15364" width="16.875" style="3524" customWidth="1"/>
    <col min="15365" max="15365" width="11.625" style="3524" bestFit="1" customWidth="1"/>
    <col min="15366" max="15366" width="6.5" style="3524" bestFit="1" customWidth="1"/>
    <col min="15367" max="15367" width="11.625" style="3524" bestFit="1" customWidth="1"/>
    <col min="15368" max="15368" width="18.375" style="3524" bestFit="1" customWidth="1"/>
    <col min="15369" max="15371" width="0" style="3524" hidden="1" customWidth="1"/>
    <col min="15372" max="15617" width="9" style="3524"/>
    <col min="15618" max="15618" width="39.625" style="3524" bestFit="1" customWidth="1"/>
    <col min="15619" max="15619" width="41.625" style="3524" bestFit="1" customWidth="1"/>
    <col min="15620" max="15620" width="16.875" style="3524" customWidth="1"/>
    <col min="15621" max="15621" width="11.625" style="3524" bestFit="1" customWidth="1"/>
    <col min="15622" max="15622" width="6.5" style="3524" bestFit="1" customWidth="1"/>
    <col min="15623" max="15623" width="11.625" style="3524" bestFit="1" customWidth="1"/>
    <col min="15624" max="15624" width="18.375" style="3524" bestFit="1" customWidth="1"/>
    <col min="15625" max="15627" width="0" style="3524" hidden="1" customWidth="1"/>
    <col min="15628" max="15873" width="9" style="3524"/>
    <col min="15874" max="15874" width="39.625" style="3524" bestFit="1" customWidth="1"/>
    <col min="15875" max="15875" width="41.625" style="3524" bestFit="1" customWidth="1"/>
    <col min="15876" max="15876" width="16.875" style="3524" customWidth="1"/>
    <col min="15877" max="15877" width="11.625" style="3524" bestFit="1" customWidth="1"/>
    <col min="15878" max="15878" width="6.5" style="3524" bestFit="1" customWidth="1"/>
    <col min="15879" max="15879" width="11.625" style="3524" bestFit="1" customWidth="1"/>
    <col min="15880" max="15880" width="18.375" style="3524" bestFit="1" customWidth="1"/>
    <col min="15881" max="15883" width="0" style="3524" hidden="1" customWidth="1"/>
    <col min="15884" max="16129" width="9" style="3524"/>
    <col min="16130" max="16130" width="39.625" style="3524" bestFit="1" customWidth="1"/>
    <col min="16131" max="16131" width="41.625" style="3524" bestFit="1" customWidth="1"/>
    <col min="16132" max="16132" width="16.875" style="3524" customWidth="1"/>
    <col min="16133" max="16133" width="11.625" style="3524" bestFit="1" customWidth="1"/>
    <col min="16134" max="16134" width="6.5" style="3524" bestFit="1" customWidth="1"/>
    <col min="16135" max="16135" width="11.625" style="3524" bestFit="1" customWidth="1"/>
    <col min="16136" max="16136" width="18.375" style="3524" bestFit="1" customWidth="1"/>
    <col min="16137" max="16139" width="0" style="3524" hidden="1" customWidth="1"/>
    <col min="16140" max="16384" width="9" style="3524"/>
  </cols>
  <sheetData>
    <row r="1" spans="1:12">
      <c r="A1" s="3871" t="s">
        <v>3453</v>
      </c>
      <c r="B1" s="3871"/>
      <c r="C1" s="3871"/>
      <c r="D1" s="3871"/>
      <c r="E1" s="3871"/>
      <c r="F1" s="3871"/>
      <c r="G1" s="3871"/>
      <c r="H1" s="3871"/>
      <c r="I1" s="3871"/>
      <c r="J1" s="3871"/>
      <c r="K1" s="3871"/>
      <c r="L1" s="3871"/>
    </row>
    <row r="2" spans="1:12" s="3525" customFormat="1">
      <c r="A2" s="3872" t="s">
        <v>3454</v>
      </c>
      <c r="B2" s="3872" t="s">
        <v>3455</v>
      </c>
      <c r="C2" s="3873" t="s">
        <v>3456</v>
      </c>
      <c r="D2" s="3872" t="s">
        <v>3457</v>
      </c>
      <c r="E2" s="3872" t="s">
        <v>3458</v>
      </c>
      <c r="F2" s="3872" t="s">
        <v>3459</v>
      </c>
      <c r="G2" s="3874" t="s">
        <v>3460</v>
      </c>
      <c r="H2" s="3875" t="s">
        <v>3461</v>
      </c>
      <c r="I2" s="3872" t="s">
        <v>3462</v>
      </c>
      <c r="J2" s="3872" t="s">
        <v>3463</v>
      </c>
      <c r="K2" s="3872"/>
      <c r="L2" s="3872" t="s">
        <v>3462</v>
      </c>
    </row>
    <row r="3" spans="1:12" s="3525" customFormat="1">
      <c r="A3" s="3872">
        <v>1</v>
      </c>
      <c r="B3" s="3876" t="s">
        <v>3516</v>
      </c>
      <c r="C3" s="3877" t="s">
        <v>3515</v>
      </c>
      <c r="D3" s="3872">
        <v>855.41</v>
      </c>
      <c r="E3" s="3878" t="s">
        <v>2607</v>
      </c>
      <c r="F3" s="3879" t="s">
        <v>3467</v>
      </c>
      <c r="G3" s="3874" t="s">
        <v>3468</v>
      </c>
      <c r="H3" s="3875" t="s">
        <v>3469</v>
      </c>
      <c r="I3" s="3872"/>
      <c r="J3" s="3872"/>
      <c r="K3" s="3872"/>
      <c r="L3" s="3872" t="s">
        <v>3512</v>
      </c>
    </row>
    <row r="4" spans="1:12">
      <c r="A4" s="3872">
        <v>2</v>
      </c>
      <c r="B4" s="3872" t="s">
        <v>3464</v>
      </c>
      <c r="C4" s="3877" t="s">
        <v>3465</v>
      </c>
      <c r="D4" s="3872">
        <v>1921.83</v>
      </c>
      <c r="E4" s="3878" t="s">
        <v>3466</v>
      </c>
      <c r="F4" s="3879" t="s">
        <v>3467</v>
      </c>
      <c r="G4" s="3874" t="s">
        <v>3468</v>
      </c>
      <c r="H4" s="3875" t="s">
        <v>3469</v>
      </c>
      <c r="I4" s="3872"/>
      <c r="J4" s="3879"/>
      <c r="K4" s="3879"/>
      <c r="L4" s="3880" t="s">
        <v>3513</v>
      </c>
    </row>
    <row r="5" spans="1:12">
      <c r="A5" s="3872">
        <v>3</v>
      </c>
      <c r="B5" s="3872" t="s">
        <v>3470</v>
      </c>
      <c r="C5" s="3877" t="s">
        <v>3471</v>
      </c>
      <c r="D5" s="3872">
        <v>1921.83</v>
      </c>
      <c r="E5" s="3878" t="s">
        <v>3466</v>
      </c>
      <c r="F5" s="3879" t="s">
        <v>3467</v>
      </c>
      <c r="G5" s="3874" t="s">
        <v>3468</v>
      </c>
      <c r="H5" s="3875" t="s">
        <v>3469</v>
      </c>
      <c r="I5" s="3881"/>
      <c r="J5" s="3879"/>
      <c r="K5" s="3882"/>
      <c r="L5" s="3880" t="s">
        <v>3513</v>
      </c>
    </row>
    <row r="6" spans="1:12">
      <c r="A6" s="3872">
        <v>4</v>
      </c>
      <c r="B6" s="3872" t="s">
        <v>3472</v>
      </c>
      <c r="C6" s="3877" t="s">
        <v>3473</v>
      </c>
      <c r="D6" s="3872">
        <v>1921.83</v>
      </c>
      <c r="E6" s="3878" t="s">
        <v>3466</v>
      </c>
      <c r="F6" s="3879" t="s">
        <v>3467</v>
      </c>
      <c r="G6" s="3874" t="s">
        <v>3468</v>
      </c>
      <c r="H6" s="3875" t="s">
        <v>3469</v>
      </c>
      <c r="I6" s="3881"/>
      <c r="J6" s="3879"/>
      <c r="K6" s="3881"/>
      <c r="L6" s="3880" t="s">
        <v>3513</v>
      </c>
    </row>
    <row r="7" spans="1:12">
      <c r="A7" s="3872">
        <v>5</v>
      </c>
      <c r="B7" s="3872" t="s">
        <v>3474</v>
      </c>
      <c r="C7" s="3877" t="s">
        <v>3475</v>
      </c>
      <c r="D7" s="3872">
        <v>1690.49</v>
      </c>
      <c r="E7" s="3878" t="s">
        <v>3466</v>
      </c>
      <c r="F7" s="3879" t="s">
        <v>3467</v>
      </c>
      <c r="G7" s="3874" t="s">
        <v>3468</v>
      </c>
      <c r="H7" s="3875" t="s">
        <v>3469</v>
      </c>
      <c r="I7" s="3881"/>
      <c r="J7" s="3879"/>
      <c r="K7" s="3881"/>
      <c r="L7" s="3880" t="s">
        <v>3513</v>
      </c>
    </row>
    <row r="8" spans="1:12">
      <c r="A8" s="3872">
        <v>6</v>
      </c>
      <c r="B8" s="3872" t="s">
        <v>3476</v>
      </c>
      <c r="C8" s="3877" t="s">
        <v>3477</v>
      </c>
      <c r="D8" s="3872">
        <v>1690.49</v>
      </c>
      <c r="E8" s="3878" t="s">
        <v>3466</v>
      </c>
      <c r="F8" s="3879" t="s">
        <v>3467</v>
      </c>
      <c r="G8" s="3874" t="s">
        <v>3468</v>
      </c>
      <c r="H8" s="3875" t="s">
        <v>3469</v>
      </c>
      <c r="I8" s="3881"/>
      <c r="J8" s="3879"/>
      <c r="K8" s="3881"/>
      <c r="L8" s="3880" t="s">
        <v>3513</v>
      </c>
    </row>
    <row r="9" spans="1:12">
      <c r="A9" s="3872">
        <v>7</v>
      </c>
      <c r="B9" s="3872" t="s">
        <v>3478</v>
      </c>
      <c r="C9" s="3877" t="s">
        <v>3479</v>
      </c>
      <c r="D9" s="3872">
        <v>1690.49</v>
      </c>
      <c r="E9" s="3878" t="s">
        <v>3466</v>
      </c>
      <c r="F9" s="3879" t="s">
        <v>3467</v>
      </c>
      <c r="G9" s="3874" t="s">
        <v>3468</v>
      </c>
      <c r="H9" s="3875" t="s">
        <v>3469</v>
      </c>
      <c r="I9" s="3881"/>
      <c r="J9" s="3879"/>
      <c r="K9" s="3881"/>
      <c r="L9" s="3880" t="s">
        <v>3513</v>
      </c>
    </row>
    <row r="10" spans="1:12">
      <c r="A10" s="3872">
        <v>8</v>
      </c>
      <c r="B10" s="3872" t="s">
        <v>3480</v>
      </c>
      <c r="C10" s="3877" t="s">
        <v>3481</v>
      </c>
      <c r="D10" s="3872">
        <v>1183.3399999999999</v>
      </c>
      <c r="E10" s="3878" t="s">
        <v>3466</v>
      </c>
      <c r="F10" s="3879" t="s">
        <v>3467</v>
      </c>
      <c r="G10" s="3874" t="s">
        <v>3468</v>
      </c>
      <c r="H10" s="3875" t="s">
        <v>3469</v>
      </c>
      <c r="I10" s="3881"/>
      <c r="J10" s="3879"/>
      <c r="K10" s="3881"/>
      <c r="L10" s="3880" t="s">
        <v>3513</v>
      </c>
    </row>
    <row r="11" spans="1:12">
      <c r="A11" s="3872">
        <v>9</v>
      </c>
      <c r="B11" s="3872" t="s">
        <v>3482</v>
      </c>
      <c r="C11" s="3877" t="s">
        <v>3483</v>
      </c>
      <c r="D11" s="3872">
        <v>1183.3399999999999</v>
      </c>
      <c r="E11" s="3878" t="s">
        <v>3466</v>
      </c>
      <c r="F11" s="3879" t="s">
        <v>3467</v>
      </c>
      <c r="G11" s="3874" t="s">
        <v>3468</v>
      </c>
      <c r="H11" s="3875" t="s">
        <v>3469</v>
      </c>
      <c r="I11" s="3881"/>
      <c r="J11" s="3879"/>
      <c r="K11" s="3881"/>
      <c r="L11" s="3880" t="s">
        <v>3513</v>
      </c>
    </row>
    <row r="12" spans="1:12">
      <c r="A12" s="3872">
        <v>10</v>
      </c>
      <c r="B12" s="3872" t="s">
        <v>3484</v>
      </c>
      <c r="C12" s="3877" t="s">
        <v>3485</v>
      </c>
      <c r="D12" s="3872">
        <v>1183.3399999999999</v>
      </c>
      <c r="E12" s="3878" t="s">
        <v>3466</v>
      </c>
      <c r="F12" s="3879" t="s">
        <v>3467</v>
      </c>
      <c r="G12" s="3874" t="s">
        <v>3468</v>
      </c>
      <c r="H12" s="3875" t="s">
        <v>3469</v>
      </c>
      <c r="I12" s="3881"/>
      <c r="J12" s="3879"/>
      <c r="K12" s="3881"/>
      <c r="L12" s="3880" t="s">
        <v>3513</v>
      </c>
    </row>
    <row r="13" spans="1:12">
      <c r="A13" s="3872">
        <v>11</v>
      </c>
      <c r="B13" s="3872" t="s">
        <v>3486</v>
      </c>
      <c r="C13" s="3877" t="s">
        <v>3487</v>
      </c>
      <c r="D13" s="3872">
        <v>673.5</v>
      </c>
      <c r="E13" s="3878" t="s">
        <v>3466</v>
      </c>
      <c r="F13" s="3879" t="s">
        <v>3467</v>
      </c>
      <c r="G13" s="3874" t="s">
        <v>3468</v>
      </c>
      <c r="H13" s="3875" t="s">
        <v>3469</v>
      </c>
      <c r="I13" s="3881"/>
      <c r="J13" s="3879"/>
      <c r="K13" s="3881"/>
      <c r="L13" s="3880" t="s">
        <v>3513</v>
      </c>
    </row>
    <row r="14" spans="1:12">
      <c r="A14" s="3872">
        <v>12</v>
      </c>
      <c r="B14" s="3872" t="s">
        <v>3488</v>
      </c>
      <c r="C14" s="3877" t="s">
        <v>3489</v>
      </c>
      <c r="D14" s="3876">
        <v>673.5</v>
      </c>
      <c r="E14" s="3878" t="s">
        <v>3466</v>
      </c>
      <c r="F14" s="3879" t="s">
        <v>3467</v>
      </c>
      <c r="G14" s="3874" t="s">
        <v>3468</v>
      </c>
      <c r="H14" s="3875" t="s">
        <v>3469</v>
      </c>
      <c r="I14" s="3881"/>
      <c r="J14" s="3879"/>
      <c r="K14" s="3881"/>
      <c r="L14" s="3880" t="s">
        <v>3513</v>
      </c>
    </row>
    <row r="15" spans="1:12">
      <c r="A15" s="3883" t="s">
        <v>3490</v>
      </c>
      <c r="B15" s="3872"/>
      <c r="C15" s="3877"/>
      <c r="D15" s="3884">
        <f>SUM(D3:D14)</f>
        <v>16589.39</v>
      </c>
      <c r="E15" s="3878"/>
      <c r="F15" s="3879"/>
      <c r="G15" s="3874"/>
      <c r="H15" s="3875"/>
      <c r="I15" s="3872"/>
      <c r="J15" s="3879"/>
      <c r="K15" s="3872"/>
      <c r="L15" s="3880"/>
    </row>
    <row r="16" spans="1:12">
      <c r="A16" s="3872">
        <v>12</v>
      </c>
      <c r="B16" s="3872" t="s">
        <v>3491</v>
      </c>
      <c r="C16" s="3877" t="s">
        <v>3492</v>
      </c>
      <c r="D16" s="3878">
        <v>12240.89</v>
      </c>
      <c r="E16" s="3878" t="s">
        <v>3466</v>
      </c>
      <c r="F16" s="3879" t="s">
        <v>3493</v>
      </c>
      <c r="G16" s="3874" t="s">
        <v>3468</v>
      </c>
      <c r="H16" s="3875" t="s">
        <v>3469</v>
      </c>
      <c r="I16" s="3872"/>
      <c r="J16" s="3879"/>
      <c r="K16" s="3872"/>
      <c r="L16" s="3880" t="s">
        <v>3514</v>
      </c>
    </row>
    <row r="17" spans="1:12">
      <c r="A17" s="3885" t="s">
        <v>3490</v>
      </c>
      <c r="B17" s="3880"/>
      <c r="C17" s="3872"/>
      <c r="D17" s="3886">
        <f>SUM(D16)</f>
        <v>12240.89</v>
      </c>
      <c r="E17" s="3880"/>
      <c r="F17" s="3880"/>
      <c r="G17" s="3880"/>
      <c r="H17" s="3880"/>
      <c r="I17" s="3872"/>
      <c r="J17" s="3880"/>
      <c r="K17" s="3880"/>
      <c r="L17" s="3880"/>
    </row>
    <row r="18" spans="1:12">
      <c r="A18" s="3887" t="s">
        <v>3494</v>
      </c>
      <c r="B18" s="3887"/>
      <c r="C18" s="3887"/>
      <c r="D18" s="3888">
        <f>D15+D17</f>
        <v>28830.28</v>
      </c>
    </row>
    <row r="19" spans="1:12" s="3525" customFormat="1" hidden="1">
      <c r="A19" s="3872" t="s">
        <v>3454</v>
      </c>
      <c r="B19" s="3872" t="s">
        <v>3455</v>
      </c>
      <c r="C19" s="3873" t="s">
        <v>3495</v>
      </c>
      <c r="D19" s="3872" t="s">
        <v>3496</v>
      </c>
      <c r="E19" s="3872"/>
      <c r="F19" s="3872" t="s">
        <v>3459</v>
      </c>
      <c r="G19" s="3874" t="s">
        <v>3460</v>
      </c>
      <c r="H19" s="3875" t="s">
        <v>3461</v>
      </c>
      <c r="I19" s="3872" t="s">
        <v>3462</v>
      </c>
      <c r="J19" s="3872" t="s">
        <v>3463</v>
      </c>
      <c r="K19" s="3872"/>
      <c r="L19" s="3872" t="s">
        <v>3462</v>
      </c>
    </row>
    <row r="20" spans="1:12" hidden="1">
      <c r="A20" s="3872">
        <v>1</v>
      </c>
      <c r="B20" s="3872" t="s">
        <v>3464</v>
      </c>
      <c r="C20" s="3877" t="s">
        <v>3497</v>
      </c>
      <c r="D20" s="3878">
        <v>281.14999999999998</v>
      </c>
      <c r="E20" s="3878"/>
      <c r="F20" s="3879" t="s">
        <v>3467</v>
      </c>
      <c r="G20" s="3874" t="s">
        <v>3468</v>
      </c>
      <c r="H20" s="3875" t="s">
        <v>3469</v>
      </c>
      <c r="I20" s="3872"/>
      <c r="J20" s="3879"/>
      <c r="K20" s="3879"/>
      <c r="L20" s="3880"/>
    </row>
    <row r="21" spans="1:12" hidden="1">
      <c r="A21" s="3872">
        <v>2</v>
      </c>
      <c r="B21" s="3872" t="s">
        <v>3470</v>
      </c>
      <c r="C21" s="3877" t="s">
        <v>3498</v>
      </c>
      <c r="D21" s="3878">
        <v>281.14999999999998</v>
      </c>
      <c r="E21" s="3878"/>
      <c r="F21" s="3879" t="s">
        <v>3467</v>
      </c>
      <c r="G21" s="3874" t="s">
        <v>3468</v>
      </c>
      <c r="H21" s="3875" t="s">
        <v>3469</v>
      </c>
      <c r="I21" s="3881"/>
      <c r="J21" s="3879"/>
      <c r="K21" s="3882"/>
      <c r="L21" s="3880"/>
    </row>
    <row r="22" spans="1:12" hidden="1">
      <c r="A22" s="3872">
        <v>3</v>
      </c>
      <c r="B22" s="3872" t="s">
        <v>3472</v>
      </c>
      <c r="C22" s="3877" t="s">
        <v>3499</v>
      </c>
      <c r="D22" s="3878">
        <v>281.14999999999998</v>
      </c>
      <c r="E22" s="3878"/>
      <c r="F22" s="3879" t="s">
        <v>3467</v>
      </c>
      <c r="G22" s="3874" t="s">
        <v>3468</v>
      </c>
      <c r="H22" s="3875" t="s">
        <v>3469</v>
      </c>
      <c r="I22" s="3881"/>
      <c r="J22" s="3879"/>
      <c r="K22" s="3881"/>
      <c r="L22" s="3880"/>
    </row>
    <row r="23" spans="1:12" hidden="1">
      <c r="A23" s="3872">
        <v>4</v>
      </c>
      <c r="B23" s="3872" t="s">
        <v>3474</v>
      </c>
      <c r="C23" s="3877" t="s">
        <v>3500</v>
      </c>
      <c r="D23" s="3878">
        <v>247.31</v>
      </c>
      <c r="E23" s="3878"/>
      <c r="F23" s="3879" t="s">
        <v>3467</v>
      </c>
      <c r="G23" s="3874" t="s">
        <v>3468</v>
      </c>
      <c r="H23" s="3875" t="s">
        <v>3469</v>
      </c>
      <c r="I23" s="3881"/>
      <c r="J23" s="3879"/>
      <c r="K23" s="3881"/>
      <c r="L23" s="3880"/>
    </row>
    <row r="24" spans="1:12" hidden="1">
      <c r="A24" s="3872">
        <v>5</v>
      </c>
      <c r="B24" s="3872" t="s">
        <v>3476</v>
      </c>
      <c r="C24" s="3877" t="s">
        <v>3501</v>
      </c>
      <c r="D24" s="3878">
        <v>247.31</v>
      </c>
      <c r="E24" s="3878"/>
      <c r="F24" s="3879" t="s">
        <v>3467</v>
      </c>
      <c r="G24" s="3874" t="s">
        <v>3468</v>
      </c>
      <c r="H24" s="3875" t="s">
        <v>3469</v>
      </c>
      <c r="I24" s="3881"/>
      <c r="J24" s="3879"/>
      <c r="K24" s="3881"/>
      <c r="L24" s="3880"/>
    </row>
    <row r="25" spans="1:12" hidden="1">
      <c r="A25" s="3872">
        <v>6</v>
      </c>
      <c r="B25" s="3872" t="s">
        <v>3478</v>
      </c>
      <c r="C25" s="3877" t="s">
        <v>3502</v>
      </c>
      <c r="D25" s="3878">
        <v>247.31</v>
      </c>
      <c r="E25" s="3878"/>
      <c r="F25" s="3879" t="s">
        <v>3467</v>
      </c>
      <c r="G25" s="3874" t="s">
        <v>3468</v>
      </c>
      <c r="H25" s="3875" t="s">
        <v>3469</v>
      </c>
      <c r="I25" s="3881"/>
      <c r="J25" s="3879"/>
      <c r="K25" s="3881"/>
      <c r="L25" s="3880"/>
    </row>
    <row r="26" spans="1:12" hidden="1">
      <c r="A26" s="3872">
        <v>7</v>
      </c>
      <c r="B26" s="3872" t="s">
        <v>3480</v>
      </c>
      <c r="C26" s="3877" t="s">
        <v>3503</v>
      </c>
      <c r="D26" s="3878">
        <v>173.12</v>
      </c>
      <c r="E26" s="3878"/>
      <c r="F26" s="3879" t="s">
        <v>3467</v>
      </c>
      <c r="G26" s="3874" t="s">
        <v>3468</v>
      </c>
      <c r="H26" s="3875" t="s">
        <v>3469</v>
      </c>
      <c r="I26" s="3881"/>
      <c r="J26" s="3879"/>
      <c r="K26" s="3881"/>
      <c r="L26" s="3880"/>
    </row>
    <row r="27" spans="1:12" hidden="1">
      <c r="A27" s="3872">
        <v>8</v>
      </c>
      <c r="B27" s="3872" t="s">
        <v>3482</v>
      </c>
      <c r="C27" s="3877" t="s">
        <v>3504</v>
      </c>
      <c r="D27" s="3878">
        <v>173.12</v>
      </c>
      <c r="E27" s="3878"/>
      <c r="F27" s="3879" t="s">
        <v>3467</v>
      </c>
      <c r="G27" s="3874" t="s">
        <v>3468</v>
      </c>
      <c r="H27" s="3875" t="s">
        <v>3469</v>
      </c>
      <c r="I27" s="3881"/>
      <c r="J27" s="3879"/>
      <c r="K27" s="3881"/>
      <c r="L27" s="3880"/>
    </row>
    <row r="28" spans="1:12" hidden="1">
      <c r="A28" s="3872">
        <v>9</v>
      </c>
      <c r="B28" s="3872" t="s">
        <v>3484</v>
      </c>
      <c r="C28" s="3877" t="s">
        <v>3505</v>
      </c>
      <c r="D28" s="3878">
        <v>173.12</v>
      </c>
      <c r="E28" s="3878"/>
      <c r="F28" s="3879" t="s">
        <v>3467</v>
      </c>
      <c r="G28" s="3874" t="s">
        <v>3468</v>
      </c>
      <c r="H28" s="3875" t="s">
        <v>3469</v>
      </c>
      <c r="I28" s="3881"/>
      <c r="J28" s="3879"/>
      <c r="K28" s="3881"/>
      <c r="L28" s="3880"/>
    </row>
    <row r="29" spans="1:12" hidden="1">
      <c r="A29" s="3872">
        <v>10</v>
      </c>
      <c r="B29" s="3872" t="s">
        <v>3486</v>
      </c>
      <c r="C29" s="3877" t="s">
        <v>3506</v>
      </c>
      <c r="D29" s="3878">
        <v>98.53</v>
      </c>
      <c r="E29" s="3878"/>
      <c r="F29" s="3879" t="s">
        <v>3467</v>
      </c>
      <c r="G29" s="3874" t="s">
        <v>3468</v>
      </c>
      <c r="H29" s="3875" t="s">
        <v>3469</v>
      </c>
      <c r="I29" s="3881"/>
      <c r="J29" s="3879"/>
      <c r="K29" s="3881"/>
      <c r="L29" s="3880"/>
    </row>
    <row r="30" spans="1:12" hidden="1">
      <c r="A30" s="3872">
        <v>11</v>
      </c>
      <c r="B30" s="3872" t="s">
        <v>3488</v>
      </c>
      <c r="C30" s="3877" t="s">
        <v>3507</v>
      </c>
      <c r="D30" s="3878">
        <v>98.53</v>
      </c>
      <c r="E30" s="3878"/>
      <c r="F30" s="3879" t="s">
        <v>3467</v>
      </c>
      <c r="G30" s="3874" t="s">
        <v>3468</v>
      </c>
      <c r="H30" s="3875" t="s">
        <v>3469</v>
      </c>
      <c r="I30" s="3881"/>
      <c r="J30" s="3879"/>
      <c r="K30" s="3881"/>
      <c r="L30" s="3880"/>
    </row>
    <row r="31" spans="1:12" hidden="1">
      <c r="A31" s="3872">
        <v>12</v>
      </c>
      <c r="B31" s="3872" t="s">
        <v>3491</v>
      </c>
      <c r="C31" s="3877" t="s">
        <v>3508</v>
      </c>
      <c r="D31" s="3878">
        <v>1790.78</v>
      </c>
      <c r="E31" s="3878"/>
      <c r="F31" s="3879" t="s">
        <v>3493</v>
      </c>
      <c r="G31" s="3874" t="s">
        <v>3468</v>
      </c>
      <c r="H31" s="3875" t="s">
        <v>3469</v>
      </c>
      <c r="I31" s="3872"/>
      <c r="J31" s="3879"/>
      <c r="K31" s="3872"/>
      <c r="L31" s="3880"/>
    </row>
    <row r="32" spans="1:12" hidden="1">
      <c r="A32" s="3880" t="s">
        <v>3490</v>
      </c>
      <c r="B32" s="3880"/>
      <c r="C32" s="3872"/>
      <c r="D32" s="3879">
        <f>SUM(D20:D31)</f>
        <v>4092.58</v>
      </c>
      <c r="E32" s="3880"/>
      <c r="F32" s="3880"/>
      <c r="G32" s="3880"/>
      <c r="H32" s="3880"/>
      <c r="I32" s="3872"/>
      <c r="J32" s="3880"/>
      <c r="K32" s="3880"/>
      <c r="L32" s="3880"/>
    </row>
    <row r="33" spans="1:7" hidden="1"/>
    <row r="38" spans="1:7" ht="12.75" thickBot="1"/>
    <row r="39" spans="1:7" ht="15" thickBot="1">
      <c r="A39" s="3889" t="s">
        <v>3517</v>
      </c>
      <c r="B39" s="3890" t="s">
        <v>3527</v>
      </c>
      <c r="C39" s="3890" t="s">
        <v>3518</v>
      </c>
      <c r="D39" s="3890" t="s">
        <v>3519</v>
      </c>
      <c r="E39" s="3890" t="s">
        <v>3520</v>
      </c>
      <c r="F39" s="3890" t="s">
        <v>3521</v>
      </c>
      <c r="G39" s="3890" t="s">
        <v>3522</v>
      </c>
    </row>
    <row r="40" spans="1:7" ht="15" thickBot="1">
      <c r="A40" s="3891">
        <v>1</v>
      </c>
      <c r="B40" s="3892" t="s">
        <v>3528</v>
      </c>
      <c r="C40" s="3892" t="s">
        <v>3529</v>
      </c>
      <c r="D40" s="3893" t="s">
        <v>3530</v>
      </c>
      <c r="E40" s="3893">
        <v>4</v>
      </c>
      <c r="F40" s="3893">
        <v>855.41</v>
      </c>
      <c r="G40" s="3892" t="s">
        <v>673</v>
      </c>
    </row>
    <row r="41" spans="1:7" ht="15" thickBot="1">
      <c r="A41" s="3891">
        <v>2</v>
      </c>
      <c r="B41" s="3892" t="s">
        <v>3536</v>
      </c>
      <c r="C41" s="3892" t="s">
        <v>3537</v>
      </c>
      <c r="D41" s="3893" t="s">
        <v>3530</v>
      </c>
      <c r="E41" s="3893">
        <v>5</v>
      </c>
      <c r="F41" s="3893">
        <v>1921.83</v>
      </c>
      <c r="G41" s="3892" t="s">
        <v>3523</v>
      </c>
    </row>
    <row r="42" spans="1:7" ht="15" thickBot="1">
      <c r="A42" s="3891">
        <v>3</v>
      </c>
      <c r="B42" s="3892" t="s">
        <v>3539</v>
      </c>
      <c r="C42" s="3892" t="s">
        <v>3538</v>
      </c>
      <c r="D42" s="3893" t="s">
        <v>3530</v>
      </c>
      <c r="E42" s="3893">
        <v>6</v>
      </c>
      <c r="F42" s="3893">
        <v>1921.83</v>
      </c>
      <c r="G42" s="3892" t="s">
        <v>3523</v>
      </c>
    </row>
    <row r="43" spans="1:7" ht="15" thickBot="1">
      <c r="A43" s="3891">
        <v>4</v>
      </c>
      <c r="B43" s="3892" t="s">
        <v>3541</v>
      </c>
      <c r="C43" s="3892" t="s">
        <v>3540</v>
      </c>
      <c r="D43" s="3893" t="s">
        <v>3530</v>
      </c>
      <c r="E43" s="3893">
        <v>7</v>
      </c>
      <c r="F43" s="3893">
        <v>1921.83</v>
      </c>
      <c r="G43" s="3892" t="s">
        <v>3523</v>
      </c>
    </row>
    <row r="44" spans="1:7" ht="15" thickBot="1">
      <c r="A44" s="3891">
        <v>5</v>
      </c>
      <c r="B44" s="3892" t="s">
        <v>3542</v>
      </c>
      <c r="C44" s="3892" t="s">
        <v>3543</v>
      </c>
      <c r="D44" s="3893" t="s">
        <v>3530</v>
      </c>
      <c r="E44" s="3893">
        <v>8</v>
      </c>
      <c r="F44" s="3893">
        <v>1690.49</v>
      </c>
      <c r="G44" s="3892" t="s">
        <v>3523</v>
      </c>
    </row>
    <row r="45" spans="1:7" ht="15" thickBot="1">
      <c r="A45" s="3891">
        <v>6</v>
      </c>
      <c r="B45" s="3892" t="s">
        <v>3547</v>
      </c>
      <c r="C45" s="3892" t="s">
        <v>3544</v>
      </c>
      <c r="D45" s="3893" t="s">
        <v>3530</v>
      </c>
      <c r="E45" s="3893">
        <v>9</v>
      </c>
      <c r="F45" s="3893">
        <v>1690.49</v>
      </c>
      <c r="G45" s="3892" t="s">
        <v>3523</v>
      </c>
    </row>
    <row r="46" spans="1:7" ht="15" thickBot="1">
      <c r="A46" s="3891">
        <v>7</v>
      </c>
      <c r="B46" s="3892" t="s">
        <v>3545</v>
      </c>
      <c r="C46" s="3892" t="s">
        <v>3546</v>
      </c>
      <c r="D46" s="3893" t="s">
        <v>3530</v>
      </c>
      <c r="E46" s="3893">
        <v>10</v>
      </c>
      <c r="F46" s="3893">
        <v>1690.49</v>
      </c>
      <c r="G46" s="3892" t="s">
        <v>3523</v>
      </c>
    </row>
    <row r="47" spans="1:7" ht="15" thickBot="1">
      <c r="A47" s="3891">
        <v>8</v>
      </c>
      <c r="B47" s="3892" t="s">
        <v>3548</v>
      </c>
      <c r="C47" s="3892" t="s">
        <v>3549</v>
      </c>
      <c r="D47" s="3893" t="s">
        <v>3530</v>
      </c>
      <c r="E47" s="3893">
        <v>11</v>
      </c>
      <c r="F47" s="3893">
        <v>1183.3399999999999</v>
      </c>
      <c r="G47" s="3892" t="s">
        <v>3523</v>
      </c>
    </row>
    <row r="48" spans="1:7" ht="15" thickBot="1">
      <c r="A48" s="3891">
        <v>9</v>
      </c>
      <c r="B48" s="3892" t="s">
        <v>3550</v>
      </c>
      <c r="C48" s="3892" t="s">
        <v>3551</v>
      </c>
      <c r="D48" s="3893" t="s">
        <v>3530</v>
      </c>
      <c r="E48" s="3893">
        <v>12</v>
      </c>
      <c r="F48" s="3893">
        <v>1183.3399999999999</v>
      </c>
      <c r="G48" s="3892" t="s">
        <v>3523</v>
      </c>
    </row>
    <row r="49" spans="1:7" ht="15" thickBot="1">
      <c r="A49" s="3891">
        <v>10</v>
      </c>
      <c r="B49" s="3892" t="s">
        <v>3552</v>
      </c>
      <c r="C49" s="3892" t="s">
        <v>3553</v>
      </c>
      <c r="D49" s="3893" t="s">
        <v>3530</v>
      </c>
      <c r="E49" s="3893">
        <v>13</v>
      </c>
      <c r="F49" s="3893">
        <v>1183.3399999999999</v>
      </c>
      <c r="G49" s="3892" t="s">
        <v>3523</v>
      </c>
    </row>
    <row r="50" spans="1:7" ht="15" thickBot="1">
      <c r="A50" s="3891">
        <v>11</v>
      </c>
      <c r="B50" s="3892" t="s">
        <v>3554</v>
      </c>
      <c r="C50" s="3892" t="s">
        <v>3555</v>
      </c>
      <c r="D50" s="3893" t="s">
        <v>3530</v>
      </c>
      <c r="E50" s="3893">
        <v>14</v>
      </c>
      <c r="F50" s="3893">
        <v>673.5</v>
      </c>
      <c r="G50" s="3892" t="s">
        <v>3523</v>
      </c>
    </row>
    <row r="51" spans="1:7" ht="15" thickBot="1">
      <c r="A51" s="3891">
        <v>12</v>
      </c>
      <c r="B51" s="3892" t="s">
        <v>3556</v>
      </c>
      <c r="C51" s="3892" t="s">
        <v>3557</v>
      </c>
      <c r="D51" s="3893" t="s">
        <v>3530</v>
      </c>
      <c r="E51" s="3893">
        <v>15</v>
      </c>
      <c r="F51" s="3893">
        <v>673.5</v>
      </c>
      <c r="G51" s="3892" t="s">
        <v>3523</v>
      </c>
    </row>
    <row r="52" spans="1:7" ht="15" thickBot="1">
      <c r="A52" s="3894" t="s">
        <v>3524</v>
      </c>
      <c r="B52" s="3895"/>
      <c r="C52" s="3895"/>
      <c r="D52" s="3895"/>
      <c r="E52" s="3896"/>
      <c r="F52" s="3893">
        <v>16589.39</v>
      </c>
      <c r="G52" s="3893" t="s">
        <v>43</v>
      </c>
    </row>
    <row r="53" spans="1:7" ht="15" thickBot="1">
      <c r="A53" s="3891">
        <v>12</v>
      </c>
      <c r="B53" s="3892" t="s">
        <v>3531</v>
      </c>
      <c r="C53" s="3892" t="s">
        <v>3532</v>
      </c>
      <c r="D53" s="3893" t="s">
        <v>3530</v>
      </c>
      <c r="E53" s="3893">
        <v>-1</v>
      </c>
      <c r="F53" s="3893">
        <v>4956.8599999999997</v>
      </c>
      <c r="G53" s="3892" t="s">
        <v>673</v>
      </c>
    </row>
    <row r="54" spans="1:7" ht="15" thickBot="1">
      <c r="A54" s="3891">
        <v>13</v>
      </c>
      <c r="B54" s="3892" t="s">
        <v>3531</v>
      </c>
      <c r="C54" s="3892" t="s">
        <v>3533</v>
      </c>
      <c r="D54" s="3893" t="s">
        <v>3530</v>
      </c>
      <c r="E54" s="3893">
        <v>-1</v>
      </c>
      <c r="F54" s="3893">
        <v>666.82</v>
      </c>
      <c r="G54" s="3892" t="s">
        <v>673</v>
      </c>
    </row>
    <row r="55" spans="1:7" ht="15" thickBot="1">
      <c r="A55" s="3891">
        <v>14</v>
      </c>
      <c r="B55" s="3892" t="s">
        <v>3531</v>
      </c>
      <c r="C55" s="3892" t="s">
        <v>3534</v>
      </c>
      <c r="D55" s="3893" t="s">
        <v>3530</v>
      </c>
      <c r="E55" s="3893">
        <v>-1</v>
      </c>
      <c r="F55" s="3893">
        <v>6042.86</v>
      </c>
      <c r="G55" s="3892" t="s">
        <v>673</v>
      </c>
    </row>
    <row r="56" spans="1:7" ht="15" thickBot="1">
      <c r="A56" s="3891">
        <v>15</v>
      </c>
      <c r="B56" s="3892" t="s">
        <v>3531</v>
      </c>
      <c r="C56" s="3892" t="s">
        <v>3535</v>
      </c>
      <c r="D56" s="3893" t="s">
        <v>3530</v>
      </c>
      <c r="E56" s="3893">
        <v>-1</v>
      </c>
      <c r="F56" s="3893">
        <v>574.35</v>
      </c>
      <c r="G56" s="3892" t="s">
        <v>673</v>
      </c>
    </row>
    <row r="57" spans="1:7" ht="15" thickBot="1">
      <c r="A57" s="3894" t="s">
        <v>3525</v>
      </c>
      <c r="B57" s="3895"/>
      <c r="C57" s="3895"/>
      <c r="D57" s="3895"/>
      <c r="E57" s="3896"/>
      <c r="F57" s="3893">
        <v>12240.89</v>
      </c>
      <c r="G57" s="3893" t="s">
        <v>43</v>
      </c>
    </row>
    <row r="58" spans="1:7" ht="15" thickBot="1">
      <c r="A58" s="3894" t="s">
        <v>3526</v>
      </c>
      <c r="B58" s="3895"/>
      <c r="C58" s="3895"/>
      <c r="D58" s="3895"/>
      <c r="E58" s="3896"/>
      <c r="F58" s="3893">
        <v>28830.28</v>
      </c>
      <c r="G58" s="3893" t="s">
        <v>43</v>
      </c>
    </row>
  </sheetData>
  <mergeCells count="9">
    <mergeCell ref="A52:E52"/>
    <mergeCell ref="A57:E57"/>
    <mergeCell ref="A58:E58"/>
    <mergeCell ref="A1:L1"/>
    <mergeCell ref="I5:I14"/>
    <mergeCell ref="K5:K14"/>
    <mergeCell ref="A18:C18"/>
    <mergeCell ref="I21:I30"/>
    <mergeCell ref="K21:K30"/>
  </mergeCells>
  <phoneticPr fontId="135"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T43" sqref="T43"/>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13" t="s">
        <v>1131</v>
      </c>
      <c r="B2" s="3613"/>
      <c r="C2" s="3613"/>
      <c r="D2" s="791" t="s">
        <v>1107</v>
      </c>
      <c r="E2" s="1634" t="s">
        <v>1108</v>
      </c>
      <c r="F2" s="2653"/>
      <c r="G2" s="2645"/>
      <c r="H2" s="2646"/>
      <c r="I2" s="2320" t="s">
        <v>1132</v>
      </c>
      <c r="J2" s="2653"/>
      <c r="K2" s="2653"/>
      <c r="L2" s="2653"/>
      <c r="M2" s="2653"/>
      <c r="N2" s="2655"/>
      <c r="O2" s="2653"/>
      <c r="P2" s="2653"/>
    </row>
    <row r="3" spans="1:16" ht="15.75" thickBot="1">
      <c r="A3" s="3614" t="s">
        <v>1105</v>
      </c>
      <c r="B3" s="3614"/>
      <c r="C3" s="3614"/>
      <c r="D3" s="43">
        <f>'数据-基础表'!AY6</f>
        <v>0</v>
      </c>
      <c r="E3" s="43">
        <f>'数据-基础表'!AZ5</f>
        <v>28830.28</v>
      </c>
      <c r="F3" s="2653"/>
      <c r="G3" s="1140"/>
      <c r="H3" s="1021" t="s">
        <v>1106</v>
      </c>
      <c r="I3" s="850" t="e">
        <f>ROUND('数据-基础表'!B3/'数据-基础表'!A3,2)</f>
        <v>#DIV/0!</v>
      </c>
      <c r="J3" s="2653"/>
      <c r="K3" s="2653"/>
      <c r="L3" s="2653"/>
      <c r="M3" s="2653"/>
      <c r="N3" s="2655"/>
      <c r="O3" s="2653"/>
      <c r="P3" s="2653"/>
    </row>
    <row r="4" spans="1:16" ht="15">
      <c r="A4" s="3615"/>
      <c r="B4" s="3616"/>
      <c r="C4" s="3617"/>
      <c r="D4" s="1636" t="s">
        <v>1107</v>
      </c>
      <c r="E4" s="1637" t="s">
        <v>1108</v>
      </c>
      <c r="F4" s="2653"/>
      <c r="G4" s="2647" t="s">
        <v>1133</v>
      </c>
      <c r="H4" s="1021" t="s">
        <v>1113</v>
      </c>
      <c r="I4" s="850" t="e">
        <f>ROUND(SUMIF('数据-基础表'!I9:AS9,"地上",'数据-基础表'!I5:AS5)/'数据-基础表'!A3,2)</f>
        <v>#DIV/0!</v>
      </c>
      <c r="J4" s="2653"/>
      <c r="K4" s="2653"/>
      <c r="L4" s="2653"/>
      <c r="M4" s="2653"/>
      <c r="N4" s="2655"/>
      <c r="O4" s="2653"/>
      <c r="P4" s="2653"/>
    </row>
    <row r="5" spans="1:16">
      <c r="A5" s="44" t="s">
        <v>1109</v>
      </c>
      <c r="B5" s="3618" t="s">
        <v>1110</v>
      </c>
      <c r="C5" s="3618"/>
      <c r="D5" s="45">
        <f>ROUND($D$3*E5/$E$3,2)</f>
        <v>0</v>
      </c>
      <c r="E5" s="46">
        <f>SUMIF('数据-基础表'!$11:$11,"住宅",'数据-基础表'!$5:$5)</f>
        <v>0</v>
      </c>
      <c r="F5" s="2653"/>
      <c r="G5" s="1140"/>
      <c r="H5" s="1021" t="s">
        <v>1106</v>
      </c>
      <c r="I5" s="850" t="e">
        <f>ROUND(E31/D31,2)</f>
        <v>#DIV/0!</v>
      </c>
      <c r="J5" s="2653"/>
      <c r="K5" s="2653"/>
      <c r="L5" s="2653"/>
      <c r="M5" s="2653"/>
      <c r="N5" s="2653"/>
      <c r="O5" s="2653"/>
      <c r="P5" s="2653"/>
    </row>
    <row r="6" spans="1:16" ht="15" thickBot="1">
      <c r="A6" s="1639"/>
      <c r="B6" s="3618" t="s">
        <v>1111</v>
      </c>
      <c r="C6" s="3618"/>
      <c r="D6" s="45">
        <f>ROUND($D$3*E6/$E$3,2)</f>
        <v>0</v>
      </c>
      <c r="E6" s="46">
        <f>E3-E5</f>
        <v>28830.28</v>
      </c>
      <c r="F6" s="2653"/>
      <c r="G6" s="2648" t="s">
        <v>1112</v>
      </c>
      <c r="H6" s="1141" t="s">
        <v>1113</v>
      </c>
      <c r="I6" s="2649" t="e">
        <f>ROUND(F31/D31,2)</f>
        <v>#DIV/0!</v>
      </c>
      <c r="J6" s="2653"/>
      <c r="K6" s="2653"/>
      <c r="L6" s="2653"/>
      <c r="M6" s="2653"/>
      <c r="N6" s="2653"/>
      <c r="O6" s="2653"/>
      <c r="P6" s="2653"/>
    </row>
    <row r="7" spans="1:16" ht="15.75" thickBot="1">
      <c r="A7" s="3610"/>
      <c r="B7" s="3611"/>
      <c r="C7" s="3612"/>
      <c r="D7" s="1636" t="s">
        <v>1107</v>
      </c>
      <c r="E7" s="1640" t="s">
        <v>1114</v>
      </c>
      <c r="F7" s="2653"/>
      <c r="G7" s="2650" t="s">
        <v>1115</v>
      </c>
      <c r="H7" s="2651"/>
      <c r="I7" s="3491">
        <v>2.5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16589.39</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12240.89</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0</v>
      </c>
      <c r="E16" s="50">
        <f>SUM(E8:E15)</f>
        <v>28830.28</v>
      </c>
      <c r="F16" s="2653"/>
      <c r="G16" s="2654"/>
      <c r="H16" s="1643" t="s">
        <v>1135</v>
      </c>
      <c r="I16" s="1644"/>
      <c r="J16" s="1134"/>
      <c r="K16" s="3607" t="s">
        <v>1135</v>
      </c>
      <c r="L16" s="3608"/>
      <c r="M16" s="3608"/>
      <c r="N16" s="3608"/>
      <c r="O16" s="3608"/>
      <c r="P16" s="3609"/>
    </row>
    <row r="17" spans="1:19" ht="15">
      <c r="A17" s="1645" t="s">
        <v>1136</v>
      </c>
      <c r="B17" s="1646" t="s">
        <v>1137</v>
      </c>
      <c r="C17" s="1647" t="s">
        <v>1138</v>
      </c>
      <c r="D17" s="1648" t="s">
        <v>1126</v>
      </c>
      <c r="E17" s="1649" t="s">
        <v>1127</v>
      </c>
      <c r="F17" s="1650"/>
      <c r="G17" s="1651"/>
      <c r="H17" s="1652" t="s">
        <v>1139</v>
      </c>
      <c r="I17" s="1653" t="s">
        <v>1124</v>
      </c>
      <c r="J17" s="1134"/>
      <c r="K17" s="3604" t="s">
        <v>1140</v>
      </c>
      <c r="L17" s="3605"/>
      <c r="M17" s="3606"/>
      <c r="N17" s="3604" t="s">
        <v>1141</v>
      </c>
      <c r="O17" s="3605"/>
      <c r="P17" s="3606"/>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1" t="s">
        <v>3415</v>
      </c>
      <c r="D19" s="45">
        <f>ROUND($D$3*E19/$E$3,2)</f>
        <v>0</v>
      </c>
      <c r="E19" s="53">
        <f t="shared" ref="E19:E26" si="1">SUM(F19:G19)</f>
        <v>28830.28</v>
      </c>
      <c r="F19" s="2789">
        <f>'数据-基础表'!I5</f>
        <v>16589.39</v>
      </c>
      <c r="G19" s="2790">
        <f>'数据-基础表'!K5</f>
        <v>12240.89</v>
      </c>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28830.28</v>
      </c>
    </row>
    <row r="20" spans="1:19">
      <c r="A20" s="1665"/>
      <c r="B20" s="47" t="s">
        <v>1153</v>
      </c>
      <c r="C20" s="3411"/>
      <c r="D20" s="45">
        <f t="shared" ref="D20:D26" si="6">ROUND($D$3*E20/$E$3,2)</f>
        <v>0</v>
      </c>
      <c r="E20" s="53">
        <f t="shared" si="1"/>
        <v>0</v>
      </c>
      <c r="F20" s="3492"/>
      <c r="G20" s="2790"/>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1"/>
      <c r="D21" s="45">
        <f t="shared" si="6"/>
        <v>0</v>
      </c>
      <c r="E21" s="53">
        <f t="shared" si="1"/>
        <v>0</v>
      </c>
      <c r="F21" s="2789"/>
      <c r="G21" s="2790"/>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SUM(F22:G22)</f>
        <v>0</v>
      </c>
      <c r="F22" s="2791"/>
      <c r="G22" s="3494"/>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1"/>
      <c r="G23" s="2792"/>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1"/>
      <c r="G24" s="2792"/>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2"/>
      <c r="D25" s="45">
        <f t="shared" si="6"/>
        <v>0</v>
      </c>
      <c r="E25" s="53">
        <f t="shared" si="1"/>
        <v>0</v>
      </c>
      <c r="F25" s="2791"/>
      <c r="G25" s="2792"/>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0</v>
      </c>
      <c r="E27" s="1136">
        <f>IF(SUM(E19:E26)='数据-基础表'!BA5,SUM(E19:E26),IF(F27="地上面积有误","面积有误","地下面积有误"))</f>
        <v>28830.28</v>
      </c>
      <c r="F27" s="1135">
        <f>IF(SUM(F19:F26)=E8,SUM(F19:F26),"地上面积有误")</f>
        <v>16589.39</v>
      </c>
      <c r="G27" s="1137">
        <f>SUM(G19:G26)</f>
        <v>12240.89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28830.28</v>
      </c>
    </row>
    <row r="28" spans="1:19">
      <c r="A28" s="1665"/>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1"/>
      <c r="B31" s="1672"/>
      <c r="C31" s="830" t="s">
        <v>1158</v>
      </c>
      <c r="D31" s="676">
        <f>D27+D30</f>
        <v>0</v>
      </c>
      <c r="E31" s="676">
        <f>E27+E30</f>
        <v>28830.28</v>
      </c>
      <c r="F31" s="677">
        <f>F27+F30</f>
        <v>16589.39</v>
      </c>
      <c r="G31" s="678">
        <f>G27+G30</f>
        <v>12240.89</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row>
    <row r="37" spans="4:7">
      <c r="E37" s="3486" t="s">
        <v>3437</v>
      </c>
      <c r="F37" s="3499">
        <f>F19+F20+F21</f>
        <v>16589.39</v>
      </c>
      <c r="G37" s="3487">
        <f ca="1">(结果表!G19-(F38*G38+F39*G39)/10000)/'数据-汇总表'!F37*10000</f>
        <v>37270.942451771887</v>
      </c>
    </row>
    <row r="38" spans="4:7">
      <c r="E38" s="3486" t="s">
        <v>3438</v>
      </c>
      <c r="F38" s="1633">
        <f>G19</f>
        <v>12240.89</v>
      </c>
      <c r="G38" s="1633">
        <v>20000</v>
      </c>
    </row>
    <row r="39" spans="4:7">
      <c r="E39" s="3486" t="s">
        <v>3439</v>
      </c>
      <c r="F39" s="1633">
        <f>G21</f>
        <v>0</v>
      </c>
      <c r="G39" s="1633">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Z27" sqref="Z2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8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0">
        <f>项目基本情况!D3</f>
        <v>45485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3416</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51810</v>
      </c>
      <c r="F6" s="64">
        <f>SUMIF(项目基本情况!C$12:I$12,C6,项目基本情况!C$15:I$15)</f>
        <v>17.32</v>
      </c>
      <c r="G6" s="65">
        <f>IF(ISERROR(ROUND(POWER(1+H6,D6-F6)*(POWER(1+H6,F6)-1)/(POWER(1+H6,D6)-1),3)),0,ROUND(POWER(1+H6,D6-F6)*(POWER(1+H6,F6)-1)/(POWER(1+H6,D6)-1),3))</f>
        <v>0.66500000000000004</v>
      </c>
      <c r="H6" s="732">
        <v>0.05</v>
      </c>
      <c r="I6" s="732">
        <v>5.5E-2</v>
      </c>
      <c r="J6" s="66">
        <v>7.0000000000000007E-2</v>
      </c>
      <c r="K6" s="1025">
        <f>SUMIF('数据-汇总表'!C$19:C$33,A6,'数据-汇总表'!E$19:E$33)</f>
        <v>28830.28</v>
      </c>
      <c r="L6" s="733">
        <v>6800</v>
      </c>
      <c r="M6" s="67">
        <f t="shared" ref="M6:M14" si="0">ROUND(K6*L6/10000,0)</f>
        <v>19605</v>
      </c>
      <c r="N6" s="731">
        <f>取值过程!H16</f>
        <v>0.78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7">
        <f>ROUND($L$14*S6/10000,0)</f>
        <v>0</v>
      </c>
      <c r="U6" s="3422">
        <v>5.3</v>
      </c>
      <c r="V6" s="3529">
        <v>0.02</v>
      </c>
      <c r="W6" s="70">
        <v>0.15</v>
      </c>
      <c r="X6" s="1035"/>
      <c r="Y6" s="71">
        <f>N6</f>
        <v>0.78</v>
      </c>
      <c r="Z6" s="72"/>
      <c r="AA6" s="66"/>
      <c r="AB6" s="66"/>
      <c r="AC6" s="1035"/>
      <c r="AD6" s="73"/>
      <c r="AE6" s="1036">
        <f ca="1">IF(AN6="",0,SUMIF(INDIRECT("'"&amp;AN6&amp;"'"&amp;"!E:E"),$AE$5,INDIRECT("'"&amp;AN6&amp;"'"&amp;"!F:F")))</f>
        <v>17.32</v>
      </c>
      <c r="AF6" s="1343"/>
      <c r="AG6" s="138">
        <f>IF(AF6="",0,AE6-AF6)</f>
        <v>0</v>
      </c>
      <c r="AH6" s="74"/>
      <c r="AI6" s="76">
        <v>365</v>
      </c>
      <c r="AJ6" s="77"/>
      <c r="AK6" s="3530">
        <v>5.0000000000000001E-3</v>
      </c>
      <c r="AL6" s="79">
        <v>1E-3</v>
      </c>
      <c r="AM6" s="3531">
        <f>AK6</f>
        <v>5.0000000000000001E-3</v>
      </c>
      <c r="AN6" s="1710" t="s">
        <v>3417</v>
      </c>
      <c r="AO6" s="52">
        <f ca="1">SUMIF(INDIRECT("'"&amp;AN6&amp;"'"&amp;"!A:A"),"总价",INDIRECT("'"&amp;AN6&amp;"'"&amp;"!B:B"))</f>
        <v>51721</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5">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2"/>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2"/>
      <c r="I8" s="732"/>
      <c r="J8" s="66"/>
      <c r="K8" s="1025">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7">
        <f t="shared" si="5"/>
        <v>0</v>
      </c>
      <c r="U8" s="3422"/>
      <c r="V8" s="70"/>
      <c r="W8" s="70"/>
      <c r="X8" s="1035"/>
      <c r="Y8" s="71"/>
      <c r="Z8" s="72"/>
      <c r="AA8" s="66"/>
      <c r="AB8" s="66"/>
      <c r="AC8" s="1035"/>
      <c r="AD8" s="73"/>
      <c r="AE8" s="1036">
        <f t="shared" ca="1" si="6"/>
        <v>0</v>
      </c>
      <c r="AF8" s="1343"/>
      <c r="AG8" s="138">
        <f t="shared" si="7"/>
        <v>0</v>
      </c>
      <c r="AH8" s="74"/>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732"/>
      <c r="I9" s="732"/>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2"/>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732"/>
      <c r="I10" s="732"/>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2"/>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732"/>
      <c r="I11" s="732"/>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2"/>
      <c r="V11" s="70"/>
      <c r="W11" s="70"/>
      <c r="X11" s="1035"/>
      <c r="Y11" s="71"/>
      <c r="Z11" s="84"/>
      <c r="AA11" s="66"/>
      <c r="AB11" s="66"/>
      <c r="AC11" s="1035"/>
      <c r="AD11" s="73"/>
      <c r="AE11" s="1036">
        <f t="shared" ca="1" si="6"/>
        <v>0</v>
      </c>
      <c r="AF11" s="1343"/>
      <c r="AG11" s="138">
        <f t="shared" si="7"/>
        <v>0</v>
      </c>
      <c r="AH11" s="74"/>
      <c r="AI11" s="76"/>
      <c r="AJ11" s="77"/>
      <c r="AK11" s="78"/>
      <c r="AL11" s="79"/>
      <c r="AM11" s="80"/>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2"/>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f>L8</f>
        <v>0</v>
      </c>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0.66500000000000004</v>
      </c>
      <c r="H16" s="90">
        <f>ROUND(SUMPRODUCT(H6:H13,K6:K13)/SUMPRODUCT((H6:H13&gt;0)*(K6:K13)),3)</f>
        <v>0.05</v>
      </c>
      <c r="I16" s="91"/>
      <c r="J16" s="91"/>
      <c r="K16" s="92">
        <f>SUM(K6:K15)</f>
        <v>28830.28</v>
      </c>
      <c r="L16" s="93">
        <f>ROUND(M16*10000/SUM(K6:K14),0)</f>
        <v>6800</v>
      </c>
      <c r="M16" s="93">
        <f>SUM(M6:M14)</f>
        <v>19605</v>
      </c>
      <c r="N16" s="94">
        <f>ROUND(SUMPRODUCT(M6:M14,N6:N14)/M16,3)</f>
        <v>0.78</v>
      </c>
      <c r="O16" s="93">
        <f>SUM(O6:O14)</f>
        <v>0</v>
      </c>
      <c r="P16" s="93">
        <f>SUM(P6:P14)</f>
        <v>0</v>
      </c>
      <c r="Q16" s="95">
        <f>ROUND(SUMPRODUCT(Q6:Q13,K6:K13)/SUMPRODUCT((Q6:Q13&gt;0)*(K6:K13)),2)</f>
        <v>0.2</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2301</v>
      </c>
      <c r="D19" s="2670"/>
      <c r="E19" s="2667"/>
      <c r="F19" s="2667"/>
      <c r="G19" s="2667"/>
      <c r="H19" s="2667"/>
      <c r="I19" s="2667"/>
      <c r="J19" s="2667"/>
      <c r="K19" s="2666"/>
      <c r="L19" s="2666"/>
      <c r="M19" s="2665"/>
      <c r="N19" s="2665"/>
      <c r="O19" s="734" t="s">
        <v>673</v>
      </c>
      <c r="P19" s="3502">
        <f>K6</f>
        <v>28830.28</v>
      </c>
      <c r="Q19" s="734">
        <v>0.25</v>
      </c>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2.5</v>
      </c>
      <c r="C20" s="2794" t="s">
        <v>2299</v>
      </c>
      <c r="D20" s="2670"/>
      <c r="E20" s="2667"/>
      <c r="F20" s="2667"/>
      <c r="G20" s="2667"/>
      <c r="H20" s="2667"/>
      <c r="I20" s="2667"/>
      <c r="J20" s="2667"/>
      <c r="K20" s="2666"/>
      <c r="L20" s="2666"/>
      <c r="M20" s="2665"/>
      <c r="N20" s="2665"/>
      <c r="O20" s="734" t="s">
        <v>21</v>
      </c>
      <c r="P20" s="3502">
        <f>'数据-基础表'!O15</f>
        <v>0</v>
      </c>
      <c r="Q20" s="734">
        <v>0.2</v>
      </c>
      <c r="R20" s="2665"/>
      <c r="S20" s="2665"/>
      <c r="T20" s="2665"/>
      <c r="U20" s="2669"/>
      <c r="V20" s="2669"/>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2.5</v>
      </c>
      <c r="C21" s="2667"/>
      <c r="D21" s="2670"/>
      <c r="E21" s="2667"/>
      <c r="F21" s="2667"/>
      <c r="G21" s="2667"/>
      <c r="H21" s="2667"/>
      <c r="I21" s="2667"/>
      <c r="J21" s="2667"/>
      <c r="K21" s="2666"/>
      <c r="L21" s="2666"/>
      <c r="M21" s="2665"/>
      <c r="N21" s="2665"/>
      <c r="O21" s="734" t="s">
        <v>3</v>
      </c>
      <c r="P21" s="3502">
        <f>'数据-基础表'!Q16</f>
        <v>0</v>
      </c>
      <c r="Q21" s="734">
        <f>Q20</f>
        <v>0.2</v>
      </c>
      <c r="R21" s="2665"/>
      <c r="S21" s="2665"/>
      <c r="T21" s="2665"/>
      <c r="U21" s="3498"/>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2.5</v>
      </c>
      <c r="C22" s="2667"/>
      <c r="D22" s="2670"/>
      <c r="E22" s="2667"/>
      <c r="F22" s="2667"/>
      <c r="G22" s="2667"/>
      <c r="H22" s="2667"/>
      <c r="I22" s="2667"/>
      <c r="J22" s="2667"/>
      <c r="K22" s="2666"/>
      <c r="L22" s="2666"/>
      <c r="M22" s="2665"/>
      <c r="N22" s="2665"/>
      <c r="O22" s="81" t="s">
        <v>3333</v>
      </c>
      <c r="P22" s="3503">
        <f>'数据-基础表'!M18</f>
        <v>0</v>
      </c>
      <c r="Q22" s="81">
        <v>0.1</v>
      </c>
      <c r="R22" s="2665"/>
      <c r="S22" s="2665"/>
      <c r="T22" s="2665"/>
      <c r="U22" s="3498"/>
      <c r="V22" s="3498"/>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19" t="s">
        <v>1215</v>
      </c>
      <c r="B23" s="105">
        <f>B19+B21</f>
        <v>2.5</v>
      </c>
      <c r="C23" s="2667"/>
      <c r="D23" s="2670"/>
      <c r="E23" s="2667"/>
      <c r="F23" s="2667"/>
      <c r="G23" s="2667"/>
      <c r="H23" s="2667"/>
      <c r="I23" s="2667"/>
      <c r="J23" s="2667"/>
      <c r="K23" s="2666"/>
      <c r="L23" s="2666"/>
      <c r="M23" s="2665"/>
      <c r="N23" s="2665"/>
      <c r="O23" s="2665"/>
      <c r="P23" s="3500" t="s">
        <v>3448</v>
      </c>
      <c r="Q23" s="3501">
        <f>ROUND(SUMPRODUCT(Q19:Q22,P19:P22)/SUMPRODUCT((Q19:Q22&gt;0)*(P19:P22)),2)</f>
        <v>0.25</v>
      </c>
      <c r="R23" s="2665"/>
      <c r="S23" s="2665"/>
      <c r="T23" s="2665"/>
      <c r="U23" s="3498"/>
      <c r="V23" s="3498"/>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2666"/>
      <c r="L24" s="2666"/>
      <c r="M24" s="2665"/>
      <c r="N24" s="2665"/>
      <c r="O24" s="2665"/>
      <c r="P24" s="3500" t="s">
        <v>3448</v>
      </c>
      <c r="Q24" s="3501" t="e">
        <f>ROUND(SUMPRODUCT(Q20:Q22,P20:P22)/SUMPRODUCT((Q20:Q22&gt;0)*(P20:P22)),2)</f>
        <v>#DIV/0!</v>
      </c>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[1]成本法!C10</f>
        <v>562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2"/>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3">
        <v>0.05</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2.5000000000000001E-2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2.5000000000000001E-2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3">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30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144</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8"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8"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8"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8"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8"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8" customFormat="1">
      <c r="A69" s="1736"/>
      <c r="D69" s="1737"/>
      <c r="K69" s="728"/>
      <c r="L69" s="728"/>
    </row>
    <row r="70" spans="1:44" s="788" customFormat="1">
      <c r="A70" s="1736"/>
      <c r="D70" s="1737"/>
      <c r="K70" s="728"/>
      <c r="L70" s="728"/>
    </row>
    <row r="71" spans="1:44" s="788" customFormat="1">
      <c r="A71" s="1736"/>
      <c r="D71" s="1737"/>
      <c r="K71" s="728"/>
      <c r="L71" s="728"/>
    </row>
    <row r="72" spans="1:44" s="788" customFormat="1">
      <c r="A72" s="1736"/>
      <c r="D72" s="1737"/>
      <c r="K72" s="728"/>
      <c r="L72" s="728"/>
    </row>
    <row r="73" spans="1:44" s="788" customFormat="1">
      <c r="A73" s="1736"/>
      <c r="D73" s="1737"/>
      <c r="K73" s="728"/>
      <c r="L73" s="728"/>
    </row>
    <row r="74" spans="1:44" s="788" customFormat="1">
      <c r="A74" s="1736"/>
      <c r="D74" s="1737"/>
      <c r="K74" s="728"/>
      <c r="L74" s="728"/>
    </row>
    <row r="75" spans="1:44" s="788" customFormat="1">
      <c r="A75" s="1736"/>
      <c r="D75" s="1737"/>
      <c r="K75" s="728"/>
      <c r="L75" s="728"/>
    </row>
    <row r="76" spans="1:44" s="788" customFormat="1">
      <c r="A76" s="1736"/>
      <c r="D76" s="1737"/>
      <c r="K76" s="728"/>
      <c r="L76" s="728"/>
    </row>
    <row r="77" spans="1:44" s="788" customFormat="1">
      <c r="A77" s="1736"/>
      <c r="D77" s="1737"/>
      <c r="K77" s="728"/>
      <c r="L77" s="728"/>
    </row>
    <row r="78" spans="1:44" s="788" customFormat="1">
      <c r="A78" s="1736"/>
      <c r="D78" s="1737"/>
      <c r="K78" s="728"/>
      <c r="L78" s="728"/>
    </row>
    <row r="79" spans="1:44" s="788" customFormat="1">
      <c r="A79" s="1736"/>
      <c r="D79" s="1737"/>
      <c r="K79" s="728"/>
      <c r="L79" s="728"/>
    </row>
    <row r="80" spans="1:44" s="788" customFormat="1">
      <c r="A80" s="1736"/>
      <c r="D80" s="1737"/>
      <c r="K80" s="728"/>
      <c r="L80" s="728"/>
    </row>
    <row r="81" spans="1:12" s="788" customFormat="1">
      <c r="A81" s="1736"/>
      <c r="D81" s="1737"/>
      <c r="K81" s="728"/>
      <c r="L81" s="728"/>
    </row>
    <row r="82" spans="1:12" s="788" customFormat="1">
      <c r="A82" s="1736"/>
      <c r="D82" s="1737"/>
      <c r="K82" s="728"/>
      <c r="L82" s="728"/>
    </row>
    <row r="83" spans="1:12" s="788" customFormat="1">
      <c r="A83" s="1736"/>
      <c r="D83" s="1737"/>
      <c r="K83" s="728"/>
      <c r="L83" s="728"/>
    </row>
    <row r="84" spans="1:12" s="788" customFormat="1">
      <c r="A84" s="1736"/>
      <c r="D84" s="1737"/>
      <c r="K84" s="728"/>
      <c r="L84" s="728"/>
    </row>
    <row r="85" spans="1:12" s="788" customFormat="1">
      <c r="A85" s="1736"/>
      <c r="D85" s="1737"/>
      <c r="K85" s="728"/>
      <c r="L85" s="728"/>
    </row>
    <row r="86" spans="1:12" s="788" customFormat="1">
      <c r="A86" s="1736"/>
      <c r="D86" s="1737"/>
      <c r="K86" s="728"/>
      <c r="L86" s="728"/>
    </row>
    <row r="87" spans="1:12" s="788" customFormat="1">
      <c r="A87" s="1736"/>
      <c r="D87" s="1737"/>
      <c r="K87" s="728"/>
      <c r="L87" s="728"/>
    </row>
    <row r="88" spans="1:12" s="788" customFormat="1">
      <c r="A88" s="1736"/>
      <c r="D88" s="1737"/>
      <c r="K88" s="728"/>
      <c r="L88" s="728"/>
    </row>
    <row r="89" spans="1:12" s="788" customFormat="1">
      <c r="A89" s="1736"/>
      <c r="D89" s="1737"/>
      <c r="K89" s="728"/>
      <c r="L89" s="728"/>
    </row>
    <row r="90" spans="1:12" s="788" customFormat="1">
      <c r="A90" s="1736"/>
      <c r="D90" s="1737"/>
      <c r="K90" s="728"/>
      <c r="L90" s="728"/>
    </row>
    <row r="91" spans="1:12" s="788" customFormat="1">
      <c r="A91" s="1736"/>
      <c r="D91" s="1737"/>
      <c r="K91" s="728"/>
      <c r="L91" s="728"/>
    </row>
    <row r="92" spans="1:12" s="788" customFormat="1">
      <c r="A92" s="1736"/>
      <c r="D92" s="1737"/>
      <c r="K92" s="728"/>
      <c r="L92" s="728"/>
    </row>
    <row r="93" spans="1:12" s="788" customFormat="1">
      <c r="A93" s="1736"/>
      <c r="D93" s="1737"/>
      <c r="K93" s="728"/>
      <c r="L93" s="728"/>
    </row>
    <row r="94" spans="1:12" s="788" customFormat="1">
      <c r="A94" s="1736"/>
      <c r="D94" s="1737"/>
      <c r="K94" s="728"/>
      <c r="L94" s="728"/>
    </row>
    <row r="95" spans="1:12" s="788" customFormat="1">
      <c r="A95" s="1736"/>
      <c r="D95" s="1737"/>
      <c r="K95" s="728"/>
      <c r="L95" s="728"/>
    </row>
    <row r="96" spans="1:12" s="788" customFormat="1">
      <c r="A96" s="1736"/>
      <c r="D96" s="1737"/>
      <c r="K96" s="728"/>
      <c r="L96" s="728"/>
    </row>
    <row r="97" spans="1:12" s="788" customFormat="1">
      <c r="A97" s="1736"/>
      <c r="D97" s="1737"/>
      <c r="K97" s="728"/>
      <c r="L97" s="728"/>
    </row>
    <row r="98" spans="1:12" s="788" customFormat="1">
      <c r="A98" s="1736"/>
      <c r="D98" s="1737"/>
      <c r="K98" s="728"/>
      <c r="L98" s="728"/>
    </row>
    <row r="99" spans="1:12" s="788" customFormat="1">
      <c r="A99" s="1736"/>
      <c r="D99" s="1737"/>
      <c r="K99" s="728"/>
      <c r="L99" s="728"/>
    </row>
    <row r="100" spans="1:12" s="788" customFormat="1">
      <c r="A100" s="1736"/>
      <c r="D100" s="1737"/>
      <c r="K100" s="728"/>
      <c r="L100" s="728"/>
    </row>
    <row r="101" spans="1:12" s="788" customFormat="1">
      <c r="A101" s="1736"/>
      <c r="D101" s="1737"/>
      <c r="K101" s="728"/>
      <c r="L101" s="728"/>
    </row>
    <row r="102" spans="1:12" s="788" customFormat="1">
      <c r="A102" s="1736"/>
      <c r="D102" s="1737"/>
      <c r="K102" s="728"/>
      <c r="L102" s="728"/>
    </row>
    <row r="103" spans="1:12" s="788" customFormat="1">
      <c r="A103" s="1736"/>
      <c r="D103" s="1737"/>
      <c r="K103" s="728"/>
      <c r="L103" s="728"/>
    </row>
    <row r="104" spans="1:12" s="788" customFormat="1">
      <c r="A104" s="1736"/>
      <c r="D104" s="1737"/>
      <c r="K104" s="728"/>
      <c r="L104" s="728"/>
    </row>
    <row r="105" spans="1:12" s="788" customFormat="1">
      <c r="A105" s="1736"/>
      <c r="D105" s="1737"/>
      <c r="K105" s="728"/>
      <c r="L105" s="728"/>
    </row>
    <row r="106" spans="1:12" s="788" customFormat="1">
      <c r="A106" s="1736"/>
      <c r="D106" s="1737"/>
      <c r="K106" s="728"/>
      <c r="L106" s="728"/>
    </row>
    <row r="107" spans="1:12" s="788" customFormat="1">
      <c r="A107" s="1736"/>
      <c r="D107" s="1737"/>
      <c r="K107" s="728"/>
      <c r="L107" s="728"/>
    </row>
    <row r="108" spans="1:12" s="788" customFormat="1">
      <c r="A108" s="1736"/>
      <c r="D108" s="1737"/>
      <c r="K108" s="728"/>
      <c r="L108" s="728"/>
    </row>
    <row r="109" spans="1:12" s="788" customFormat="1">
      <c r="A109" s="1736"/>
      <c r="D109" s="1737"/>
      <c r="K109" s="728"/>
      <c r="L109" s="728"/>
    </row>
    <row r="110" spans="1:12" s="788" customFormat="1">
      <c r="A110" s="1736"/>
      <c r="D110" s="1737"/>
      <c r="K110" s="728"/>
      <c r="L110" s="728"/>
    </row>
    <row r="111" spans="1:12" s="788" customFormat="1">
      <c r="A111" s="1736"/>
      <c r="D111" s="1737"/>
      <c r="K111" s="728"/>
      <c r="L111" s="728"/>
    </row>
    <row r="112" spans="1:12" s="788" customFormat="1">
      <c r="A112" s="1736"/>
      <c r="D112" s="1737"/>
      <c r="K112" s="728"/>
      <c r="L112" s="728"/>
    </row>
    <row r="113" spans="1:12" s="788" customFormat="1">
      <c r="A113" s="1736"/>
      <c r="D113" s="1737"/>
      <c r="K113" s="728"/>
      <c r="L113" s="728"/>
    </row>
    <row r="114" spans="1:12" s="788" customFormat="1">
      <c r="A114" s="1736"/>
      <c r="D114" s="1737"/>
      <c r="K114" s="728"/>
      <c r="L114" s="728"/>
    </row>
    <row r="115" spans="1:12" s="788" customFormat="1">
      <c r="A115" s="1736"/>
      <c r="D115" s="1737"/>
      <c r="K115" s="728"/>
      <c r="L115" s="728"/>
    </row>
    <row r="116" spans="1:12" s="788" customFormat="1">
      <c r="A116" s="1736"/>
      <c r="D116" s="1737"/>
      <c r="K116" s="728"/>
      <c r="L116" s="728"/>
    </row>
    <row r="117" spans="1:12" s="788" customFormat="1">
      <c r="A117" s="1736"/>
      <c r="D117" s="1737"/>
      <c r="K117" s="728"/>
      <c r="L117" s="728"/>
    </row>
    <row r="118" spans="1:12" s="788" customFormat="1">
      <c r="A118" s="1736"/>
      <c r="D118" s="1737"/>
      <c r="K118" s="728"/>
      <c r="L118" s="728"/>
    </row>
    <row r="119" spans="1:12" s="788" customFormat="1">
      <c r="A119" s="1736"/>
      <c r="D119" s="1737"/>
      <c r="K119" s="728"/>
      <c r="L119" s="728"/>
    </row>
    <row r="120" spans="1:12" s="788" customFormat="1">
      <c r="A120" s="1736"/>
      <c r="D120" s="1737"/>
      <c r="K120" s="728"/>
      <c r="L120" s="728"/>
    </row>
    <row r="121" spans="1:12" s="788" customFormat="1">
      <c r="A121" s="1736"/>
      <c r="D121" s="1737"/>
      <c r="K121" s="728"/>
      <c r="L121" s="728"/>
    </row>
    <row r="122" spans="1:12" s="788" customFormat="1">
      <c r="A122" s="1736"/>
      <c r="D122" s="1737"/>
      <c r="K122" s="728"/>
      <c r="L122" s="728"/>
    </row>
    <row r="123" spans="1:12" s="788" customFormat="1">
      <c r="A123" s="1736"/>
      <c r="D123" s="1737"/>
      <c r="K123" s="728"/>
      <c r="L123" s="728"/>
    </row>
    <row r="124" spans="1:12" s="788" customFormat="1">
      <c r="A124" s="1736"/>
      <c r="D124" s="1737"/>
      <c r="K124" s="728"/>
      <c r="L124" s="728"/>
    </row>
    <row r="125" spans="1:12" s="788" customFormat="1">
      <c r="A125" s="1736"/>
      <c r="D125" s="1737"/>
      <c r="K125" s="728"/>
      <c r="L125" s="728"/>
    </row>
    <row r="126" spans="1:12" s="788" customFormat="1">
      <c r="A126" s="1736"/>
      <c r="D126" s="1737"/>
      <c r="K126" s="728"/>
      <c r="L126" s="728"/>
    </row>
    <row r="127" spans="1:12" s="788" customFormat="1">
      <c r="A127" s="1736"/>
      <c r="D127" s="1737"/>
      <c r="K127" s="728"/>
      <c r="L127" s="728"/>
    </row>
    <row r="128" spans="1:12" s="788" customFormat="1">
      <c r="A128" s="1736"/>
      <c r="D128" s="1737"/>
      <c r="K128" s="728"/>
      <c r="L128" s="728"/>
    </row>
    <row r="129" spans="1:12" s="788" customFormat="1">
      <c r="A129" s="1736"/>
      <c r="D129" s="1737"/>
      <c r="K129" s="728"/>
      <c r="L129" s="728"/>
    </row>
    <row r="130" spans="1:12" s="788" customFormat="1">
      <c r="A130" s="1736"/>
      <c r="D130" s="1737"/>
      <c r="K130" s="728"/>
      <c r="L130" s="728"/>
    </row>
    <row r="131" spans="1:12" s="788" customFormat="1">
      <c r="A131" s="1736"/>
      <c r="D131" s="1737"/>
      <c r="K131" s="728"/>
      <c r="L131" s="728"/>
    </row>
    <row r="132" spans="1:12" s="788" customFormat="1">
      <c r="A132" s="1736"/>
      <c r="D132" s="1737"/>
      <c r="K132" s="728"/>
      <c r="L132" s="728"/>
    </row>
    <row r="133" spans="1:12" s="788"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619" t="s">
        <v>2282</v>
      </c>
      <c r="B1" s="3620"/>
      <c r="C1" s="3620"/>
      <c r="D1" s="3620"/>
      <c r="E1" s="3620"/>
      <c r="F1" s="3620"/>
      <c r="G1" s="362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4"/>
      <c r="I2" s="794"/>
      <c r="J2" s="794"/>
      <c r="K2" s="794"/>
      <c r="L2" s="794"/>
      <c r="M2" s="794"/>
      <c r="N2" s="794"/>
      <c r="O2" s="794"/>
      <c r="P2" s="794"/>
      <c r="Q2" s="794"/>
      <c r="R2" s="794"/>
    </row>
    <row r="3" spans="1:29" ht="25.5">
      <c r="A3" s="2436" t="s">
        <v>2280</v>
      </c>
      <c r="B3" s="2458" t="s">
        <v>2252</v>
      </c>
      <c r="C3" s="2459"/>
      <c r="D3" s="2460"/>
      <c r="E3" s="2437" t="s">
        <v>2280</v>
      </c>
      <c r="F3" s="2461" t="s">
        <v>2253</v>
      </c>
      <c r="G3" s="2462" t="s">
        <v>2281</v>
      </c>
      <c r="H3" s="794"/>
      <c r="I3" s="794"/>
      <c r="J3" s="794"/>
      <c r="K3" s="794"/>
      <c r="L3" s="794"/>
      <c r="M3" s="794"/>
      <c r="N3" s="794"/>
      <c r="O3" s="794"/>
      <c r="P3" s="794"/>
      <c r="Q3" s="794"/>
      <c r="R3" s="794"/>
    </row>
    <row r="4" spans="1:29" ht="36.75">
      <c r="A4" s="2437"/>
      <c r="B4" s="323" t="s">
        <v>2254</v>
      </c>
      <c r="C4" s="2463" t="s">
        <v>3418</v>
      </c>
      <c r="D4" s="2460"/>
      <c r="E4" s="2464"/>
      <c r="F4" s="1368" t="s">
        <v>2255</v>
      </c>
      <c r="G4" s="2465" t="s">
        <v>2256</v>
      </c>
      <c r="H4" s="794"/>
      <c r="I4" s="794"/>
      <c r="J4" s="794"/>
      <c r="K4" s="794"/>
      <c r="L4" s="794"/>
      <c r="M4" s="794"/>
      <c r="N4" s="794"/>
      <c r="O4" s="794"/>
      <c r="P4" s="794"/>
      <c r="Q4" s="794"/>
      <c r="R4" s="794"/>
    </row>
    <row r="5" spans="1:29" ht="24">
      <c r="A5" s="2437"/>
      <c r="B5" s="323" t="s">
        <v>2257</v>
      </c>
      <c r="C5" s="2463"/>
      <c r="D5" s="2460"/>
      <c r="E5" s="2464"/>
      <c r="F5" s="323" t="s">
        <v>2258</v>
      </c>
      <c r="G5" s="2465" t="s">
        <v>2259</v>
      </c>
      <c r="H5" s="794"/>
      <c r="I5" s="794"/>
      <c r="J5" s="794"/>
      <c r="K5" s="794"/>
      <c r="L5" s="794"/>
      <c r="M5" s="794"/>
      <c r="N5" s="794"/>
      <c r="O5" s="794"/>
      <c r="P5" s="794"/>
      <c r="Q5" s="794"/>
      <c r="R5" s="794"/>
    </row>
    <row r="6" spans="1:29" ht="36">
      <c r="A6" s="2437"/>
      <c r="B6" s="323" t="s">
        <v>2260</v>
      </c>
      <c r="C6" s="2465" t="s">
        <v>2256</v>
      </c>
      <c r="D6" s="2460"/>
      <c r="E6" s="2464"/>
      <c r="F6" s="323" t="s">
        <v>2261</v>
      </c>
      <c r="G6" s="2465" t="s">
        <v>2262</v>
      </c>
      <c r="H6" s="794"/>
      <c r="I6" s="794"/>
      <c r="J6" s="794"/>
      <c r="K6" s="794"/>
      <c r="L6" s="794"/>
      <c r="M6" s="794"/>
      <c r="N6" s="794"/>
      <c r="O6" s="794"/>
      <c r="P6" s="794"/>
      <c r="Q6" s="794"/>
      <c r="R6" s="794"/>
    </row>
    <row r="7" spans="1:29" ht="24.75" thickBot="1">
      <c r="A7" s="2437"/>
      <c r="B7" s="323" t="s">
        <v>2258</v>
      </c>
      <c r="C7" s="3484" t="s">
        <v>3419</v>
      </c>
      <c r="D7" s="2466"/>
      <c r="E7" s="2467"/>
      <c r="F7" s="2468" t="s">
        <v>2263</v>
      </c>
      <c r="G7" s="2469" t="s">
        <v>2264</v>
      </c>
      <c r="H7" s="794"/>
      <c r="I7" s="794"/>
      <c r="J7" s="794"/>
      <c r="K7" s="794"/>
      <c r="L7" s="794"/>
      <c r="M7" s="794"/>
      <c r="N7" s="794"/>
      <c r="O7" s="794"/>
      <c r="P7" s="794"/>
      <c r="Q7" s="794"/>
      <c r="R7" s="794"/>
    </row>
    <row r="8" spans="1:29">
      <c r="A8" s="2437"/>
      <c r="B8" s="323" t="s">
        <v>2261</v>
      </c>
      <c r="C8" s="2465" t="s">
        <v>2262</v>
      </c>
      <c r="D8" s="2466"/>
      <c r="E8" s="2466"/>
      <c r="F8" s="2470"/>
      <c r="G8" s="2470"/>
      <c r="H8" s="794"/>
      <c r="I8" s="794"/>
      <c r="J8" s="794"/>
      <c r="K8" s="794"/>
      <c r="L8" s="794"/>
      <c r="M8" s="794"/>
      <c r="N8" s="794"/>
      <c r="O8" s="794"/>
      <c r="P8" s="794"/>
      <c r="Q8" s="794"/>
      <c r="R8" s="794"/>
    </row>
    <row r="9" spans="1:29" ht="24">
      <c r="A9" s="2437"/>
      <c r="B9" s="323" t="s">
        <v>2265</v>
      </c>
      <c r="C9" s="3485" t="s">
        <v>3420</v>
      </c>
      <c r="D9" s="2460"/>
      <c r="E9" s="2466"/>
      <c r="F9" s="2470"/>
      <c r="G9" s="2470"/>
      <c r="H9" s="794"/>
      <c r="I9" s="794"/>
      <c r="J9" s="794"/>
      <c r="K9" s="794"/>
      <c r="L9" s="794"/>
      <c r="M9" s="794"/>
      <c r="N9" s="794"/>
      <c r="O9" s="794"/>
      <c r="P9" s="794"/>
      <c r="Q9" s="794"/>
      <c r="R9" s="794"/>
    </row>
    <row r="10" spans="1:29" s="2476" customFormat="1" ht="15" thickBot="1">
      <c r="A10" s="2438"/>
      <c r="B10" s="2471" t="s">
        <v>2266</v>
      </c>
      <c r="C10" s="2472" t="s">
        <v>3421</v>
      </c>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2267</v>
      </c>
      <c r="D14" s="2460"/>
      <c r="E14" s="2491"/>
      <c r="F14" s="2491"/>
      <c r="G14" s="2455" t="s">
        <v>2268</v>
      </c>
    </row>
    <row r="15" spans="1:29" ht="25.5">
      <c r="A15" s="2439" t="s">
        <v>2269</v>
      </c>
      <c r="B15" s="2492" t="s">
        <v>2252</v>
      </c>
      <c r="C15" s="2493">
        <f>C3</f>
        <v>0</v>
      </c>
      <c r="D15" s="2460"/>
      <c r="E15" s="2440" t="s">
        <v>2270</v>
      </c>
      <c r="F15" s="2492" t="s">
        <v>2271</v>
      </c>
      <c r="G15" s="2494" t="str">
        <f>G3</f>
        <v>估价对象位于XX开发区，园区建设成熟度XX，产业集聚程度XX</v>
      </c>
    </row>
    <row r="16" spans="1:29" ht="38.25">
      <c r="A16" s="2441"/>
      <c r="B16" s="2495" t="s">
        <v>2254</v>
      </c>
      <c r="C16" s="2496" t="str">
        <f>C4</f>
        <v>估价对象位于XX商圈，周边商业氛围成熟，人流量大，商业繁华度较好</v>
      </c>
      <c r="D16" s="2460"/>
      <c r="E16" s="2442"/>
      <c r="F16" s="2497" t="s">
        <v>2255</v>
      </c>
      <c r="G16" s="2498" t="str">
        <f>G4</f>
        <v>估价对象周边道路状况、公共交通通达情况、停车便捷程度，综合评价交通便捷度较好</v>
      </c>
    </row>
    <row r="17" spans="1:18">
      <c r="A17" s="2441"/>
      <c r="B17" s="2495" t="s">
        <v>2257</v>
      </c>
      <c r="C17" s="2496">
        <f>C5</f>
        <v>0</v>
      </c>
      <c r="D17" s="2466"/>
      <c r="E17" s="2442"/>
      <c r="F17" s="2497" t="s">
        <v>2272</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2273</v>
      </c>
      <c r="C19" s="2499"/>
      <c r="D19" s="2460"/>
      <c r="E19" s="2442"/>
      <c r="F19" s="323" t="s">
        <v>2258</v>
      </c>
      <c r="G19" s="2498" t="str">
        <f>G5</f>
        <v>估价对象所在区域公共配套设施齐备情况</v>
      </c>
    </row>
    <row r="20" spans="1:18" ht="25.5">
      <c r="A20" s="2441"/>
      <c r="B20" s="2497" t="s">
        <v>2274</v>
      </c>
      <c r="C20" s="2496" t="str">
        <f>C9</f>
        <v>区域自然环境：；人文环境；综合评价环境状况较好</v>
      </c>
      <c r="D20" s="2466"/>
      <c r="E20" s="2442"/>
      <c r="F20" s="323" t="s">
        <v>2261</v>
      </c>
      <c r="G20" s="2498" t="str">
        <f>G6</f>
        <v>估价对象所在区域基础设施水平</v>
      </c>
    </row>
    <row r="21" spans="1:18" ht="25.5">
      <c r="A21" s="2441"/>
      <c r="B21" s="323" t="s">
        <v>2258</v>
      </c>
      <c r="C21" s="2498" t="str">
        <f>C7</f>
        <v>估价对象所在区域公共配套设施齐备情况较好</v>
      </c>
      <c r="D21" s="2460"/>
      <c r="E21" s="2442"/>
      <c r="F21" s="2497" t="s">
        <v>2275</v>
      </c>
      <c r="G21" s="2500"/>
    </row>
    <row r="22" spans="1:18" ht="13.5" customHeight="1">
      <c r="A22" s="2441"/>
      <c r="B22" s="323" t="s">
        <v>2261</v>
      </c>
      <c r="C22" s="2498" t="str">
        <f>C8</f>
        <v>估价对象所在区域基础设施水平</v>
      </c>
      <c r="D22" s="2460"/>
      <c r="E22" s="2442"/>
      <c r="F22" s="2497" t="s">
        <v>2266</v>
      </c>
      <c r="G22" s="2499"/>
    </row>
    <row r="23" spans="1:18" s="794"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4" customFormat="1" ht="15" thickBot="1">
      <c r="A24" s="2444"/>
      <c r="B24" s="2501" t="s">
        <v>2277</v>
      </c>
      <c r="C24" s="2503" t="str">
        <f>C10</f>
        <v>主干道-工人体育场路</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28830.28</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45485</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86312</v>
      </c>
      <c r="C5" s="2507">
        <f ca="1">IF(B5=D14,结果表!H102,ROUND(B5*10000/$B$1,0))</f>
        <v>29938</v>
      </c>
      <c r="D5" s="2507" t="e">
        <f ca="1">ROUND(B5*10000/$B$2,0)</f>
        <v>#DIV/0!</v>
      </c>
      <c r="E5" s="2680"/>
      <c r="F5" s="2681"/>
      <c r="G5" s="2681"/>
      <c r="H5" s="2682"/>
      <c r="I5" s="2682"/>
      <c r="J5" s="2682"/>
      <c r="K5" s="2682"/>
    </row>
    <row r="6" spans="1:11" ht="16.5">
      <c r="A6" s="2507" t="s">
        <v>656</v>
      </c>
      <c r="B6" s="2507">
        <f ca="1">SUM(G14:G23)</f>
        <v>86312</v>
      </c>
      <c r="C6" s="2507" t="e">
        <f ca="1">IF(B6=G14,结果表!H108,ROUND(B6*10000/$B$1,0))</f>
        <v>#VALUE!</v>
      </c>
      <c r="D6" s="2507" t="e">
        <f ca="1">ROUND(B6*10000/$B$2,0)</f>
        <v>#DIV/0!</v>
      </c>
      <c r="E6" s="2680"/>
      <c r="F6" s="2681"/>
      <c r="G6" s="2681"/>
      <c r="H6" s="2682"/>
      <c r="I6" s="2682"/>
      <c r="J6" s="2682"/>
      <c r="K6" s="2682"/>
    </row>
    <row r="7" spans="1:11" ht="16.5">
      <c r="A7" s="2507" t="s">
        <v>664</v>
      </c>
      <c r="B7" s="2507">
        <f ca="1">SUM(H14:H23)</f>
        <v>86312</v>
      </c>
      <c r="C7" s="2507">
        <f ca="1">IF(B7=H14,结果表!H110,ROUND(B7*10000/$B$1,0))</f>
        <v>29938</v>
      </c>
      <c r="D7" s="2507" t="e">
        <f ca="1">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3356</v>
      </c>
      <c r="D10" s="2507" t="s">
        <v>3357</v>
      </c>
      <c r="E10" s="3434"/>
      <c r="F10" s="3438" t="s">
        <v>3358</v>
      </c>
      <c r="G10" s="3435"/>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28830.28</v>
      </c>
      <c r="C14" s="2513">
        <f>结果表!C118</f>
        <v>0</v>
      </c>
      <c r="D14" s="2513">
        <f ca="1">结果表!H118</f>
        <v>86312</v>
      </c>
      <c r="E14" s="2513">
        <f ca="1">ROUND(D14*10000/B14,0)</f>
        <v>29938</v>
      </c>
      <c r="F14" s="2513" t="e">
        <f ca="1">ROUND(D14*10000/C14,0)</f>
        <v>#DIV/0!</v>
      </c>
      <c r="G14" s="2513">
        <f ca="1">D14</f>
        <v>86312</v>
      </c>
      <c r="H14" s="2513">
        <f ca="1">G14</f>
        <v>86312</v>
      </c>
      <c r="I14" s="2513"/>
      <c r="J14" s="2681"/>
      <c r="K14" s="2682"/>
    </row>
    <row r="15" spans="1:11" ht="16.5">
      <c r="A15" s="2512" t="s">
        <v>649</v>
      </c>
      <c r="B15" s="2514"/>
      <c r="C15" s="2514"/>
      <c r="D15" s="2514"/>
      <c r="E15" s="2513" t="e">
        <f t="shared" ref="E15:E23" si="0">ROUND(D15*10000/B15,0)</f>
        <v>#DIV/0!</v>
      </c>
      <c r="F15" s="2513" t="e">
        <f t="shared" ref="F15:F23" si="1">ROUND(D15*10000/C15,0)</f>
        <v>#DIV/0!</v>
      </c>
      <c r="G15" s="1326"/>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32" t="str">
        <f>项目基本情况!B1</f>
        <v>房地产抵押价值预评估</v>
      </c>
      <c r="C37" s="3532"/>
      <c r="D37" s="3532"/>
      <c r="E37" s="3532"/>
      <c r="F37" s="3532"/>
      <c r="G37" s="3532"/>
      <c r="H37" s="3532"/>
      <c r="I37" s="3532"/>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郑燚（注册号：1120070131)、崔锴（注册号：1120100036)</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8" zoomScaleNormal="100" zoomScaleSheetLayoutView="100" zoomScalePageLayoutView="80" workbookViewId="0">
      <selection activeCell="D125" sqref="D125:I125"/>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t="s">
        <v>3391</v>
      </c>
      <c r="H1" s="1745" t="str">
        <f>IF(G1="现房","——","估价对象范围")</f>
        <v>——</v>
      </c>
      <c r="I1" s="1746" t="s">
        <v>3434</v>
      </c>
    </row>
    <row r="2" spans="1:12" ht="21.75" customHeight="1" thickBot="1">
      <c r="A2" s="3688" t="str">
        <f>项目基本情况!S2</f>
        <v>房地产</v>
      </c>
      <c r="B2" s="3689"/>
      <c r="C2" s="3689"/>
      <c r="D2" s="3689"/>
      <c r="E2" s="3689"/>
      <c r="F2" s="3689"/>
      <c r="G2" s="3689"/>
      <c r="H2" s="3689"/>
      <c r="I2" s="3690"/>
    </row>
    <row r="3" spans="1:12" ht="12.75">
      <c r="A3" s="3692" t="s">
        <v>1264</v>
      </c>
      <c r="B3" s="3693"/>
      <c r="C3" s="3693"/>
      <c r="D3" s="3693"/>
      <c r="E3" s="3693"/>
      <c r="F3" s="3693"/>
      <c r="G3" s="3693"/>
      <c r="H3" s="3693"/>
      <c r="I3" s="3693"/>
    </row>
    <row r="4" spans="1:12" ht="14.25">
      <c r="A4" s="1749" t="s">
        <v>1265</v>
      </c>
      <c r="B4" s="1750" t="s">
        <v>1266</v>
      </c>
      <c r="C4" s="1751" t="s">
        <v>3435</v>
      </c>
      <c r="D4" s="1751" t="s">
        <v>3436</v>
      </c>
      <c r="E4" s="3697" t="s">
        <v>1267</v>
      </c>
      <c r="F4" s="3698"/>
      <c r="G4" s="3698"/>
      <c r="H4" s="3698"/>
      <c r="I4" s="36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6" t="s">
        <v>1268</v>
      </c>
      <c r="B5" s="3691">
        <v>25</v>
      </c>
      <c r="C5" s="3694"/>
      <c r="D5" s="3682"/>
      <c r="E5" s="131" t="s">
        <v>1269</v>
      </c>
      <c r="F5" s="1752"/>
      <c r="G5" s="1752"/>
      <c r="H5" s="1752"/>
      <c r="I5" s="1368"/>
    </row>
    <row r="6" spans="1:12" ht="12.75">
      <c r="A6" s="3636"/>
      <c r="B6" s="3691"/>
      <c r="C6" s="3696"/>
      <c r="D6" s="3682"/>
      <c r="E6" s="131" t="s">
        <v>1270</v>
      </c>
      <c r="F6" s="1752"/>
      <c r="G6" s="1752"/>
      <c r="H6" s="1752"/>
      <c r="I6" s="1368"/>
    </row>
    <row r="7" spans="1:12" ht="12.75">
      <c r="A7" s="3636"/>
      <c r="B7" s="3691"/>
      <c r="C7" s="3695"/>
      <c r="D7" s="3682"/>
      <c r="E7" s="131" t="s">
        <v>1271</v>
      </c>
      <c r="F7" s="1752"/>
      <c r="G7" s="1752"/>
      <c r="H7" s="1752"/>
      <c r="I7" s="1368"/>
    </row>
    <row r="8" spans="1:12" ht="12.75">
      <c r="A8" s="3636" t="s">
        <v>1272</v>
      </c>
      <c r="B8" s="3691">
        <v>15</v>
      </c>
      <c r="C8" s="3694"/>
      <c r="D8" s="3682"/>
      <c r="E8" s="131" t="s">
        <v>1273</v>
      </c>
      <c r="F8" s="1752"/>
      <c r="G8" s="1752"/>
      <c r="H8" s="1752"/>
      <c r="I8" s="1368"/>
    </row>
    <row r="9" spans="1:12" ht="12.75">
      <c r="A9" s="3636"/>
      <c r="B9" s="3691"/>
      <c r="C9" s="3695"/>
      <c r="D9" s="3682"/>
      <c r="E9" s="131" t="s">
        <v>1274</v>
      </c>
      <c r="F9" s="1752"/>
      <c r="G9" s="1752"/>
      <c r="H9" s="1752"/>
      <c r="I9" s="1368"/>
    </row>
    <row r="10" spans="1:12" ht="12.75">
      <c r="A10" s="3636" t="s">
        <v>1275</v>
      </c>
      <c r="B10" s="3691">
        <v>15</v>
      </c>
      <c r="C10" s="3694"/>
      <c r="D10" s="3682"/>
      <c r="E10" s="131" t="s">
        <v>1276</v>
      </c>
      <c r="F10" s="1752"/>
      <c r="G10" s="1752"/>
      <c r="H10" s="1752"/>
      <c r="I10" s="1368"/>
    </row>
    <row r="11" spans="1:12" ht="12.75">
      <c r="A11" s="3636"/>
      <c r="B11" s="3691"/>
      <c r="C11" s="3695"/>
      <c r="D11" s="3682"/>
      <c r="E11" s="131" t="s">
        <v>1277</v>
      </c>
      <c r="F11" s="1752"/>
      <c r="G11" s="1752"/>
      <c r="H11" s="1752"/>
      <c r="I11" s="1368"/>
    </row>
    <row r="12" spans="1:12" ht="12.75">
      <c r="A12" s="3636" t="s">
        <v>1278</v>
      </c>
      <c r="B12" s="3691">
        <v>15</v>
      </c>
      <c r="C12" s="3694"/>
      <c r="D12" s="3682"/>
      <c r="E12" s="131" t="s">
        <v>1279</v>
      </c>
      <c r="F12" s="1752"/>
      <c r="G12" s="1752"/>
      <c r="H12" s="1752"/>
      <c r="I12" s="1368"/>
    </row>
    <row r="13" spans="1:12" ht="12.75">
      <c r="A13" s="3636"/>
      <c r="B13" s="3691"/>
      <c r="C13" s="3695"/>
      <c r="D13" s="3682"/>
      <c r="E13" s="131" t="s">
        <v>1280</v>
      </c>
      <c r="F13" s="1752"/>
      <c r="G13" s="1752"/>
      <c r="H13" s="1752"/>
      <c r="I13" s="1368"/>
    </row>
    <row r="14" spans="1:12" ht="12.75">
      <c r="A14" s="3636" t="s">
        <v>1281</v>
      </c>
      <c r="B14" s="3691">
        <v>30</v>
      </c>
      <c r="C14" s="3694">
        <v>6</v>
      </c>
      <c r="D14" s="3682">
        <v>4</v>
      </c>
      <c r="E14" s="131" t="s">
        <v>1282</v>
      </c>
      <c r="F14" s="1752"/>
      <c r="G14" s="1752"/>
      <c r="H14" s="1752"/>
      <c r="I14" s="1368"/>
    </row>
    <row r="15" spans="1:12" ht="12.75">
      <c r="A15" s="3636"/>
      <c r="B15" s="3691"/>
      <c r="C15" s="3696"/>
      <c r="D15" s="3682"/>
      <c r="E15" s="131" t="s">
        <v>1283</v>
      </c>
      <c r="F15" s="1752"/>
      <c r="G15" s="1752"/>
      <c r="H15" s="1752"/>
      <c r="I15" s="1368"/>
    </row>
    <row r="16" spans="1:12" ht="12.75">
      <c r="A16" s="3636"/>
      <c r="B16" s="3691"/>
      <c r="C16" s="3695"/>
      <c r="D16" s="3682"/>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713" t="s">
        <v>2131</v>
      </c>
      <c r="F18" s="3714"/>
      <c r="G18" s="3714"/>
      <c r="H18" s="3714"/>
      <c r="I18" s="3714"/>
      <c r="K18" s="302" t="s">
        <v>1289</v>
      </c>
      <c r="L18" s="302">
        <f>IF(C1="",'数据-汇总表'!E3,SUMIF(项目类型,C1,'数据-汇总表'!E17:E26)+SUMIF(项目类型,C1,'数据-汇总表'!I17:I26))</f>
        <v>28830.28</v>
      </c>
      <c r="M18" s="302">
        <f>IF(C1="",'数据-汇总表'!E3,SUMIF(项目类型,C1,'数据-汇总表'!E17:E26))</f>
        <v>28830.28</v>
      </c>
    </row>
    <row r="19" spans="1:36" ht="15">
      <c r="A19" s="1756" t="s">
        <v>1290</v>
      </c>
      <c r="B19" s="1757" t="s">
        <v>1291</v>
      </c>
      <c r="C19" s="134">
        <f ca="1">SUMIF(INDIRECT("'"&amp;C4&amp;"'"&amp;"!A:A"),结果表!B19,INDIRECT("'"&amp;C4&amp;"'"&amp;"!B:B"))</f>
        <v>109373</v>
      </c>
      <c r="D19" s="135">
        <f ca="1">SUMIF(INDIRECT("'"&amp;D4&amp;"'"&amp;"!A:A"),结果表!B19,INDIRECT("'"&amp;D4&amp;"'"&amp;"!B:B"))</f>
        <v>51721</v>
      </c>
      <c r="E19" s="1756" t="s">
        <v>1292</v>
      </c>
      <c r="F19" s="1757" t="s">
        <v>1291</v>
      </c>
      <c r="G19" s="136">
        <f ca="1">ROUND(C19*$C$18+D19*$D$18,0)</f>
        <v>86312</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f ca="1">SUMIF(INDIRECT("'"&amp;C4&amp;"'"&amp;"!A:A"),结果表!B20,INDIRECT("'"&amp;C4&amp;"'"&amp;"!B:B"))</f>
        <v>37937</v>
      </c>
      <c r="D20" s="138">
        <f ca="1">SUMIF(INDIRECT("'"&amp;D4&amp;"'"&amp;"!A:A"),结果表!B20,INDIRECT("'"&amp;D4&amp;"'"&amp;"!B:B"))</f>
        <v>17940</v>
      </c>
      <c r="E20" s="1759"/>
      <c r="F20" s="1021" t="s">
        <v>1295</v>
      </c>
      <c r="G20" s="139">
        <f ca="1">ROUND(C20*$C$18+D20*$D$18,0)</f>
        <v>29938</v>
      </c>
      <c r="H20" s="803" t="s">
        <v>1296</v>
      </c>
      <c r="I20" s="129"/>
    </row>
    <row r="21" spans="1:36" ht="15" customHeight="1" thickBot="1">
      <c r="A21" s="823"/>
      <c r="B21" s="1760" t="s">
        <v>1297</v>
      </c>
      <c r="C21" s="719" t="e">
        <f ca="1">ROUND(C19*10000/L19,0)</f>
        <v>#DIV/0!</v>
      </c>
      <c r="D21" s="720" t="e">
        <f ca="1">ROUND(D19*10000/L19,0)</f>
        <v>#DIV/0!</v>
      </c>
      <c r="E21" s="823"/>
      <c r="F21" s="1760" t="s">
        <v>1297</v>
      </c>
      <c r="G21" s="140" t="e">
        <f ca="1">ROUND(G19*10000/L19,0)</f>
        <v>#DIV/0!</v>
      </c>
      <c r="H21" s="1761" t="s">
        <v>1296</v>
      </c>
      <c r="I21" s="129"/>
    </row>
    <row r="22" spans="1:36" ht="15" thickBot="1">
      <c r="A22" s="1683" t="s">
        <v>1298</v>
      </c>
      <c r="B22" s="1762"/>
      <c r="C22" s="1763"/>
      <c r="D22" s="721">
        <f ca="1">IF(C19&lt;D19,D19/C19-1,C19/D19-1)</f>
        <v>1.1146729568260474</v>
      </c>
      <c r="E22" s="129"/>
      <c r="F22" s="129"/>
      <c r="G22" s="129"/>
      <c r="H22" s="129"/>
      <c r="I22" s="129"/>
    </row>
    <row r="23" spans="1:36" ht="13.5" thickBot="1">
      <c r="A23" s="1742"/>
      <c r="B23" s="1742"/>
      <c r="C23" s="1742"/>
      <c r="D23" s="1742"/>
      <c r="E23" s="129"/>
      <c r="F23" s="129"/>
      <c r="G23" s="129"/>
      <c r="H23" s="129"/>
      <c r="I23" s="129"/>
    </row>
    <row r="24" spans="1:36" ht="14.25">
      <c r="A24" s="3706" t="s">
        <v>1299</v>
      </c>
      <c r="B24" s="1757" t="s">
        <v>1291</v>
      </c>
      <c r="C24" s="136">
        <f>IF(B30=0,0,D30)</f>
        <v>0</v>
      </c>
      <c r="D24" s="1764"/>
      <c r="E24" s="129"/>
      <c r="F24" s="129"/>
      <c r="G24" s="129"/>
      <c r="H24" s="129"/>
      <c r="I24" s="129"/>
      <c r="K24" s="725">
        <f ca="1">G19/'数据-汇总表'!F31</f>
        <v>5.2028435041915344</v>
      </c>
    </row>
    <row r="25" spans="1:36" ht="14.25">
      <c r="A25" s="3707"/>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86312</v>
      </c>
      <c r="D32" s="1770" t="s">
        <v>3450</v>
      </c>
      <c r="E32" s="129"/>
      <c r="F32" s="129"/>
      <c r="G32" s="129"/>
      <c r="H32" s="129"/>
      <c r="I32" s="129"/>
    </row>
    <row r="33" spans="1:15" ht="15">
      <c r="A33" s="781" t="s">
        <v>1306</v>
      </c>
      <c r="B33" s="1771"/>
      <c r="C33" s="1772" t="s">
        <v>3449</v>
      </c>
      <c r="D33" s="1773" t="s">
        <v>3435</v>
      </c>
      <c r="E33" s="1774" t="s">
        <v>1307</v>
      </c>
      <c r="F33" s="1775" t="str">
        <f>IF(D32="楼面单价","取值（单价）","取值（总价）")</f>
        <v>取值（总价）</v>
      </c>
      <c r="G33" s="129"/>
      <c r="H33" s="129"/>
      <c r="I33" s="129"/>
    </row>
    <row r="34" spans="1:15" ht="15">
      <c r="A34" s="1776"/>
      <c r="B34" s="1777" t="s">
        <v>1308</v>
      </c>
      <c r="C34" s="148">
        <f ca="1">IF(C33="自定义",F34,C32-C35)</f>
        <v>67841</v>
      </c>
      <c r="D34" s="856">
        <f ca="1">IF(C33="自定义",ROUND(C34/C32,3),IF(C33="收益比率",SUMIF(INDIRECT("'"&amp;D33&amp;"'"&amp;"!b:b"),"土地收益比率",INDIRECT("'"&amp;D33&amp;"'"&amp;"!c:c")),SUMIF(INDIRECT("'"&amp;D33&amp;"'"&amp;"!b:b"),"土地成本比率",INDIRECT("'"&amp;D33&amp;"'"&amp;"!c:c"))))</f>
        <v>0.78600000000000003</v>
      </c>
      <c r="E34" s="1778" t="s">
        <v>1309</v>
      </c>
      <c r="F34" s="1325"/>
      <c r="G34" s="129"/>
      <c r="H34" s="129"/>
      <c r="I34" s="129"/>
    </row>
    <row r="35" spans="1:15" ht="15.75" thickBot="1">
      <c r="A35" s="1779"/>
      <c r="B35" s="1780" t="s">
        <v>1310</v>
      </c>
      <c r="C35" s="1165">
        <f ca="1">IF(C33="自定义",F35,ROUND(C32*D35,0))</f>
        <v>18471</v>
      </c>
      <c r="D35" s="1166">
        <f ca="1">IF(C33="自定义",ROUND(C35/C32,3),IF(C33="收益比率",SUMIF(INDIRECT("'"&amp;D33&amp;"'"&amp;"!b:b"),"建筑物收益比率",INDIRECT("'"&amp;D33&amp;"'"&amp;"!c:c")),SUMIF(INDIRECT("'"&amp;D33&amp;"'"&amp;"!b:b"),"建筑物成本比率",INDIRECT("'"&amp;D33&amp;"'"&amp;"!c:c"))))</f>
        <v>0.214</v>
      </c>
      <c r="E35" s="1781" t="s">
        <v>1311</v>
      </c>
      <c r="F35" s="154"/>
      <c r="G35" s="129"/>
      <c r="H35" s="129"/>
      <c r="I35" s="129"/>
    </row>
    <row r="36" spans="1:15" ht="15.75" thickBot="1">
      <c r="A36" s="3683" t="s">
        <v>1312</v>
      </c>
      <c r="B36" s="1782" t="s">
        <v>1313</v>
      </c>
      <c r="C36" s="145"/>
      <c r="D36" s="1783"/>
      <c r="E36" s="1784"/>
      <c r="F36" s="1785"/>
      <c r="G36" s="129"/>
      <c r="H36" s="129"/>
      <c r="I36" s="129"/>
    </row>
    <row r="37" spans="1:15" ht="15.75" thickBot="1">
      <c r="A37" s="3684"/>
      <c r="B37" s="1669" t="s">
        <v>1314</v>
      </c>
      <c r="C37" s="147"/>
      <c r="D37" s="1134"/>
      <c r="E37" s="1134"/>
      <c r="F37" s="1785"/>
      <c r="G37" s="129"/>
      <c r="H37" s="129"/>
      <c r="I37" s="129"/>
    </row>
    <row r="38" spans="1:15" ht="15.75" thickBot="1">
      <c r="A38" s="3685"/>
      <c r="B38" s="1786" t="s">
        <v>1315</v>
      </c>
      <c r="C38" s="674"/>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03" t="s">
        <v>1326</v>
      </c>
      <c r="B45" s="3704"/>
      <c r="C45" s="3705"/>
      <c r="D45" s="155">
        <f ca="1">ROUND(H101*F45,0)</f>
        <v>86312</v>
      </c>
      <c r="E45" s="156" t="s">
        <v>1327</v>
      </c>
      <c r="F45" s="157">
        <v>1</v>
      </c>
      <c r="G45" s="158" t="s">
        <v>1328</v>
      </c>
      <c r="H45" s="129"/>
      <c r="I45" s="129"/>
      <c r="J45" s="3623" t="s">
        <v>1329</v>
      </c>
      <c r="K45" s="3623"/>
      <c r="L45" s="3623"/>
      <c r="M45" s="3623"/>
      <c r="N45" s="3623"/>
      <c r="O45" s="3623"/>
    </row>
    <row r="46" spans="1:15" ht="14.25" customHeight="1">
      <c r="A46" s="3700" t="s">
        <v>1330</v>
      </c>
      <c r="B46" s="3701"/>
      <c r="C46" s="3701"/>
      <c r="D46" s="3701"/>
      <c r="E46" s="3701"/>
      <c r="F46" s="3701"/>
      <c r="G46" s="3702"/>
      <c r="H46" s="1801"/>
      <c r="I46" s="159"/>
      <c r="J46" s="2518">
        <v>1</v>
      </c>
      <c r="K46" s="3624" t="s">
        <v>1331</v>
      </c>
      <c r="L46" s="3624"/>
      <c r="M46" s="3625"/>
      <c r="N46" s="3625"/>
      <c r="O46" s="3625"/>
    </row>
    <row r="47" spans="1:15" ht="12" customHeight="1">
      <c r="A47" s="160" t="s">
        <v>1332</v>
      </c>
      <c r="B47" s="161"/>
      <c r="C47" s="162"/>
      <c r="D47" s="1082" t="s">
        <v>1333</v>
      </c>
      <c r="E47" s="302" t="s">
        <v>1334</v>
      </c>
      <c r="F47" s="163" t="s">
        <v>1335</v>
      </c>
      <c r="G47" s="2541" t="s">
        <v>1336</v>
      </c>
      <c r="H47" s="2542"/>
      <c r="I47" s="159"/>
      <c r="J47" s="2518">
        <v>2</v>
      </c>
      <c r="K47" s="3624" t="s">
        <v>1337</v>
      </c>
      <c r="L47" s="3624"/>
      <c r="M47" s="3626">
        <f>'数据-取费表'!B2</f>
        <v>45485</v>
      </c>
      <c r="N47" s="3626"/>
      <c r="O47" s="3626"/>
    </row>
    <row r="48" spans="1:15" ht="25.5">
      <c r="A48" s="3686" t="s">
        <v>1338</v>
      </c>
      <c r="B48" s="3687"/>
      <c r="C48" s="3687"/>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624" t="s">
        <v>1340</v>
      </c>
      <c r="L48" s="3624"/>
      <c r="M48" s="3627">
        <f ca="1">H101</f>
        <v>86312</v>
      </c>
      <c r="N48" s="3627"/>
      <c r="O48" s="3627"/>
    </row>
    <row r="49" spans="1:35" ht="25.5" customHeight="1">
      <c r="A49" s="2328" t="s">
        <v>1341</v>
      </c>
      <c r="B49" s="3672" t="s">
        <v>1342</v>
      </c>
      <c r="C49" s="3672"/>
      <c r="D49" s="1585">
        <v>0</v>
      </c>
      <c r="E49" s="324" t="s">
        <v>1343</v>
      </c>
      <c r="F49" s="2419" t="s">
        <v>28</v>
      </c>
      <c r="G49" s="3655"/>
      <c r="H49" s="2305" t="s">
        <v>2134</v>
      </c>
      <c r="I49" s="2306"/>
      <c r="J49" s="2518">
        <v>4</v>
      </c>
      <c r="K49" s="3624" t="str">
        <f>IF(项目基本情况!E8="房地产抵押价值","房地产抵押价值","抵押担保权已注销时的房地产抵押价值")</f>
        <v>抵押担保权已注销时的房地产抵押价值</v>
      </c>
      <c r="L49" s="3624"/>
      <c r="M49" s="3627">
        <f ca="1">IF(项目基本情况!E8="房地产抵押价值",H107,H109)</f>
        <v>86312</v>
      </c>
      <c r="N49" s="3627"/>
      <c r="O49" s="3627"/>
    </row>
    <row r="50" spans="1:35" ht="25.5" customHeight="1">
      <c r="A50" s="2546"/>
      <c r="B50" s="3672" t="s">
        <v>1344</v>
      </c>
      <c r="C50" s="3672"/>
      <c r="D50" s="2547"/>
      <c r="E50" s="332"/>
      <c r="F50" s="2419"/>
      <c r="G50" s="3656"/>
      <c r="H50" s="2307" t="s">
        <v>2135</v>
      </c>
      <c r="I50" s="2306"/>
      <c r="J50" s="3623" t="s">
        <v>1345</v>
      </c>
      <c r="K50" s="3623"/>
      <c r="L50" s="3623"/>
      <c r="M50" s="3623"/>
      <c r="N50" s="3623"/>
      <c r="O50" s="3623"/>
    </row>
    <row r="51" spans="1:35" ht="20.45" customHeight="1">
      <c r="A51" s="2548"/>
      <c r="B51" s="3672" t="s">
        <v>1346</v>
      </c>
      <c r="C51" s="3672"/>
      <c r="D51" s="1082"/>
      <c r="E51" s="327"/>
      <c r="F51" s="2419"/>
      <c r="G51" s="3657"/>
      <c r="H51" s="2307" t="s">
        <v>2136</v>
      </c>
      <c r="I51" s="2306"/>
      <c r="J51" s="2519" t="s">
        <v>1347</v>
      </c>
      <c r="K51" s="3624" t="s">
        <v>1348</v>
      </c>
      <c r="L51" s="3624"/>
      <c r="M51" s="2519" t="s">
        <v>1349</v>
      </c>
      <c r="N51" s="2519" t="s">
        <v>1350</v>
      </c>
      <c r="O51" s="2519" t="s">
        <v>1351</v>
      </c>
    </row>
    <row r="52" spans="1:35" ht="24" customHeight="1">
      <c r="A52" s="2330" t="s">
        <v>1352</v>
      </c>
      <c r="B52" s="3672" t="s">
        <v>1353</v>
      </c>
      <c r="C52" s="3672"/>
      <c r="D52" s="1082">
        <f ca="1">ROUND(D45*'数据-取费表'!B41/(1+'数据-取费表'!C42),0)</f>
        <v>4603</v>
      </c>
      <c r="E52" s="2329" t="s">
        <v>1354</v>
      </c>
      <c r="F52" s="2549">
        <f>'数据-取费表'!B41</f>
        <v>5.6000000000000001E-2</v>
      </c>
      <c r="G52" s="2550"/>
      <c r="H52" s="2539"/>
      <c r="I52" s="1802"/>
      <c r="J52" s="2518">
        <v>1</v>
      </c>
      <c r="K52" s="3649" t="s">
        <v>1355</v>
      </c>
      <c r="L52" s="3649"/>
      <c r="M52" s="2520" t="b">
        <f>D48</f>
        <v>0</v>
      </c>
      <c r="N52" s="2518" t="str">
        <f>E48</f>
        <v>销售额×税（费）率</v>
      </c>
      <c r="O52" s="2521">
        <f>F48</f>
        <v>5.6000000000000001E-2</v>
      </c>
    </row>
    <row r="53" spans="1:35" ht="12" customHeight="1">
      <c r="A53" s="2330" t="s">
        <v>1356</v>
      </c>
      <c r="B53" s="3673" t="s">
        <v>2287</v>
      </c>
      <c r="C53" s="3674"/>
      <c r="D53" s="1082">
        <f ca="1">ROUND(D45*'数据-取费表'!B41/(1+'数据-取费表'!C42),0)</f>
        <v>4603</v>
      </c>
      <c r="E53" s="2329" t="s">
        <v>1354</v>
      </c>
      <c r="F53" s="2549">
        <f>'数据-取费表'!B41</f>
        <v>5.6000000000000001E-2</v>
      </c>
      <c r="G53" s="2550"/>
      <c r="H53" s="2539"/>
      <c r="I53" s="1802"/>
      <c r="J53" s="2518">
        <v>2</v>
      </c>
      <c r="K53" s="3649" t="s">
        <v>1357</v>
      </c>
      <c r="L53" s="3649"/>
      <c r="M53" s="2520">
        <f t="shared" ref="M53:O54" ca="1" si="0">D55</f>
        <v>43</v>
      </c>
      <c r="N53" s="2518" t="str">
        <f t="shared" si="0"/>
        <v>销售额×税（费）率</v>
      </c>
      <c r="O53" s="2521" t="str">
        <f t="shared" si="0"/>
        <v>免征</v>
      </c>
    </row>
    <row r="54" spans="1:35" ht="12" customHeight="1">
      <c r="A54" s="2330" t="s">
        <v>1358</v>
      </c>
      <c r="B54" s="3673" t="s">
        <v>2288</v>
      </c>
      <c r="C54" s="3674"/>
      <c r="D54" s="1082">
        <f ca="1">C68</f>
        <v>4603</v>
      </c>
      <c r="E54" s="327" t="s">
        <v>1359</v>
      </c>
      <c r="F54" s="2549">
        <f>'数据-取费表'!B41</f>
        <v>5.6000000000000001E-2</v>
      </c>
      <c r="G54" s="2550"/>
      <c r="H54" s="2551"/>
      <c r="I54" s="1802"/>
      <c r="J54" s="2518">
        <v>3</v>
      </c>
      <c r="K54" s="3649" t="s">
        <v>1360</v>
      </c>
      <c r="L54" s="3649"/>
      <c r="M54" s="2520">
        <f t="shared" ca="1" si="0"/>
        <v>48853</v>
      </c>
      <c r="N54" s="2518" t="str">
        <f t="shared" si="0"/>
        <v>增值额×税（费）率</v>
      </c>
      <c r="O54" s="2522" t="str">
        <f t="shared" si="0"/>
        <v>免征</v>
      </c>
    </row>
    <row r="55" spans="1:35" ht="24" customHeight="1">
      <c r="A55" s="3709" t="s">
        <v>1361</v>
      </c>
      <c r="B55" s="3687"/>
      <c r="C55" s="3687"/>
      <c r="D55" s="2319">
        <f ca="1">IF(H55="个人住宅",0,ROUND(D45*I55,0))</f>
        <v>43</v>
      </c>
      <c r="E55" s="2329" t="s">
        <v>1362</v>
      </c>
      <c r="F55" s="2549" t="str">
        <f>IF(H55="正常",I55,"免征")</f>
        <v>免征</v>
      </c>
      <c r="G55" s="2550"/>
      <c r="H55" s="2545"/>
      <c r="I55" s="165">
        <f>'数据-取费表'!B49</f>
        <v>5.0000000000000001E-4</v>
      </c>
      <c r="J55" s="2518">
        <f>IF(H59="非个人房产","",4)</f>
        <v>4</v>
      </c>
      <c r="K55" s="3649" t="str">
        <f>IF(H59="非个人房产","——","个人所得税")</f>
        <v>个人所得税</v>
      </c>
      <c r="L55" s="3649"/>
      <c r="M55" s="2523">
        <f ca="1">D59</f>
        <v>822</v>
      </c>
      <c r="N55" s="2035" t="str">
        <f>E59</f>
        <v>差额计税</v>
      </c>
      <c r="O55" s="2524">
        <f>F59</f>
        <v>0.01</v>
      </c>
    </row>
    <row r="56" spans="1:35" ht="24.75">
      <c r="A56" s="3709" t="s">
        <v>1363</v>
      </c>
      <c r="B56" s="3687"/>
      <c r="C56" s="3687"/>
      <c r="D56" s="2319">
        <f ca="1">IF(H56="个人住宅",D57,D58)</f>
        <v>48853</v>
      </c>
      <c r="E56" s="2329" t="s">
        <v>1364</v>
      </c>
      <c r="F56" s="2549" t="str">
        <f>IF(H56="正常",F58,"免征")</f>
        <v>免征</v>
      </c>
      <c r="G56" s="2552" t="s">
        <v>1365</v>
      </c>
      <c r="H56" s="2553"/>
      <c r="I56" s="1803"/>
      <c r="J56" s="2518" t="str">
        <f>IF(项目基本情况!K6="上海银行",IF(J55="",4,J55+1),"")</f>
        <v/>
      </c>
      <c r="K56" s="3630" t="str">
        <f>IF(项目基本情况!K6="上海银行","其他处置费用","")</f>
        <v/>
      </c>
      <c r="L56" s="3631"/>
      <c r="M56" s="2520" t="str">
        <f>IF(项目基本情况!K6="上海银行",M69,"")</f>
        <v/>
      </c>
      <c r="N56" s="3630" t="str">
        <f>IF(项目基本情况!K6="上海银行","包含处置中涉及的律师、诉讼、拍卖、评估等费用","")</f>
        <v/>
      </c>
      <c r="O56" s="3633"/>
    </row>
    <row r="57" spans="1:35" ht="12.75">
      <c r="A57" s="2330" t="s">
        <v>1341</v>
      </c>
      <c r="B57" s="3673" t="s">
        <v>1366</v>
      </c>
      <c r="C57" s="3674"/>
      <c r="D57" s="1585">
        <v>0</v>
      </c>
      <c r="E57" s="324" t="s">
        <v>1343</v>
      </c>
      <c r="F57" s="302"/>
      <c r="G57" s="2550"/>
      <c r="H57" s="2554"/>
      <c r="I57" s="1803"/>
      <c r="J57" s="3649">
        <f>IF(AND(J55="",J56=""),4,IF(项目基本情况!K6="上海银行",结果表!J56+1,结果表!J55+1))</f>
        <v>5</v>
      </c>
      <c r="K57" s="3649" t="s">
        <v>1367</v>
      </c>
      <c r="L57" s="2525" t="s">
        <v>1368</v>
      </c>
      <c r="M57" s="2526"/>
      <c r="N57" s="2527">
        <f ca="1">SUMIF(M52:M56,"&lt;9e307")</f>
        <v>49718</v>
      </c>
      <c r="O57" s="2528"/>
      <c r="P57" s="2684">
        <f ca="1">N57/M49</f>
        <v>0.57602650848086012</v>
      </c>
    </row>
    <row r="58" spans="1:35" ht="24.75">
      <c r="A58" s="2330" t="s">
        <v>1352</v>
      </c>
      <c r="B58" s="3673" t="s">
        <v>1369</v>
      </c>
      <c r="C58" s="3672"/>
      <c r="D58" s="2319">
        <f ca="1">IF(H58="转让取得",C81,C97)</f>
        <v>48853</v>
      </c>
      <c r="E58" s="2329" t="s">
        <v>1364</v>
      </c>
      <c r="F58" s="302" t="s">
        <v>28</v>
      </c>
      <c r="G58" s="2550"/>
      <c r="H58" s="2553"/>
      <c r="I58" s="1803"/>
      <c r="J58" s="3649"/>
      <c r="K58" s="3649"/>
      <c r="L58" s="2525" t="s">
        <v>1370</v>
      </c>
      <c r="M58" s="2529"/>
      <c r="N58" s="2530" t="str">
        <f ca="1">NUMBERSTRING(INT(N57*10000),2)&amp;"元整"</f>
        <v>肆亿玖仟柒佰壹拾捌万元整</v>
      </c>
      <c r="O58" s="2531"/>
    </row>
    <row r="59" spans="1:35" ht="24.75" thickBot="1">
      <c r="A59" s="3653" t="s">
        <v>1371</v>
      </c>
      <c r="B59" s="3654"/>
      <c r="C59" s="3654"/>
      <c r="D59" s="2555">
        <f ca="1">IF(H59="非个人房产","——",IF(H59="个人住宅（满五唯一有凭证）",0,IF(H59="个人其他（无凭证）",ROUND(D45*F59,0),ROUND(C67*F59,0))))</f>
        <v>822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651">
        <f>J57+1</f>
        <v>6</v>
      </c>
      <c r="K59" s="3649" t="s">
        <v>1372</v>
      </c>
      <c r="L59" s="2518" t="s">
        <v>1368</v>
      </c>
      <c r="M59" s="2532"/>
      <c r="N59" s="2533">
        <f ca="1">M49-N57</f>
        <v>36594</v>
      </c>
      <c r="O59" s="2534"/>
    </row>
    <row r="60" spans="1:35" ht="12" customHeight="1">
      <c r="A60" s="1804"/>
      <c r="B60" s="1742"/>
      <c r="C60" s="1742"/>
      <c r="D60" s="1742"/>
      <c r="E60" s="1573"/>
      <c r="F60" s="1803"/>
      <c r="G60" s="1803"/>
      <c r="H60" s="1805"/>
      <c r="I60" s="129"/>
      <c r="J60" s="3652"/>
      <c r="K60" s="3649"/>
      <c r="L60" s="2525" t="s">
        <v>1370</v>
      </c>
      <c r="M60" s="2529"/>
      <c r="N60" s="2530" t="str">
        <f ca="1">NUMBERSTRING(INT(N59*10000),2)&amp;"元整"</f>
        <v>叁亿陆仟伍佰玖拾肆万元整</v>
      </c>
      <c r="O60" s="2531"/>
    </row>
    <row r="61" spans="1:35" ht="13.5" thickBot="1">
      <c r="A61" s="3708" t="s">
        <v>1373</v>
      </c>
      <c r="B61" s="3708"/>
      <c r="C61" s="3708"/>
      <c r="D61" s="3708"/>
      <c r="E61" s="3708"/>
      <c r="F61" s="1803"/>
      <c r="G61" s="1803"/>
      <c r="H61" s="1805"/>
      <c r="I61" s="129"/>
      <c r="J61" s="2518">
        <f>J59+1</f>
        <v>7</v>
      </c>
      <c r="K61" s="3649" t="s">
        <v>1374</v>
      </c>
      <c r="L61" s="3649"/>
      <c r="M61" s="2535"/>
      <c r="N61" s="2536">
        <f ca="1">ROUND(N59*10000/'数据-汇总表'!E3,0)</f>
        <v>12693</v>
      </c>
      <c r="O61" s="2537"/>
    </row>
    <row r="62" spans="1:35" ht="12.75">
      <c r="A62" s="3668" t="s">
        <v>1375</v>
      </c>
      <c r="B62" s="3669"/>
      <c r="C62" s="2016"/>
      <c r="D62" s="2016" t="s">
        <v>1376</v>
      </c>
      <c r="E62" s="166" t="s">
        <v>1377</v>
      </c>
      <c r="F62" s="1803"/>
      <c r="G62" s="1803"/>
      <c r="H62" s="1805"/>
      <c r="I62" s="129"/>
    </row>
    <row r="63" spans="1:35" ht="12.75">
      <c r="A63" s="173" t="s">
        <v>330</v>
      </c>
      <c r="B63" s="167" t="s">
        <v>1378</v>
      </c>
      <c r="C63" s="2559">
        <f ca="1">ROUND((C64+C65)/(1+'数据-取费表'!C42),0)</f>
        <v>82202</v>
      </c>
      <c r="D63" s="167"/>
      <c r="E63" s="168"/>
      <c r="F63" s="1803"/>
      <c r="G63" s="1803"/>
      <c r="H63" s="1805"/>
      <c r="I63" s="129"/>
      <c r="J63" s="3632" t="s">
        <v>1379</v>
      </c>
      <c r="K63" s="1327" t="s">
        <v>1380</v>
      </c>
      <c r="L63" s="1327">
        <f ca="1">IF(M49&gt;10000,M49*0.5%,IF(AND(M49&gt;1000,M49&lt;=10000),M49*1%,IF(AND(M49&gt;100,M49&lt;=1000),M49*3%,IF(AND(M49&gt;10,M49&lt;=100),M49*5%,M49*8%))))</f>
        <v>431.56</v>
      </c>
      <c r="M63" s="302">
        <f ca="1">ROUND(L63,1)</f>
        <v>431.6</v>
      </c>
      <c r="N63" s="2538"/>
      <c r="Z63" s="1747"/>
      <c r="AI63" s="1748"/>
    </row>
    <row r="64" spans="1:35" ht="14.25" customHeight="1">
      <c r="A64" s="169" t="s">
        <v>325</v>
      </c>
      <c r="B64" s="170" t="s">
        <v>1381</v>
      </c>
      <c r="C64" s="2560">
        <f ca="1">D45</f>
        <v>86312</v>
      </c>
      <c r="D64" s="170" t="s">
        <v>26</v>
      </c>
      <c r="E64" s="172"/>
      <c r="F64" s="1803"/>
      <c r="G64" s="1803"/>
      <c r="H64" s="1805"/>
      <c r="I64" s="129"/>
      <c r="J64" s="3632"/>
      <c r="K64" s="1327" t="s">
        <v>1382</v>
      </c>
      <c r="L64" s="1327">
        <f ca="1">IF(M49&gt;2000,M49*0.5%,IF(AND(M49&gt;1000,M49&lt;=2000),M49*0.6%,IF(AND(M49&gt;500,M49&lt;=1000),M49*0.7%,IF(AND(M49&gt;200,M49&lt;=500),M49*0.8%,IF(AND(M49&gt;100,M49&lt;=200),M49*0.9%,IF(AND(M49&gt;50,M49&lt;=100),M49*1%,IF(AND(M49&gt;20,M49&lt;=50),M49*1.5%,IF(AND(M49&gt;10,M49&lt;=20),M49*2%,IF(AND(M49&gt;1,M49&lt;=10),M49*2.5%)))))))))</f>
        <v>431.56</v>
      </c>
      <c r="M64" s="302">
        <f t="shared" ref="M64:M65" ca="1" si="1">ROUND(L64,1)</f>
        <v>431.6</v>
      </c>
      <c r="N64" s="2539" t="s">
        <v>1383</v>
      </c>
      <c r="Z64" s="1747"/>
      <c r="AI64" s="1748"/>
    </row>
    <row r="65" spans="1:35" ht="14.25" customHeight="1">
      <c r="A65" s="169" t="s">
        <v>326</v>
      </c>
      <c r="B65" s="170" t="s">
        <v>1384</v>
      </c>
      <c r="C65" s="2561"/>
      <c r="D65" s="170"/>
      <c r="E65" s="172"/>
      <c r="F65" s="1803"/>
      <c r="G65" s="1803"/>
      <c r="H65" s="1805"/>
      <c r="I65" s="129"/>
      <c r="J65" s="3632"/>
      <c r="K65" s="1327" t="s">
        <v>1385</v>
      </c>
      <c r="L65" s="1327">
        <f ca="1">IF(M49&gt;1000,M49*0.1%,IF(AND(M49&gt;500,M49&lt;=1000),M49*0.5%,IF(AND(M49&gt;50,M49&lt;=500),M49*1%,IF(AND(M49&gt;1,M49&lt;=50),M49*1.5%))))</f>
        <v>86.311999999999998</v>
      </c>
      <c r="M65" s="302">
        <f t="shared" ca="1" si="1"/>
        <v>86.3</v>
      </c>
      <c r="N65" s="2539" t="s">
        <v>1383</v>
      </c>
      <c r="Z65" s="1747"/>
      <c r="AI65" s="1748"/>
    </row>
    <row r="66" spans="1:35" ht="14.25" customHeight="1">
      <c r="A66" s="173" t="s">
        <v>327</v>
      </c>
      <c r="B66" s="174" t="s">
        <v>1386</v>
      </c>
      <c r="C66" s="2562"/>
      <c r="D66" s="174" t="s">
        <v>26</v>
      </c>
      <c r="E66" s="1333" t="s">
        <v>671</v>
      </c>
      <c r="F66" s="1803"/>
      <c r="G66" s="1803"/>
      <c r="H66" s="1805"/>
      <c r="I66" s="129"/>
      <c r="J66" s="3632"/>
      <c r="K66" s="1327" t="s">
        <v>1387</v>
      </c>
      <c r="L66" s="1327">
        <f ca="1">M49*0.5%</f>
        <v>431.56</v>
      </c>
      <c r="M66" s="302">
        <f ca="1">IF(L66&gt;0.5,0.5,ROUND(L66,0))</f>
        <v>0.5</v>
      </c>
      <c r="N66" s="2539" t="s">
        <v>1388</v>
      </c>
      <c r="Z66" s="1747"/>
      <c r="AI66" s="1748"/>
    </row>
    <row r="67" spans="1:35" ht="14.25" customHeight="1">
      <c r="A67" s="173" t="s">
        <v>328</v>
      </c>
      <c r="B67" s="174" t="s">
        <v>1389</v>
      </c>
      <c r="C67" s="2563">
        <f ca="1">C63-C66</f>
        <v>82202</v>
      </c>
      <c r="D67" s="170" t="s">
        <v>26</v>
      </c>
      <c r="E67" s="172"/>
      <c r="F67" s="1803"/>
      <c r="G67" s="1803"/>
      <c r="H67" s="1805"/>
      <c r="I67" s="129"/>
      <c r="J67" s="3632"/>
      <c r="K67" s="1327" t="s">
        <v>1390</v>
      </c>
      <c r="L67" s="1327">
        <f ca="1">IF(M49&gt;=10000,(8.25+(M49-10000)*0.01%),IF(AND(M49&gt;=8000,M49&lt;10000),(7.85+(M49-8000)*0.02%),IF(AND(M49&gt;=5000,M49&lt;8000),(6.65+(M49-5000)*0.04%),IF(AND(M49&gt;=2000,M49&lt;5000),(4.25+(PM49-2000)*0.08%),IF(AND(M49&gt;=1000,M49&lt;2000),(2.75+(M49-1000)*0.15%),IF(AND(M49&gt;=100,M49&lt;1000),(0.5+(M49-100)*0.25%),IF(AND(M49&gt;0,M49&lt;100),M49*0.5%)))))))</f>
        <v>15.8812</v>
      </c>
      <c r="M67" s="302">
        <f ca="1">ROUND(L67*0.9,1)</f>
        <v>14.3</v>
      </c>
      <c r="N67" s="2538"/>
      <c r="Z67" s="1747"/>
      <c r="AI67" s="1748"/>
    </row>
    <row r="68" spans="1:35" ht="14.25" customHeight="1" thickBot="1">
      <c r="A68" s="176" t="s">
        <v>329</v>
      </c>
      <c r="B68" s="177" t="s">
        <v>1391</v>
      </c>
      <c r="C68" s="2564">
        <f ca="1">IF(C67&lt;=0,0,ROUND(C67*D68,0))</f>
        <v>4603</v>
      </c>
      <c r="D68" s="2565">
        <f>'数据-取费表'!B41</f>
        <v>5.6000000000000001E-2</v>
      </c>
      <c r="E68" s="178"/>
      <c r="F68" s="1803"/>
      <c r="G68" s="1803"/>
      <c r="H68" s="1805"/>
      <c r="I68" s="129"/>
      <c r="J68" s="3632"/>
      <c r="K68" s="1327" t="s">
        <v>1392</v>
      </c>
      <c r="L68" s="1327">
        <f ca="1">IF(M49&gt;10000,M49*0.5%,IF(AND(M49&gt;5000,M49&lt;=10000),M49*1%,IF(AND(M49&gt;1000,M49&lt;=5000),M49*2%,IF(AND(M49&gt;200,M49&lt;=1000),M49*3%,M49*5%))))</f>
        <v>431.56</v>
      </c>
      <c r="M68" s="302">
        <f ca="1">ROUND(L68,1)</f>
        <v>431.6</v>
      </c>
      <c r="N68" s="2538"/>
      <c r="Z68" s="1747"/>
      <c r="AI68" s="1748"/>
    </row>
    <row r="69" spans="1:35" s="1767" customFormat="1" ht="16.5" customHeight="1">
      <c r="A69" s="1806"/>
      <c r="B69" s="1807"/>
      <c r="C69" s="1808"/>
      <c r="D69" s="1809"/>
      <c r="E69" s="1810"/>
      <c r="F69" s="1573"/>
      <c r="G69" s="1573"/>
      <c r="H69" s="1572"/>
      <c r="I69" s="1742"/>
      <c r="J69" s="3632"/>
      <c r="K69" s="1327" t="s">
        <v>1393</v>
      </c>
      <c r="L69" s="1327"/>
      <c r="M69" s="302">
        <f ca="1">ROUND(SUM(M63:M68),0)</f>
        <v>1396</v>
      </c>
      <c r="N69" s="2540">
        <f ca="1">M69/M49</f>
        <v>1.6173880804523127E-2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76" t="s">
        <v>1394</v>
      </c>
      <c r="B70" s="3677"/>
      <c r="C70" s="3677"/>
      <c r="D70" s="3677"/>
      <c r="E70" s="3677"/>
      <c r="F70" s="3677"/>
      <c r="G70" s="3677"/>
      <c r="H70" s="3677"/>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68" t="s">
        <v>1375</v>
      </c>
      <c r="B71" s="3669"/>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82202</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493</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73" t="s">
        <v>1402</v>
      </c>
      <c r="F76" s="3672"/>
      <c r="G76" s="3672"/>
      <c r="H76" s="367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493</v>
      </c>
      <c r="D78" s="2572">
        <f>'数据-取费表'!B43</f>
        <v>6.000000000000001E-3</v>
      </c>
      <c r="E78" s="3665" t="s">
        <v>1406</v>
      </c>
      <c r="F78" s="3666"/>
      <c r="G78" s="3666"/>
      <c r="H78" s="366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81709</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165.73833671399595</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48853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76" t="s">
        <v>1410</v>
      </c>
      <c r="B83" s="3677"/>
      <c r="C83" s="3677"/>
      <c r="D83" s="3677"/>
      <c r="E83" s="3677"/>
      <c r="F83" s="3677"/>
      <c r="G83" s="3677"/>
      <c r="H83" s="367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68" t="s">
        <v>1375</v>
      </c>
      <c r="B84" s="3669"/>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82202</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493</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34" t="s">
        <v>2129</v>
      </c>
      <c r="H90" s="3635"/>
      <c r="I90" s="1816"/>
      <c r="J90" s="2516" t="s">
        <v>2285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665" t="s">
        <v>1419</v>
      </c>
      <c r="F91" s="3666"/>
      <c r="G91" s="366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665" t="s">
        <v>1422</v>
      </c>
      <c r="F92" s="3666"/>
      <c r="G92" s="3666"/>
      <c r="H92" s="3667"/>
      <c r="I92" s="1816"/>
      <c r="J92" s="2517" t="s">
        <v>2286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493</v>
      </c>
      <c r="D93" s="2572">
        <f>'数据-取费表'!B43</f>
        <v>6.000000000000001E-3</v>
      </c>
      <c r="E93" s="3665" t="s">
        <v>1406</v>
      </c>
      <c r="F93" s="3666"/>
      <c r="G93" s="3666"/>
      <c r="H93" s="366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710" t="s">
        <v>1426</v>
      </c>
      <c r="F94" s="3711"/>
      <c r="G94" s="3711"/>
      <c r="H94" s="371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81709</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165.73833671399595</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48853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15" t="s">
        <v>1428</v>
      </c>
      <c r="B100" s="3616"/>
      <c r="C100" s="3616"/>
      <c r="D100" s="3650"/>
      <c r="E100" s="3616" t="s">
        <v>1429</v>
      </c>
      <c r="F100" s="3616"/>
      <c r="G100" s="3616"/>
      <c r="H100" s="3650"/>
      <c r="I100" s="129"/>
    </row>
    <row r="101" spans="1:35" ht="18.75" customHeight="1">
      <c r="A101" s="3658" t="s">
        <v>1430</v>
      </c>
      <c r="B101" s="3659"/>
      <c r="C101" s="2580" t="str">
        <f>C4</f>
        <v>成本法</v>
      </c>
      <c r="D101" s="2581" t="str">
        <f>D4</f>
        <v>收益法（汇总）</v>
      </c>
      <c r="E101" s="3628" t="s">
        <v>1431</v>
      </c>
      <c r="F101" s="3629"/>
      <c r="G101" s="1822" t="s">
        <v>1432</v>
      </c>
      <c r="H101" s="2590">
        <f ca="1">H118</f>
        <v>86312</v>
      </c>
      <c r="I101" s="129"/>
    </row>
    <row r="102" spans="1:35" ht="18.75" customHeight="1">
      <c r="A102" s="3660" t="s">
        <v>1433</v>
      </c>
      <c r="B102" s="2579" t="s">
        <v>1432</v>
      </c>
      <c r="C102" s="2580">
        <f ca="1">IF(D32="楼面单价",ROUND(C19,0),C19)</f>
        <v>109373</v>
      </c>
      <c r="D102" s="2581">
        <f ca="1">IF(D32="楼面单价",ROUND(D19,0),D19)</f>
        <v>51721</v>
      </c>
      <c r="E102" s="3628"/>
      <c r="F102" s="3629"/>
      <c r="G102" s="1822" t="s">
        <v>1434</v>
      </c>
      <c r="H102" s="2550">
        <f ca="1">I118</f>
        <v>29938</v>
      </c>
      <c r="I102" s="129"/>
    </row>
    <row r="103" spans="1:35" ht="42.75" customHeight="1">
      <c r="A103" s="3660"/>
      <c r="B103" s="2579" t="s">
        <v>1434</v>
      </c>
      <c r="C103" s="2582">
        <f ca="1">C20</f>
        <v>37937</v>
      </c>
      <c r="D103" s="2583">
        <f ca="1">D20</f>
        <v>17940</v>
      </c>
      <c r="E103" s="3621" t="s">
        <v>1435</v>
      </c>
      <c r="F103" s="3622"/>
      <c r="G103" s="1823" t="s">
        <v>1436</v>
      </c>
      <c r="H103" s="2590">
        <f>IF(D36="正常操作",H104+H105+H106,H105+H106)</f>
        <v>0</v>
      </c>
      <c r="I103" s="129"/>
    </row>
    <row r="104" spans="1:35" ht="18.75" customHeight="1">
      <c r="A104" s="3660" t="s">
        <v>1437</v>
      </c>
      <c r="B104" s="2584" t="s">
        <v>1432</v>
      </c>
      <c r="C104" s="2585">
        <f ca="1">H118</f>
        <v>86312</v>
      </c>
      <c r="D104" s="2586"/>
      <c r="E104" s="1669" t="s">
        <v>1438</v>
      </c>
      <c r="F104" s="1661"/>
      <c r="G104" s="1823" t="s">
        <v>1436</v>
      </c>
      <c r="H104" s="2591">
        <f>IF(D36="同一抵押权人同一抵押物续贷",C36&amp;"（续贷，未扣减，详见特别提示）",C36)</f>
        <v>0</v>
      </c>
      <c r="I104" s="129"/>
    </row>
    <row r="105" spans="1:35" ht="18.75" customHeight="1" thickBot="1">
      <c r="A105" s="3670"/>
      <c r="B105" s="2587" t="s">
        <v>1434</v>
      </c>
      <c r="C105" s="2588">
        <f ca="1">I118</f>
        <v>29938</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61" t="str">
        <f>IF(项目基本情况!E8="已注销","——","3.房地产抵押价值")</f>
        <v>——</v>
      </c>
      <c r="F107" s="3629"/>
      <c r="G107" s="1822" t="s">
        <v>1432</v>
      </c>
      <c r="H107" s="2590" t="str">
        <f>IF(E107="——","——",H101-H103)</f>
        <v>——</v>
      </c>
      <c r="I107" s="129"/>
    </row>
    <row r="108" spans="1:35" ht="18.75" customHeight="1">
      <c r="A108" s="129"/>
      <c r="B108" s="129"/>
      <c r="C108" s="129"/>
      <c r="D108" s="129"/>
      <c r="E108" s="3661"/>
      <c r="F108" s="3629"/>
      <c r="G108" s="1822" t="s">
        <v>1434</v>
      </c>
      <c r="H108" s="2550" t="e">
        <f ca="1">IF(H107=H101,H102,ROUND(H107*10000/'数据-汇总表'!E3,0))</f>
        <v>#VALUE!</v>
      </c>
      <c r="I108" s="129"/>
    </row>
    <row r="109" spans="1:35" ht="18.75" customHeight="1">
      <c r="A109" s="129"/>
      <c r="B109" s="129"/>
      <c r="C109" s="129"/>
      <c r="D109" s="129"/>
      <c r="E109" s="3661" t="str">
        <f>IF(项目基本情况!E8="已注销及未注销","4.抵押担保权已注销时的房地产抵押价值",IF(项目基本情况!E8="已注销","3.抵押担保权已注销时的房地产抵押价值","——"))</f>
        <v>3.抵押担保权已注销时的房地产抵押价值</v>
      </c>
      <c r="F109" s="3629"/>
      <c r="G109" s="1822" t="s">
        <v>1432</v>
      </c>
      <c r="H109" s="2593">
        <f ca="1">IF(E109="——","——",H101-H105-H106)</f>
        <v>86312</v>
      </c>
      <c r="I109" s="129"/>
    </row>
    <row r="110" spans="1:35" ht="18.75" customHeight="1">
      <c r="A110" s="129"/>
      <c r="B110" s="129"/>
      <c r="C110" s="129"/>
      <c r="D110" s="129"/>
      <c r="E110" s="3661"/>
      <c r="F110" s="3629"/>
      <c r="G110" s="1822" t="s">
        <v>1434</v>
      </c>
      <c r="H110" s="2550">
        <f ca="1">IF(H109="——","——",ROUND(H109*10000/'数据-汇总表'!E3,0))</f>
        <v>29938</v>
      </c>
      <c r="I110" s="129"/>
    </row>
    <row r="111" spans="1:35" ht="18.75" customHeight="1">
      <c r="A111" s="129"/>
      <c r="B111" s="129"/>
      <c r="C111" s="129"/>
      <c r="D111" s="129"/>
      <c r="E111" s="3662" t="str">
        <f>IF(项目基本情况!E9="抵押净值",IF(OR(项目基本情况!E8="已注销",项目基本情况!E8="房地产抵押价值"),"4.抵押净值","5.抵押净值"),"——")</f>
        <v>——</v>
      </c>
      <c r="F111" s="3648"/>
      <c r="G111" s="1822" t="s">
        <v>1432</v>
      </c>
      <c r="H111" s="2590" t="str">
        <f>IF(E111="——","——",N59)</f>
        <v>——</v>
      </c>
      <c r="I111" s="129"/>
    </row>
    <row r="112" spans="1:35" ht="18.75" customHeight="1" thickBot="1">
      <c r="A112" s="129"/>
      <c r="B112" s="129"/>
      <c r="C112" s="129"/>
      <c r="D112" s="129"/>
      <c r="E112" s="3663"/>
      <c r="F112" s="3664"/>
      <c r="G112" s="1825" t="s">
        <v>1434</v>
      </c>
      <c r="H112" s="2594" t="str">
        <f>IF(E111="——","——",N61)</f>
        <v>——</v>
      </c>
      <c r="I112" s="129"/>
    </row>
    <row r="113" spans="1:27" ht="18.75" customHeight="1">
      <c r="A113" s="129"/>
      <c r="B113" s="129"/>
      <c r="C113" s="129"/>
      <c r="D113" s="129"/>
      <c r="E113" s="3671" t="s">
        <v>1440</v>
      </c>
      <c r="F113" s="3671"/>
      <c r="G113" s="3671"/>
      <c r="H113" s="3671"/>
      <c r="I113" s="129"/>
    </row>
    <row r="114" spans="1:27" ht="3.75" customHeight="1">
      <c r="A114" s="1742"/>
      <c r="B114" s="1742"/>
      <c r="C114" s="1742"/>
      <c r="D114" s="1742"/>
      <c r="E114" s="1804"/>
      <c r="F114" s="1804"/>
      <c r="G114" s="1804"/>
      <c r="H114" s="1804"/>
      <c r="I114" s="1742"/>
    </row>
    <row r="115" spans="1:27" ht="18.75" customHeight="1">
      <c r="A115" s="3679" t="s">
        <v>1442</v>
      </c>
      <c r="B115" s="3680"/>
      <c r="C115" s="3680"/>
      <c r="D115" s="3680"/>
      <c r="E115" s="3680"/>
      <c r="F115" s="3680"/>
      <c r="G115" s="3680"/>
      <c r="H115" s="3680"/>
      <c r="I115" s="3681"/>
    </row>
    <row r="116" spans="1:27" ht="27" customHeight="1">
      <c r="A116" s="3636" t="s">
        <v>1443</v>
      </c>
      <c r="B116" s="3640" t="s">
        <v>1444</v>
      </c>
      <c r="C116" s="3640" t="s">
        <v>1445</v>
      </c>
      <c r="D116" s="3646" t="s">
        <v>1446</v>
      </c>
      <c r="E116" s="3647"/>
      <c r="F116" s="3678" t="s">
        <v>1447</v>
      </c>
      <c r="G116" s="3678"/>
      <c r="H116" s="3636" t="s">
        <v>1448</v>
      </c>
      <c r="I116" s="3636"/>
    </row>
    <row r="117" spans="1:27" ht="18.75" customHeight="1">
      <c r="A117" s="3636"/>
      <c r="B117" s="3641"/>
      <c r="C117" s="3641"/>
      <c r="D117" s="2324" t="s">
        <v>1449</v>
      </c>
      <c r="E117" s="2324" t="s">
        <v>1450</v>
      </c>
      <c r="F117" s="2324" t="s">
        <v>1449</v>
      </c>
      <c r="G117" s="2324" t="s">
        <v>1451</v>
      </c>
      <c r="H117" s="2324" t="s">
        <v>1449</v>
      </c>
      <c r="I117" s="2324" t="s">
        <v>1451</v>
      </c>
    </row>
    <row r="118" spans="1:27" ht="24.75" customHeight="1">
      <c r="A118" s="2595" t="str">
        <f>项目基本情况!S2</f>
        <v>房地产</v>
      </c>
      <c r="B118" s="2324">
        <f>M18</f>
        <v>28830.28</v>
      </c>
      <c r="C118" s="2324">
        <f>M19</f>
        <v>0</v>
      </c>
      <c r="D118" s="2324">
        <f ca="1">ROUND(IF(D32="总价",C34,E118*B118/10000),0)</f>
        <v>67841</v>
      </c>
      <c r="E118" s="2324">
        <f ca="1">ROUND(IF(C33="自定义",IF(D32="楼面单价",C34,D118*10000/B118),I118-G118),0)</f>
        <v>23531</v>
      </c>
      <c r="F118" s="2324">
        <f ca="1">ROUND(IF(D32="总价",C35,G118*B118/10000),0)</f>
        <v>18471</v>
      </c>
      <c r="G118" s="2324">
        <f ca="1">ROUND(IF(D32="楼面单价",C35,F118*10000/B118),0)</f>
        <v>6407</v>
      </c>
      <c r="H118" s="2324">
        <f ca="1">ROUND(IF(D32="总价",C32,I118*B118/10000),0)</f>
        <v>86312</v>
      </c>
      <c r="I118" s="2324">
        <f ca="1">ROUND(IF(D32="楼面单价",C32,H118*10000/B118),0)</f>
        <v>29938</v>
      </c>
    </row>
    <row r="119" spans="1:27" ht="18.75" customHeight="1">
      <c r="A119" s="3636" t="s">
        <v>1452</v>
      </c>
      <c r="B119" s="3636"/>
      <c r="C119" s="3636"/>
      <c r="D119" s="3642" t="str">
        <f ca="1">NUMBERSTRING(INT(D118*10000),2)&amp;"元整"</f>
        <v>陆亿柒仟捌佰肆拾壹万元整</v>
      </c>
      <c r="E119" s="3643"/>
      <c r="F119" s="3642" t="str">
        <f ca="1">NUMBERSTRING(INT(F118*10000),2)&amp;"元整"</f>
        <v>壹亿捌仟肆佰柒拾壹万元整</v>
      </c>
      <c r="G119" s="3643"/>
      <c r="H119" s="3642" t="str">
        <f ca="1">NUMBERSTRING(INT(H118*10000),2)&amp;"元整"</f>
        <v>捌亿陆仟叁佰壹拾贰万元整</v>
      </c>
      <c r="I119" s="3643"/>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42" t="s">
        <v>1452</v>
      </c>
      <c r="B121" s="3644"/>
      <c r="C121" s="3643"/>
      <c r="D121" s="3642" t="str">
        <f>IF(D120=0,"零元整",NUMBERSTRING(INT(D120*10000),2)&amp;"元整")</f>
        <v>零元整</v>
      </c>
      <c r="E121" s="3644"/>
      <c r="F121" s="3644"/>
      <c r="G121" s="3644"/>
      <c r="H121" s="3644"/>
      <c r="I121" s="3643"/>
      <c r="AA121" s="725"/>
    </row>
    <row r="122" spans="1:27" ht="18.75" customHeight="1">
      <c r="A122" s="3648" t="str">
        <f>IF(项目基本情况!B9="房地产市场价值","",MID(E107,3,LEN(E107)-2))</f>
        <v/>
      </c>
      <c r="B122" s="3648"/>
      <c r="C122" s="3648"/>
      <c r="D122" s="3637" t="str">
        <f>H107</f>
        <v>——</v>
      </c>
      <c r="E122" s="3638"/>
      <c r="F122" s="3638"/>
      <c r="G122" s="3638"/>
      <c r="H122" s="3638"/>
      <c r="I122" s="3639"/>
      <c r="AA122" s="725"/>
    </row>
    <row r="123" spans="1:27" ht="18.75" customHeight="1">
      <c r="A123" s="3636" t="s">
        <v>1452</v>
      </c>
      <c r="B123" s="3636"/>
      <c r="C123" s="3636"/>
      <c r="D123" s="3642" t="e">
        <f>NUMBERSTRING(INT(D122*10000),2)&amp;"元整"</f>
        <v>#VALUE!</v>
      </c>
      <c r="E123" s="3644"/>
      <c r="F123" s="3644"/>
      <c r="G123" s="3644"/>
      <c r="H123" s="3644"/>
      <c r="I123" s="3643"/>
      <c r="AA123" s="725"/>
    </row>
    <row r="124" spans="1:27" ht="18.75" customHeight="1">
      <c r="A124" s="3648" t="str">
        <f>IF(项目基本情况!B9="房地产市场价值","",MID(E109,3,LEN(E109)-2))</f>
        <v>抵押担保权已注销时的房地产抵押价值</v>
      </c>
      <c r="B124" s="3648"/>
      <c r="C124" s="3648"/>
      <c r="D124" s="3637">
        <f ca="1">H109</f>
        <v>86312</v>
      </c>
      <c r="E124" s="3638"/>
      <c r="F124" s="3638"/>
      <c r="G124" s="3638"/>
      <c r="H124" s="3638"/>
      <c r="I124" s="3639"/>
      <c r="AA124" s="725"/>
    </row>
    <row r="125" spans="1:27" ht="18.75" customHeight="1">
      <c r="A125" s="3636" t="s">
        <v>1452</v>
      </c>
      <c r="B125" s="3636"/>
      <c r="C125" s="3636"/>
      <c r="D125" s="3642" t="str">
        <f ca="1">NUMBERSTRING(INT(D124*10000),2)&amp;"元整"</f>
        <v>捌亿陆仟叁佰壹拾贰万元整</v>
      </c>
      <c r="E125" s="3644"/>
      <c r="F125" s="3644"/>
      <c r="G125" s="3644"/>
      <c r="H125" s="3644"/>
      <c r="I125" s="3643"/>
      <c r="AA125" s="725"/>
    </row>
    <row r="126" spans="1:27" ht="18.75" customHeight="1">
      <c r="A126" s="3648" t="str">
        <f>IF(项目基本情况!B9="房地产市场价值","",MID(E111,3,LEN(E111)-2))</f>
        <v/>
      </c>
      <c r="B126" s="3648"/>
      <c r="C126" s="3648"/>
      <c r="D126" s="3637" t="str">
        <f>H111</f>
        <v>——</v>
      </c>
      <c r="E126" s="3638"/>
      <c r="F126" s="3638"/>
      <c r="G126" s="3638"/>
      <c r="H126" s="3638"/>
      <c r="I126" s="3639"/>
      <c r="AA126" s="725"/>
    </row>
    <row r="127" spans="1:27" ht="18.75" customHeight="1">
      <c r="A127" s="3636" t="s">
        <v>1452</v>
      </c>
      <c r="B127" s="3636"/>
      <c r="C127" s="3636"/>
      <c r="D127" s="3642" t="e">
        <f>NUMBERSTRING(INT(D126*10000),2)&amp;"元整"</f>
        <v>#VALUE!</v>
      </c>
      <c r="E127" s="3644"/>
      <c r="F127" s="3644"/>
      <c r="G127" s="3644"/>
      <c r="H127" s="3644"/>
      <c r="I127" s="3643"/>
      <c r="AA127" s="725"/>
    </row>
    <row r="128" spans="1:27" ht="21.75" customHeight="1">
      <c r="A128" s="3645" t="s">
        <v>1453</v>
      </c>
      <c r="B128" s="3645"/>
      <c r="C128" s="3645"/>
      <c r="D128" s="3645"/>
      <c r="E128" s="3645"/>
      <c r="F128" s="3645"/>
      <c r="G128" s="3645"/>
      <c r="H128" s="3645"/>
      <c r="I128" s="3645"/>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E37" activeCellId="1" sqref="V5:V16 E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12240.89</v>
      </c>
      <c r="E1" s="1990"/>
      <c r="F1" s="1990"/>
      <c r="G1" s="1990"/>
      <c r="H1" s="1990"/>
      <c r="I1" s="1990"/>
      <c r="J1" s="1990"/>
      <c r="K1" s="1114"/>
      <c r="L1" s="1991" t="s">
        <v>1928</v>
      </c>
      <c r="M1" s="858">
        <f>SUMPRODUCT((区片价!B5:B9=I2)*(区片价!C3:G3=E2)*(区片价!C5:G9))</f>
        <v>32630</v>
      </c>
      <c r="N1" s="861">
        <f>SUMPRODUCT((因素修正幅度!B5:B9=I2)*(因素修正幅度!C3:G3=E2)*(因素修正幅度!C5:G9))</f>
        <v>8.1000000000000003E-2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57342</v>
      </c>
      <c r="C2" s="1994" t="s">
        <v>1935</v>
      </c>
      <c r="D2" s="1995" t="s">
        <v>1936</v>
      </c>
      <c r="E2" s="3416"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f t="shared" ref="T2:T16" si="0">ROUND($C$5*$C$22*$C$23*$C$24*S2*$C$28,0)</f>
        <v>37296</v>
      </c>
      <c r="U2" s="3490"/>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46845</v>
      </c>
      <c r="C3" s="1994" t="s">
        <v>1941</v>
      </c>
      <c r="D3" s="1995" t="s">
        <v>1942</v>
      </c>
      <c r="E3" s="3414" t="s">
        <v>2439</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29609</v>
      </c>
      <c r="U3" s="3490"/>
      <c r="V3" s="3355">
        <f t="shared" ref="V3:V16" si="1">ROUND(T3*U3/10000,0)</f>
        <v>0</v>
      </c>
      <c r="W3" s="1211"/>
      <c r="X3" s="1211"/>
      <c r="Y3" s="1211"/>
      <c r="Z3" s="1211"/>
      <c r="AA3" s="1211"/>
      <c r="AB3" s="1211"/>
      <c r="AC3" s="1212"/>
      <c r="AD3" s="1213"/>
      <c r="AE3" s="1213"/>
      <c r="AF3" s="1213"/>
      <c r="AG3" s="1213"/>
      <c r="AH3" s="1213"/>
      <c r="AI3" s="1213"/>
      <c r="AJ3" s="1214"/>
    </row>
    <row r="4" spans="1:36" ht="15.75">
      <c r="A4" s="3722"/>
      <c r="B4" s="3723"/>
      <c r="C4" s="3723"/>
      <c r="D4" s="3724"/>
      <c r="E4" s="3724"/>
      <c r="F4" s="3724"/>
      <c r="G4" s="3724"/>
      <c r="H4" s="3724"/>
      <c r="I4" s="3724"/>
      <c r="J4" s="372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25584</v>
      </c>
      <c r="U4" s="3490"/>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32630</v>
      </c>
      <c r="D5" s="1334">
        <f>ROUND(C6*C17+C20,0)</f>
        <v>32630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23151</v>
      </c>
      <c r="U5" s="3490">
        <f>面积清单!D3</f>
        <v>855.41</v>
      </c>
      <c r="V5" s="3355">
        <f t="shared" si="1"/>
        <v>1980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32630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22065</v>
      </c>
      <c r="U6" s="3490">
        <f>面积清单!D4</f>
        <v>1921.83</v>
      </c>
      <c r="V6" s="3355">
        <f t="shared" si="1"/>
        <v>4241</v>
      </c>
      <c r="W6" s="1211"/>
      <c r="X6" s="1211"/>
      <c r="Y6" s="1211"/>
      <c r="Z6" s="1211"/>
      <c r="AA6" s="1211"/>
      <c r="AB6" s="1211"/>
      <c r="AC6" s="2006"/>
      <c r="AD6" s="2007"/>
      <c r="AE6" s="2007"/>
      <c r="AF6" s="2007"/>
      <c r="AG6" s="2007"/>
      <c r="AH6" s="2007"/>
      <c r="AI6" s="2007"/>
      <c r="AJ6" s="2008"/>
    </row>
    <row r="7" spans="1:36" ht="24.75" thickBot="1">
      <c r="A7" s="3298" t="s">
        <v>3237</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v>0.89219999999999999</v>
      </c>
      <c r="T7" s="3355">
        <f t="shared" si="0"/>
        <v>21883</v>
      </c>
      <c r="U7" s="3490">
        <f>面积清单!D5</f>
        <v>1921.83</v>
      </c>
      <c r="V7" s="3355">
        <f t="shared" si="1"/>
        <v>4206</v>
      </c>
      <c r="W7" s="1353"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v>0.89149999999999996</v>
      </c>
      <c r="T8" s="3355">
        <f t="shared" si="0"/>
        <v>21866</v>
      </c>
      <c r="U8" s="3490">
        <f>面积清单!D6</f>
        <v>1921.83</v>
      </c>
      <c r="V8" s="3355">
        <f t="shared" si="1"/>
        <v>4202</v>
      </c>
      <c r="W8" s="3719" t="s">
        <v>1960</v>
      </c>
      <c r="X8" s="372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v>0.89059999999999995</v>
      </c>
      <c r="T9" s="3355">
        <f t="shared" si="0"/>
        <v>21844</v>
      </c>
      <c r="U9" s="3490">
        <f>面积清单!D7</f>
        <v>1690.49</v>
      </c>
      <c r="V9" s="3355">
        <f t="shared" si="1"/>
        <v>3693</v>
      </c>
      <c r="W9" s="3721"/>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v>0.88970000000000005</v>
      </c>
      <c r="T10" s="3355">
        <f t="shared" si="0"/>
        <v>21822</v>
      </c>
      <c r="U10" s="3490">
        <f>面积清单!D8</f>
        <v>1690.49</v>
      </c>
      <c r="V10" s="3355">
        <f t="shared" si="1"/>
        <v>3689</v>
      </c>
      <c r="W10" s="372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v>0.88859999999999995</v>
      </c>
      <c r="T11" s="3355">
        <f t="shared" si="0"/>
        <v>21795</v>
      </c>
      <c r="U11" s="3490">
        <f>面积清单!D9</f>
        <v>1690.49</v>
      </c>
      <c r="V11" s="3355">
        <f t="shared" si="1"/>
        <v>3684</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v>0.88739999999999997</v>
      </c>
      <c r="T12" s="3355">
        <f t="shared" si="0"/>
        <v>21765</v>
      </c>
      <c r="U12" s="3490">
        <f>面积清单!D10</f>
        <v>1183.3399999999999</v>
      </c>
      <c r="V12" s="3355">
        <f t="shared" si="1"/>
        <v>2576</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v>0.8861</v>
      </c>
      <c r="T13" s="3355">
        <f t="shared" si="0"/>
        <v>21734</v>
      </c>
      <c r="U13" s="3490">
        <f>面积清单!D11</f>
        <v>1183.3399999999999</v>
      </c>
      <c r="V13" s="3355">
        <f t="shared" si="1"/>
        <v>2572</v>
      </c>
      <c r="W13" s="1211"/>
      <c r="X13" s="1211"/>
      <c r="Y13" s="1211"/>
      <c r="Z13" s="1211"/>
      <c r="AA13" s="1211"/>
      <c r="AB13" s="1211"/>
      <c r="AC13" s="1212"/>
      <c r="AD13" s="2783"/>
      <c r="AE13" s="2783"/>
      <c r="AF13" s="2783"/>
      <c r="AG13" s="2783"/>
      <c r="AH13" s="2783"/>
      <c r="AI13" s="2783"/>
      <c r="AJ13" s="2784"/>
    </row>
    <row r="14" spans="1:36" ht="15">
      <c r="A14" s="3292"/>
      <c r="B14" s="2035"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v>0.88470000000000004</v>
      </c>
      <c r="T14" s="3355">
        <f t="shared" si="0"/>
        <v>21699</v>
      </c>
      <c r="U14" s="3490">
        <f>面积清单!D12</f>
        <v>1183.3399999999999</v>
      </c>
      <c r="V14" s="3355">
        <f t="shared" si="1"/>
        <v>2568</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3244</v>
      </c>
      <c r="G15" s="3308"/>
      <c r="H15" s="3309"/>
      <c r="I15" s="3310"/>
      <c r="J15" s="3311"/>
      <c r="K15" s="1114"/>
      <c r="L15" s="1114"/>
      <c r="M15" s="1114"/>
      <c r="N15" s="1114"/>
      <c r="O15" s="1114"/>
      <c r="P15" s="1114"/>
      <c r="Q15" s="1114"/>
      <c r="R15" s="1207">
        <v>14</v>
      </c>
      <c r="S15" s="1208">
        <v>0.8831</v>
      </c>
      <c r="T15" s="3355">
        <f t="shared" si="0"/>
        <v>21660</v>
      </c>
      <c r="U15" s="3490">
        <f>面积清单!D13</f>
        <v>673.5</v>
      </c>
      <c r="V15" s="3355">
        <f t="shared" si="1"/>
        <v>1459</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v>0.88149999999999995</v>
      </c>
      <c r="T16" s="3355">
        <f t="shared" si="0"/>
        <v>21621</v>
      </c>
      <c r="U16" s="3490">
        <f>面积清单!D14</f>
        <v>673.5</v>
      </c>
      <c r="V16" s="3355">
        <f t="shared" si="1"/>
        <v>1456</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004"/>
      <c r="C18" s="3322"/>
      <c r="D18" s="3317" t="s">
        <v>3248</v>
      </c>
      <c r="E18" s="3323"/>
      <c r="F18" s="3318" t="s">
        <v>3251</v>
      </c>
      <c r="G18" s="3322">
        <f>ROUND(1-(1/(POWER(1+G24,E18))),4)</f>
        <v>0</v>
      </c>
      <c r="H18" s="3318" t="s">
        <v>3253</v>
      </c>
      <c r="I18" s="3322">
        <f>ROUND(1-(1/(POWER(1+G24,J24))),4)</f>
        <v>0.88249999999999995</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26" t="s">
        <v>3254</v>
      </c>
      <c r="B20" s="167" t="s">
        <v>1994</v>
      </c>
      <c r="C20" s="3319">
        <f>ROUND(IF(F21="与级别开发程度一致",0,(G21-E21)/C21),0)</f>
        <v>0</v>
      </c>
      <c r="D20" s="3335" t="s">
        <v>1998</v>
      </c>
      <c r="E20" s="3336"/>
      <c r="F20" s="3732" t="s">
        <v>1995</v>
      </c>
      <c r="G20" s="3733"/>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27"/>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0.68479999999999996</v>
      </c>
      <c r="D24" s="2055" t="s">
        <v>2007</v>
      </c>
      <c r="E24" s="1330">
        <f>存贷款利率!E24/100</f>
        <v>4.3499999999999997E-2</v>
      </c>
      <c r="F24" s="2055" t="s">
        <v>1999</v>
      </c>
      <c r="G24" s="763">
        <f>SUMIF(M30:Q30,E2,M33:Q33)</f>
        <v>5.5E-2</v>
      </c>
      <c r="H24" s="2055" t="s">
        <v>2008</v>
      </c>
      <c r="I24" s="764">
        <f>SUMIF('数据-取费表'!C6:C15,E2,'数据-取费表'!F6:F15)/COUNTIF('数据-取费表'!C6:C15,E2)</f>
        <v>17.32</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3427</v>
      </c>
      <c r="C25" s="766">
        <f>IF(B25="容积率修正",IF(G3&lt;10,D26,J26),C27)</f>
        <v>1.5206</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1347">
        <f>IF(E26=G26,F26,IF(G3&lt;10,ROUND(F26+(H26-F26)*(G3-E26)/(G26-E26),4),"——"))</f>
        <v>1.0445</v>
      </c>
      <c r="E26" s="747">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47">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1.0434000000000001</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57342</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5254</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37296</v>
      </c>
      <c r="D33" s="3489"/>
      <c r="E33" s="768">
        <f>ROUND(C33*D33/10000,0)</f>
        <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30"/>
      <c r="B37" s="2108" t="s">
        <v>2036</v>
      </c>
      <c r="C37" s="175">
        <f>ROUND(D5*C22*C23*C24*C28*F37,0)</f>
        <v>17169</v>
      </c>
      <c r="D37" s="3489">
        <f>面积清单!D16</f>
        <v>12240.89</v>
      </c>
      <c r="E37" s="171">
        <f>ROUND(C37*D37/10000,0)</f>
        <v>21016</v>
      </c>
      <c r="F37" s="171">
        <f>SUMIF(修正!A57:A68,G2,修正!B57:B68)</f>
        <v>0.7</v>
      </c>
      <c r="G37" s="171">
        <f>ROUND(IF(E2="工业",C37*$M$42,C37*$M$41),0)</f>
        <v>4292</v>
      </c>
      <c r="H37" s="171">
        <f>D37</f>
        <v>12240.89</v>
      </c>
      <c r="I37" s="171">
        <f>ROUND(G37*H37/10000,0)</f>
        <v>5254</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31"/>
      <c r="B38" s="2036" t="s">
        <v>2037</v>
      </c>
      <c r="C38" s="175">
        <f>ROUND(D5*C22*C23*C24*C28*F38,0)</f>
        <v>9811</v>
      </c>
      <c r="D38" s="2093"/>
      <c r="E38" s="171">
        <f t="shared" ref="E38:E42" si="4">ROUND(C38*D38/10000,0)</f>
        <v>0</v>
      </c>
      <c r="F38" s="171">
        <f>SUMIF(修正!A57:A68,G2,修正!C57:C68)</f>
        <v>0.4</v>
      </c>
      <c r="G38" s="171">
        <f>ROUND(IF(E2="工业",C38*$M$42,C38*$M$41),0)</f>
        <v>2453</v>
      </c>
      <c r="H38" s="171">
        <f t="shared" ref="H38:H42" si="5">D38</f>
        <v>0</v>
      </c>
      <c r="I38" s="171">
        <f t="shared" ref="I38:I42" si="6">ROUND(G38*H38/10000,0)</f>
        <v>0</v>
      </c>
      <c r="J38" s="3005"/>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31"/>
      <c r="B39" s="2036" t="s">
        <v>3259</v>
      </c>
      <c r="C39" s="175">
        <f>ROUND(D5*C22*C23*C24*C28*F39,0)</f>
        <v>7358</v>
      </c>
      <c r="D39" s="2093"/>
      <c r="E39" s="171">
        <f t="shared" si="4"/>
        <v>0</v>
      </c>
      <c r="F39" s="171">
        <f>SUMIF(修正!A57:A68,G2,修正!D57:D68)</f>
        <v>0.3</v>
      </c>
      <c r="G39" s="171">
        <f>ROUND(IF(E2="工业",C39*$M$42,C39*$M$41),0)</f>
        <v>1840</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7358</v>
      </c>
      <c r="D40" s="2093"/>
      <c r="E40" s="171">
        <f t="shared" si="4"/>
        <v>0</v>
      </c>
      <c r="F40" s="175">
        <f>SUMIF(修正!A57:A68,G2,修正!E57:E68)</f>
        <v>0.3</v>
      </c>
      <c r="G40" s="171">
        <f>ROUND(IF(E2="工业",C40*$M$42,C40*$M$41),0)</f>
        <v>1840</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8868</v>
      </c>
      <c r="D41" s="2093"/>
      <c r="E41" s="171">
        <f t="shared" si="4"/>
        <v>0</v>
      </c>
      <c r="F41" s="175">
        <f>SUMIF(修正!A57:A68,G2,修正!F57:F68)</f>
        <v>0.3</v>
      </c>
      <c r="G41" s="171">
        <f>ROUND(IF(E2="工业",C41*$M$42,C41*$M$41),0)</f>
        <v>2217</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5912</v>
      </c>
      <c r="D42" s="3493"/>
      <c r="E42" s="187">
        <f t="shared" si="4"/>
        <v>0</v>
      </c>
      <c r="F42" s="762">
        <f>SUMIF(修正!A57:A68,G2,修正!G57:G68)</f>
        <v>0.2</v>
      </c>
      <c r="G42" s="187">
        <f>ROUND(IF(E2="工业",C42*$M$42,C42*$M$41),0)</f>
        <v>1478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1.0434000000000001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1.21E-2</v>
      </c>
      <c r="E50" s="739">
        <f>ROUND(SUM(D50:D58),4)</f>
        <v>4.3400000000000001E-2</v>
      </c>
      <c r="F50" s="1809">
        <f>IF(E2="商业",SUMIF(L1:L12,G2,N1:N12),"——")</f>
        <v>8.1000000000000003E-2</v>
      </c>
      <c r="G50" s="1058">
        <v>1.21E-2</v>
      </c>
      <c r="H50" s="1061">
        <f t="shared" ref="H50:H58" si="8">IFERROR(ROUNDDOWN($F$50*I50/2,4),"——")</f>
        <v>1.21E-2</v>
      </c>
      <c r="I50" s="3361">
        <v>0.3</v>
      </c>
      <c r="J50" s="1059">
        <f t="shared" ref="J50:J58" si="9">K50+$G50</f>
        <v>2.4199999999999999E-2</v>
      </c>
      <c r="K50" s="1059">
        <f t="shared" ref="K50:K58" si="10">$L50+$G50</f>
        <v>1.21E-2</v>
      </c>
      <c r="L50" s="1059">
        <v>0</v>
      </c>
      <c r="M50" s="1059">
        <f t="shared" ref="M50:N58" si="11">L50-$G50</f>
        <v>-1.21E-2</v>
      </c>
      <c r="N50" s="1059">
        <f t="shared" si="11"/>
        <v>-2.4199999999999999E-2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8.8999999999999999E-3</v>
      </c>
      <c r="E51" s="740"/>
      <c r="F51" s="1809"/>
      <c r="G51" s="1058">
        <v>8.8999999999999999E-3</v>
      </c>
      <c r="H51" s="1061">
        <f t="shared" si="8"/>
        <v>8.8999999999999999E-3</v>
      </c>
      <c r="I51" s="3361">
        <v>0.22</v>
      </c>
      <c r="J51" s="1059">
        <f t="shared" si="9"/>
        <v>1.78E-2</v>
      </c>
      <c r="K51" s="1059">
        <f t="shared" si="10"/>
        <v>8.8999999999999999E-3</v>
      </c>
      <c r="L51" s="1059">
        <v>0</v>
      </c>
      <c r="M51" s="1059">
        <f t="shared" si="11"/>
        <v>-8.8999999999999999E-3</v>
      </c>
      <c r="N51" s="1059">
        <f t="shared" si="11"/>
        <v>-1.78E-2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4.7999999999999996E-3</v>
      </c>
      <c r="E52" s="740"/>
      <c r="F52" s="1809"/>
      <c r="G52" s="1058">
        <v>4.7999999999999996E-3</v>
      </c>
      <c r="H52" s="1061">
        <f t="shared" si="8"/>
        <v>4.7999999999999996E-3</v>
      </c>
      <c r="I52" s="3361">
        <v>0.12</v>
      </c>
      <c r="J52" s="1059">
        <f t="shared" si="9"/>
        <v>9.5999999999999992E-3</v>
      </c>
      <c r="K52" s="1059">
        <f t="shared" si="10"/>
        <v>4.7999999999999996E-3</v>
      </c>
      <c r="L52" s="1059">
        <v>0</v>
      </c>
      <c r="M52" s="1059">
        <f t="shared" si="11"/>
        <v>-4.7999999999999996E-3</v>
      </c>
      <c r="N52" s="1059">
        <f t="shared" si="11"/>
        <v>-9.5999999999999992E-3</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2E-3</v>
      </c>
      <c r="E53" s="740"/>
      <c r="F53" s="1809"/>
      <c r="G53" s="1058">
        <v>2E-3</v>
      </c>
      <c r="H53" s="1061">
        <f t="shared" si="8"/>
        <v>2E-3</v>
      </c>
      <c r="I53" s="3361">
        <v>0.05</v>
      </c>
      <c r="J53" s="1059">
        <f t="shared" si="9"/>
        <v>4.0000000000000001E-3</v>
      </c>
      <c r="K53" s="1059">
        <f t="shared" si="10"/>
        <v>2E-3</v>
      </c>
      <c r="L53" s="1059">
        <v>0</v>
      </c>
      <c r="M53" s="1059">
        <f t="shared" si="11"/>
        <v>-2E-3</v>
      </c>
      <c r="N53" s="1059">
        <f t="shared" si="11"/>
        <v>-4.0000000000000001E-3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3.2000000000000002E-3</v>
      </c>
      <c r="E54" s="740"/>
      <c r="F54" s="1809"/>
      <c r="G54" s="1058">
        <v>3.2000000000000002E-3</v>
      </c>
      <c r="H54" s="1061">
        <f t="shared" si="8"/>
        <v>3.2000000000000002E-3</v>
      </c>
      <c r="I54" s="3361">
        <v>0.08</v>
      </c>
      <c r="J54" s="1059">
        <f t="shared" si="9"/>
        <v>6.4000000000000003E-3</v>
      </c>
      <c r="K54" s="1059">
        <f t="shared" si="10"/>
        <v>3.2000000000000002E-3</v>
      </c>
      <c r="L54" s="1059">
        <v>0</v>
      </c>
      <c r="M54" s="1059">
        <f t="shared" si="11"/>
        <v>-3.2000000000000002E-3</v>
      </c>
      <c r="N54" s="1059">
        <f t="shared" si="11"/>
        <v>-6.4000000000000003E-3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2E-3</v>
      </c>
      <c r="E55" s="740"/>
      <c r="F55" s="1809"/>
      <c r="G55" s="1058">
        <v>2E-3</v>
      </c>
      <c r="H55" s="1061">
        <f t="shared" si="8"/>
        <v>2E-3</v>
      </c>
      <c r="I55" s="3361">
        <v>0.05</v>
      </c>
      <c r="J55" s="1059">
        <f t="shared" si="9"/>
        <v>4.0000000000000001E-3</v>
      </c>
      <c r="K55" s="1059">
        <f t="shared" si="10"/>
        <v>2E-3</v>
      </c>
      <c r="L55" s="1059">
        <v>0</v>
      </c>
      <c r="M55" s="1059">
        <f t="shared" si="11"/>
        <v>-2E-3</v>
      </c>
      <c r="N55" s="1059">
        <f t="shared" si="11"/>
        <v>-4.0000000000000001E-3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2E-3</v>
      </c>
      <c r="E56" s="740"/>
      <c r="F56" s="1809"/>
      <c r="G56" s="1058">
        <v>2E-3</v>
      </c>
      <c r="H56" s="1061">
        <f t="shared" si="8"/>
        <v>2E-3</v>
      </c>
      <c r="I56" s="3361">
        <v>0.05</v>
      </c>
      <c r="J56" s="1059">
        <f t="shared" si="9"/>
        <v>4.0000000000000001E-3</v>
      </c>
      <c r="K56" s="1059">
        <f t="shared" si="10"/>
        <v>2E-3</v>
      </c>
      <c r="L56" s="1059">
        <v>0</v>
      </c>
      <c r="M56" s="1059">
        <f t="shared" si="11"/>
        <v>-2E-3</v>
      </c>
      <c r="N56" s="1059">
        <f t="shared" si="11"/>
        <v>-4.0000000000000001E-3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6.4000000000000003E-3</v>
      </c>
      <c r="E57" s="740"/>
      <c r="F57" s="1809"/>
      <c r="G57" s="1058">
        <v>3.2000000000000002E-3</v>
      </c>
      <c r="H57" s="1061">
        <f t="shared" si="8"/>
        <v>3.2000000000000002E-3</v>
      </c>
      <c r="I57" s="3361">
        <v>0.08</v>
      </c>
      <c r="J57" s="1059">
        <f t="shared" si="9"/>
        <v>6.4000000000000003E-3</v>
      </c>
      <c r="K57" s="1059">
        <f t="shared" si="10"/>
        <v>3.2000000000000002E-3</v>
      </c>
      <c r="L57" s="1059">
        <v>0</v>
      </c>
      <c r="M57" s="1059">
        <f t="shared" si="11"/>
        <v>-3.2000000000000002E-3</v>
      </c>
      <c r="N57" s="1059">
        <f t="shared" si="11"/>
        <v>-6.4000000000000003E-3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2E-3</v>
      </c>
      <c r="E58" s="741"/>
      <c r="F58" s="1809"/>
      <c r="G58" s="1058">
        <v>2E-3</v>
      </c>
      <c r="H58" s="1061">
        <f t="shared" si="8"/>
        <v>2E-3</v>
      </c>
      <c r="I58" s="3362">
        <v>0.05</v>
      </c>
      <c r="J58" s="1059">
        <f t="shared" si="9"/>
        <v>4.0000000000000001E-3</v>
      </c>
      <c r="K58" s="1059">
        <f t="shared" si="10"/>
        <v>2E-3</v>
      </c>
      <c r="L58" s="1059">
        <v>0</v>
      </c>
      <c r="M58" s="1059">
        <f t="shared" si="11"/>
        <v>-2E-3</v>
      </c>
      <c r="N58" s="1059">
        <f t="shared" si="11"/>
        <v>-4.0000000000000001E-3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3270</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3277</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3278</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3279</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28" t="s">
        <v>3294</v>
      </c>
      <c r="B103" s="3728"/>
      <c r="C103" s="3728"/>
      <c r="D103" s="3728"/>
      <c r="E103" s="3728"/>
      <c r="F103" s="3728"/>
      <c r="G103" s="3728"/>
      <c r="H103" s="3728"/>
      <c r="I103" s="3728"/>
      <c r="J103" s="3728"/>
      <c r="K103" s="3384"/>
      <c r="L103" s="3384"/>
      <c r="M103" s="3384"/>
      <c r="N103" s="3384"/>
    </row>
    <row r="104" spans="1:14">
      <c r="A104" s="3729" t="s">
        <v>3295</v>
      </c>
      <c r="B104" s="3729" t="s">
        <v>3296</v>
      </c>
      <c r="C104" s="3385" t="s">
        <v>3297</v>
      </c>
      <c r="D104" s="3386"/>
      <c r="E104" s="3386"/>
      <c r="F104" s="3386"/>
      <c r="G104" s="3386"/>
      <c r="H104" s="3386"/>
      <c r="I104" s="3386"/>
      <c r="J104" s="3387"/>
      <c r="K104" s="3388"/>
      <c r="L104" s="3388"/>
      <c r="M104" s="3388"/>
      <c r="N104" s="3388"/>
    </row>
    <row r="105" spans="1:14">
      <c r="A105" s="3729"/>
      <c r="B105" s="3729"/>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15"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16"/>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16"/>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16"/>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16"/>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16"/>
      <c r="B111" s="3389"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17"/>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18" t="s">
        <v>3311</v>
      </c>
      <c r="B113" s="3718"/>
      <c r="C113" s="3718"/>
      <c r="D113" s="3718"/>
      <c r="E113" s="3718"/>
      <c r="F113" s="3718"/>
      <c r="G113" s="3718"/>
      <c r="H113" s="3718"/>
      <c r="I113" s="3718"/>
      <c r="J113" s="3718"/>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0.96930000000000005</v>
      </c>
      <c r="E116" s="1995" t="s">
        <v>3314</v>
      </c>
      <c r="F116" s="3396" t="str">
        <f>E2</f>
        <v>商业</v>
      </c>
      <c r="G116" s="1995" t="s">
        <v>3315</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3329</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3330</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3331</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t="e">
        <f>SUM(D33:D34,D37:D42)</f>
        <v>#REF!</v>
      </c>
      <c r="E1" s="1990"/>
      <c r="F1" s="1990"/>
      <c r="G1" s="1990"/>
      <c r="H1" s="1990"/>
      <c r="I1" s="1990"/>
      <c r="J1" s="1990"/>
      <c r="K1" s="1114"/>
      <c r="L1" s="1991" t="s">
        <v>1928</v>
      </c>
      <c r="M1" s="858">
        <f>SUMPRODUCT((区片价!B5:B9=I2)*(区片价!C3:G3=E2)*(区片价!C5:G9))</f>
        <v>32510</v>
      </c>
      <c r="N1" s="861">
        <f>SUMPRODUCT((因素修正幅度!B5:B9=I2)*(因素修正幅度!C3:G3=E2)*(因素修正幅度!C5:G9))</f>
        <v>8.2000000000000003E-2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96" t="s">
        <v>21</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t="e">
        <f t="shared" ref="T2:T16" si="0">ROUND($C$5*$C$22*$C$23*$C$24*S2*$C$28,0)</f>
        <v>#DIV/0!</v>
      </c>
      <c r="U2" s="1208"/>
      <c r="V2" s="3355"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4" t="s">
        <v>3440</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t="e">
        <f t="shared" si="0"/>
        <v>#DIV/0!</v>
      </c>
      <c r="U3" s="1208"/>
      <c r="V3" s="3355" t="e">
        <f t="shared" ref="V3:V16" si="1">ROUND(T3*U3/10000,0)</f>
        <v>#DIV/0!</v>
      </c>
      <c r="W3" s="1211"/>
      <c r="X3" s="1211"/>
      <c r="Y3" s="1211"/>
      <c r="Z3" s="1211"/>
      <c r="AA3" s="1211"/>
      <c r="AB3" s="1211"/>
      <c r="AC3" s="1212"/>
      <c r="AD3" s="1213"/>
      <c r="AE3" s="1213"/>
      <c r="AF3" s="1213"/>
      <c r="AG3" s="1213"/>
      <c r="AH3" s="1213"/>
      <c r="AI3" s="1213"/>
      <c r="AJ3" s="1214"/>
    </row>
    <row r="4" spans="1:36" ht="15.75">
      <c r="A4" s="3722"/>
      <c r="B4" s="3723"/>
      <c r="C4" s="3723"/>
      <c r="D4" s="3724"/>
      <c r="E4" s="3724"/>
      <c r="F4" s="3724"/>
      <c r="G4" s="3724"/>
      <c r="H4" s="3724"/>
      <c r="I4" s="3724"/>
      <c r="J4" s="3725"/>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t="e">
        <f t="shared" si="0"/>
        <v>#DIV/0!</v>
      </c>
      <c r="U4" s="1208"/>
      <c r="V4" s="3355"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33160</v>
      </c>
      <c r="D5" s="1334">
        <f>ROUND(C6*C17+C20,0)</f>
        <v>32510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t="e">
        <f t="shared" si="0"/>
        <v>#DIV/0!</v>
      </c>
      <c r="U5" s="1208"/>
      <c r="V5" s="3355"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32510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t="e">
        <f t="shared" si="0"/>
        <v>#DIV/0!</v>
      </c>
      <c r="U6" s="1208"/>
      <c r="V6" s="3355" t="e">
        <f t="shared" si="1"/>
        <v>#DIV/0!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t="e">
        <f t="shared" si="0"/>
        <v>#DIV/0!</v>
      </c>
      <c r="U7" s="1208"/>
      <c r="V7" s="3355" t="e">
        <f t="shared" si="1"/>
        <v>#DIV/0!</v>
      </c>
      <c r="W7" s="3460"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t="e">
        <f t="shared" si="0"/>
        <v>#DIV/0!</v>
      </c>
      <c r="U8" s="1208"/>
      <c r="V8" s="3355" t="e">
        <f t="shared" si="1"/>
        <v>#DIV/0!</v>
      </c>
      <c r="W8" s="3719" t="s">
        <v>1960</v>
      </c>
      <c r="X8" s="372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t="e">
        <f t="shared" si="0"/>
        <v>#DIV/0!</v>
      </c>
      <c r="U9" s="1208"/>
      <c r="V9" s="3355" t="e">
        <f t="shared" si="1"/>
        <v>#DIV/0!</v>
      </c>
      <c r="W9" s="3721"/>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t="e">
        <f t="shared" si="0"/>
        <v>#DIV/0!</v>
      </c>
      <c r="U10" s="1208"/>
      <c r="V10" s="3355" t="e">
        <f t="shared" si="1"/>
        <v>#DIV/0!</v>
      </c>
      <c r="W10" s="372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t="e">
        <f t="shared" si="0"/>
        <v>#DIV/0!</v>
      </c>
      <c r="U11" s="1208"/>
      <c r="V11" s="3355" t="e">
        <f t="shared" si="1"/>
        <v>#DIV/0!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1.02</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t="e">
        <f t="shared" si="0"/>
        <v>#DIV/0!</v>
      </c>
      <c r="U12" s="1208"/>
      <c r="V12" s="3355" t="e">
        <f t="shared" si="1"/>
        <v>#DIV/0!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t="e">
        <f t="shared" si="0"/>
        <v>#DIV/0!</v>
      </c>
      <c r="U13" s="1208"/>
      <c r="V13" s="3355" t="e">
        <f t="shared" si="1"/>
        <v>#DIV/0!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t="e">
        <f t="shared" si="0"/>
        <v>#DIV/0!</v>
      </c>
      <c r="U14" s="1208"/>
      <c r="V14" s="3355" t="e">
        <f t="shared" si="1"/>
        <v>#DIV/0!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t="e">
        <f t="shared" si="0"/>
        <v>#DIV/0!</v>
      </c>
      <c r="U15" s="1208"/>
      <c r="V15" s="3355" t="e">
        <f t="shared" si="1"/>
        <v>#DIV/0!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t="e">
        <f t="shared" si="0"/>
        <v>#DIV/0!</v>
      </c>
      <c r="U16" s="1208"/>
      <c r="V16" s="3355" t="e">
        <f t="shared" si="1"/>
        <v>#DIV/0!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0.93120000000000003</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26" t="s">
        <v>3254</v>
      </c>
      <c r="B20" s="167" t="s">
        <v>1994</v>
      </c>
      <c r="C20" s="3319">
        <f>ROUND(IF(F21="与级别开发程度一致",0,(G21-E21)/C21),0)</f>
        <v>0</v>
      </c>
      <c r="D20" s="3335" t="s">
        <v>1998</v>
      </c>
      <c r="E20" s="3336"/>
      <c r="F20" s="3732" t="s">
        <v>1995</v>
      </c>
      <c r="G20" s="3733"/>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27"/>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5.5E-2</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1.0558000000000001</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1.0558000000000001</v>
      </c>
      <c r="E26" s="747">
        <f>ROUNDDOWN(G3,1)</f>
        <v>2.5</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47">
        <f>ROUNDUP(G3,1)</f>
        <v>2.5</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3495">
        <f>SUMIF(A47:A101,E2,B47:B101)</f>
        <v>1.0532999999999999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3489" t="e">
        <f>面积清单!#REF!</f>
        <v>#REF!</v>
      </c>
      <c r="E33" s="768" t="e">
        <f>ROUND(C33*D33/10000,0)</f>
        <v>#DIV/0!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30"/>
      <c r="B37" s="2108" t="s">
        <v>2036</v>
      </c>
      <c r="C37" s="175" t="e">
        <f>ROUND(D5*C22*C23*C24*C28*F37,0)</f>
        <v>#DIV/0!</v>
      </c>
      <c r="D37" s="2093"/>
      <c r="E37" s="171" t="e">
        <f>ROUND(C37*D37/10000,0)</f>
        <v>#DIV/0!</v>
      </c>
      <c r="F37" s="171">
        <f>SUMIF(修正!A57:A68,G2,修正!B57:B68)</f>
        <v>0.7</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31"/>
      <c r="B38" s="2036" t="s">
        <v>2037</v>
      </c>
      <c r="C38" s="175" t="e">
        <f>ROUND(D5*C22*C23*C24*C28*F38,0)</f>
        <v>#DIV/0!</v>
      </c>
      <c r="D38" s="2093"/>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31"/>
      <c r="B39" s="2036" t="s">
        <v>3259</v>
      </c>
      <c r="C39" s="175" t="e">
        <f>ROUND(D5*C22*C23*C24*C28*F39,0)</f>
        <v>#DIV/0!</v>
      </c>
      <c r="D39" s="2093"/>
      <c r="E39" s="171" t="e">
        <f t="shared" si="4"/>
        <v>#DIV/0!</v>
      </c>
      <c r="F39" s="171">
        <f>SUMIF(修正!A57:A68,G2,修正!D57:D68)</f>
        <v>0.3</v>
      </c>
      <c r="G39" s="171" t="e">
        <f>ROUND(IF(E2="工业",C39*$M$42,C39*$M$41),0)</f>
        <v>#DIV/0!</v>
      </c>
      <c r="H39" s="171">
        <f t="shared" si="5"/>
        <v>0</v>
      </c>
      <c r="I39" s="171" t="e">
        <f t="shared" si="6"/>
        <v>#DIV/0!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0.3</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8690</v>
      </c>
      <c r="D41" s="2093"/>
      <c r="E41" s="171">
        <f t="shared" si="4"/>
        <v>0</v>
      </c>
      <c r="F41" s="175">
        <f>SUMIF(修正!A57:A68,G2,修正!F57:F68)</f>
        <v>0.3</v>
      </c>
      <c r="G41" s="171">
        <f>ROUND(IF(E2="工业",C41*$M$42,C41*$M$41),0)</f>
        <v>2173</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5793</v>
      </c>
      <c r="D42" s="2098"/>
      <c r="E42" s="187">
        <f t="shared" si="4"/>
        <v>0</v>
      </c>
      <c r="F42" s="762">
        <f>SUMIF(修正!A57:A68,G2,修正!G57:G68)</f>
        <v>0.2</v>
      </c>
      <c r="G42" s="187">
        <f>ROUND(IF(E2="工业",C42*$M$42,C42*$M$41),0)</f>
        <v>1448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1.0532999999999999</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t="s">
        <v>3428</v>
      </c>
      <c r="D61" s="1060">
        <f t="shared" ref="D61:D69" si="12">SUMIF($J$60:$N$60,C61,J61:N61)</f>
        <v>1.23E-2</v>
      </c>
      <c r="E61" s="739">
        <f>ROUND(SUM(D61:D69),4)</f>
        <v>5.33E-2</v>
      </c>
      <c r="F61" s="1809">
        <f>IF(E2="办公",SUMIF(L1:L12,G2,N1:N12),"——")</f>
        <v>8.2000000000000003E-2</v>
      </c>
      <c r="G61" s="1058">
        <v>1.23E-2</v>
      </c>
      <c r="H61" s="1061">
        <f t="shared" ref="H61:H69" si="13">IFERROR(ROUNDDOWN($F$61*I61/2,4),"——")</f>
        <v>1.0200000000000001E-2</v>
      </c>
      <c r="I61" s="3361">
        <v>0.25</v>
      </c>
      <c r="J61" s="1059">
        <f t="shared" ref="J61:J69" si="14">K61+$G61</f>
        <v>2.46E-2</v>
      </c>
      <c r="K61" s="1059">
        <f t="shared" ref="K61:K69" si="15">$L61+$G61</f>
        <v>1.23E-2</v>
      </c>
      <c r="L61" s="1059">
        <v>0</v>
      </c>
      <c r="M61" s="1059">
        <f t="shared" ref="M61:N69" si="16">L61-$G61</f>
        <v>-1.23E-2</v>
      </c>
      <c r="N61" s="1059">
        <f t="shared" si="16"/>
        <v>-2.46E-2</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t="s">
        <v>3428</v>
      </c>
      <c r="D62" s="1060">
        <f t="shared" si="12"/>
        <v>1.2800000000000001E-2</v>
      </c>
      <c r="E62" s="740"/>
      <c r="F62" s="1809"/>
      <c r="G62" s="1058">
        <v>1.2800000000000001E-2</v>
      </c>
      <c r="H62" s="1061">
        <f t="shared" si="13"/>
        <v>1.06E-2</v>
      </c>
      <c r="I62" s="3361">
        <v>0.26</v>
      </c>
      <c r="J62" s="1059">
        <f t="shared" si="14"/>
        <v>2.5600000000000001E-2</v>
      </c>
      <c r="K62" s="1059">
        <f t="shared" si="15"/>
        <v>1.2800000000000001E-2</v>
      </c>
      <c r="L62" s="1059">
        <v>0</v>
      </c>
      <c r="M62" s="1059">
        <f t="shared" si="16"/>
        <v>-1.2800000000000001E-2</v>
      </c>
      <c r="N62" s="1059">
        <f t="shared" si="16"/>
        <v>-2.5600000000000001E-2</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t="s">
        <v>3428</v>
      </c>
      <c r="D63" s="1060">
        <f t="shared" si="12"/>
        <v>5.4000000000000003E-3</v>
      </c>
      <c r="E63" s="740"/>
      <c r="F63" s="1809"/>
      <c r="G63" s="1058">
        <v>5.4000000000000003E-3</v>
      </c>
      <c r="H63" s="1061">
        <f t="shared" si="13"/>
        <v>4.4999999999999997E-3</v>
      </c>
      <c r="I63" s="3361">
        <v>0.11</v>
      </c>
      <c r="J63" s="1059">
        <f t="shared" si="14"/>
        <v>1.0800000000000001E-2</v>
      </c>
      <c r="K63" s="1059">
        <f t="shared" si="15"/>
        <v>5.4000000000000003E-3</v>
      </c>
      <c r="L63" s="1059">
        <v>0</v>
      </c>
      <c r="M63" s="1059">
        <f t="shared" si="16"/>
        <v>-5.4000000000000003E-3</v>
      </c>
      <c r="N63" s="1059">
        <f t="shared" si="16"/>
        <v>-1.0800000000000001E-2</v>
      </c>
      <c r="AA63" s="1115"/>
      <c r="AB63" s="1115"/>
      <c r="AC63" s="1115"/>
      <c r="AD63" s="1115"/>
      <c r="AE63" s="1115"/>
      <c r="AF63" s="1115"/>
      <c r="AG63" s="1115"/>
      <c r="AH63" s="1115"/>
      <c r="AI63" s="1115"/>
      <c r="AJ63" s="1115"/>
      <c r="AK63" s="1115"/>
    </row>
    <row r="64" spans="1:37" s="1114" customFormat="1" ht="36.75">
      <c r="A64" s="2125" t="s">
        <v>2054</v>
      </c>
      <c r="B64" s="2130" t="s">
        <v>2055</v>
      </c>
      <c r="C64" s="2039" t="s">
        <v>3428</v>
      </c>
      <c r="D64" s="1060">
        <f t="shared" si="12"/>
        <v>2.3999999999999998E-3</v>
      </c>
      <c r="E64" s="740"/>
      <c r="F64" s="1809"/>
      <c r="G64" s="1058">
        <v>2.3999999999999998E-3</v>
      </c>
      <c r="H64" s="1061">
        <f t="shared" si="13"/>
        <v>2E-3</v>
      </c>
      <c r="I64" s="3361">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t="s">
        <v>3428</v>
      </c>
      <c r="D65" s="1060">
        <f t="shared" si="12"/>
        <v>2.3999999999999998E-3</v>
      </c>
      <c r="E65" s="740"/>
      <c r="F65" s="1809"/>
      <c r="G65" s="1058">
        <v>2.3999999999999998E-3</v>
      </c>
      <c r="H65" s="1061">
        <f t="shared" si="13"/>
        <v>2E-3</v>
      </c>
      <c r="I65" s="3361">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5" t="s">
        <v>2057</v>
      </c>
      <c r="B66" s="2131" t="s">
        <v>2058</v>
      </c>
      <c r="C66" s="2039" t="s">
        <v>3428</v>
      </c>
      <c r="D66" s="1060">
        <f t="shared" si="12"/>
        <v>2.8999999999999998E-3</v>
      </c>
      <c r="E66" s="740"/>
      <c r="F66" s="1809"/>
      <c r="G66" s="1058">
        <v>2.8999999999999998E-3</v>
      </c>
      <c r="H66" s="1061">
        <f t="shared" si="13"/>
        <v>2.3999999999999998E-3</v>
      </c>
      <c r="I66" s="3361">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t="s">
        <v>3428</v>
      </c>
      <c r="D67" s="1060">
        <f t="shared" si="12"/>
        <v>2.8999999999999998E-3</v>
      </c>
      <c r="E67" s="740"/>
      <c r="F67" s="1809"/>
      <c r="G67" s="1058">
        <v>2.8999999999999998E-3</v>
      </c>
      <c r="H67" s="1061">
        <f t="shared" si="13"/>
        <v>2.3999999999999998E-3</v>
      </c>
      <c r="I67" s="3361">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t="s">
        <v>3429</v>
      </c>
      <c r="D68" s="1060">
        <f t="shared" si="12"/>
        <v>8.8000000000000005E-3</v>
      </c>
      <c r="E68" s="740"/>
      <c r="F68" s="1809"/>
      <c r="G68" s="1058">
        <v>4.4000000000000003E-3</v>
      </c>
      <c r="H68" s="1061">
        <f t="shared" si="13"/>
        <v>3.5999999999999999E-3</v>
      </c>
      <c r="I68" s="3361">
        <v>0.09</v>
      </c>
      <c r="J68" s="1059">
        <f t="shared" si="14"/>
        <v>8.8000000000000005E-3</v>
      </c>
      <c r="K68" s="1059">
        <f t="shared" si="15"/>
        <v>4.4000000000000003E-3</v>
      </c>
      <c r="L68" s="1059">
        <v>0</v>
      </c>
      <c r="M68" s="1059">
        <f t="shared" si="16"/>
        <v>-4.4000000000000003E-3</v>
      </c>
      <c r="N68" s="1059">
        <f t="shared" si="16"/>
        <v>-8.8000000000000005E-3</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t="s">
        <v>3428</v>
      </c>
      <c r="D69" s="1060">
        <f t="shared" si="12"/>
        <v>3.3999999999999998E-3</v>
      </c>
      <c r="E69" s="741"/>
      <c r="F69" s="1809"/>
      <c r="G69" s="1058">
        <v>3.3999999999999998E-3</v>
      </c>
      <c r="H69" s="1061">
        <f t="shared" si="13"/>
        <v>2.8E-3</v>
      </c>
      <c r="I69" s="3362">
        <v>7.0000000000000007E-2</v>
      </c>
      <c r="J69" s="1059">
        <f t="shared" si="14"/>
        <v>6.7999999999999996E-3</v>
      </c>
      <c r="K69" s="1059">
        <f t="shared" si="15"/>
        <v>3.3999999999999998E-3</v>
      </c>
      <c r="L69" s="1059">
        <v>0</v>
      </c>
      <c r="M69" s="1059">
        <f t="shared" si="16"/>
        <v>-3.3999999999999998E-3</v>
      </c>
      <c r="N69" s="1059">
        <f t="shared" si="16"/>
        <v>-6.7999999999999996E-3</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3269</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28" t="s">
        <v>3294</v>
      </c>
      <c r="B103" s="3728"/>
      <c r="C103" s="3728"/>
      <c r="D103" s="3728"/>
      <c r="E103" s="3728"/>
      <c r="F103" s="3728"/>
      <c r="G103" s="3728"/>
      <c r="H103" s="3728"/>
      <c r="I103" s="3728"/>
      <c r="J103" s="3728"/>
      <c r="K103" s="3461"/>
      <c r="L103" s="3461"/>
      <c r="M103" s="3461"/>
      <c r="N103" s="3461"/>
    </row>
    <row r="104" spans="1:14">
      <c r="A104" s="3729" t="s">
        <v>3295</v>
      </c>
      <c r="B104" s="3729" t="s">
        <v>3296</v>
      </c>
      <c r="C104" s="3385" t="s">
        <v>3297</v>
      </c>
      <c r="D104" s="3386"/>
      <c r="E104" s="3386"/>
      <c r="F104" s="3386"/>
      <c r="G104" s="3386"/>
      <c r="H104" s="3386"/>
      <c r="I104" s="3386"/>
      <c r="J104" s="3387"/>
      <c r="K104" s="3388"/>
      <c r="L104" s="3388"/>
      <c r="M104" s="3388"/>
      <c r="N104" s="3388"/>
    </row>
    <row r="105" spans="1:14">
      <c r="A105" s="3729"/>
      <c r="B105" s="3729"/>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15"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16"/>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16"/>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16"/>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16"/>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16"/>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17"/>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18" t="s">
        <v>3311</v>
      </c>
      <c r="B113" s="3718"/>
      <c r="C113" s="3718"/>
      <c r="D113" s="3718"/>
      <c r="E113" s="3718"/>
      <c r="F113" s="3718"/>
      <c r="G113" s="3718"/>
      <c r="H113" s="3718"/>
      <c r="I113" s="3718"/>
      <c r="J113" s="3718"/>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0.96499999999999997</v>
      </c>
      <c r="E116" s="1995" t="s">
        <v>1936</v>
      </c>
      <c r="F116" s="3396" t="str">
        <f>E2</f>
        <v>办公</v>
      </c>
      <c r="G116" s="1995" t="s">
        <v>1937</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1991</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1992</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1993</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7"/>
      <c r="G1" s="2787"/>
      <c r="H1" s="2787"/>
      <c r="I1" s="2787"/>
      <c r="J1" s="2787"/>
      <c r="K1" s="2787"/>
      <c r="L1" s="2787"/>
      <c r="M1" s="2787"/>
      <c r="N1" s="2787"/>
      <c r="O1" s="2787"/>
      <c r="P1" s="2787"/>
    </row>
    <row r="2" spans="1:16" ht="15.75">
      <c r="A2" s="2140" t="s">
        <v>2073</v>
      </c>
      <c r="B2" s="2597" t="e">
        <f ca="1">SUMIF(B6:B13,"&lt;&gt;#ref!",B6:B13)</f>
        <v>#DIV/0!</v>
      </c>
      <c r="C2" s="2140" t="s">
        <v>2074</v>
      </c>
      <c r="D2" s="2140" t="s">
        <v>2075</v>
      </c>
      <c r="E2" s="2607">
        <f ca="1">SUMIF(E6:E13,"&lt;&gt;#ref!",E6:E13)</f>
        <v>12240.89</v>
      </c>
      <c r="F2" s="2787"/>
      <c r="G2" s="2787"/>
      <c r="H2" s="2787"/>
      <c r="I2" s="2787"/>
      <c r="J2" s="2787"/>
      <c r="K2" s="2787"/>
      <c r="L2" s="2787"/>
      <c r="M2" s="2787"/>
      <c r="N2" s="2787"/>
      <c r="O2" s="2787"/>
      <c r="P2" s="2787"/>
    </row>
    <row r="3" spans="1:16" ht="15.75">
      <c r="A3" s="2140" t="s">
        <v>2076</v>
      </c>
      <c r="B3" s="2597" t="e">
        <f ca="1">ROUND(B2*10000/E2,0)</f>
        <v>#DIV/0!</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1"/>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57342</v>
      </c>
      <c r="C6" s="2140" t="s">
        <v>2074</v>
      </c>
      <c r="D6" s="2787"/>
      <c r="E6" s="2607">
        <f ca="1">SUMIF(INDIRECT("'"&amp;A6&amp;"'"&amp;"!C:C"),"建筑面积",INDIRECT("'"&amp;A6&amp;"'"&amp;"!D:D"))</f>
        <v>12240.89</v>
      </c>
      <c r="F6" s="2787"/>
      <c r="G6" s="2787"/>
      <c r="H6" s="2787"/>
      <c r="I6" s="2787"/>
      <c r="J6" s="2787"/>
      <c r="K6" s="2787"/>
      <c r="L6" s="2787"/>
      <c r="M6" s="2787"/>
      <c r="N6" s="2787"/>
      <c r="O6" s="2787"/>
      <c r="P6" s="2787"/>
    </row>
    <row r="7" spans="1:16" ht="15.75">
      <c r="A7" s="2604" t="s">
        <v>3442</v>
      </c>
      <c r="B7" s="2597" t="e">
        <f ca="1">SUMIF(INDIRECT("'"&amp;A7&amp;"'"&amp;"!A:A"),"总价",INDIRECT("'"&amp;A7&amp;"'"&amp;"!B:B"))</f>
        <v>#DIV/0!</v>
      </c>
      <c r="C7" s="2140"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0"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0"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51" sqref="J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7</v>
      </c>
    </row>
    <row r="2" spans="1:9" s="200" customFormat="1" ht="18" customHeight="1">
      <c r="A2" s="201" t="s">
        <v>1462</v>
      </c>
      <c r="B2" s="202">
        <f ca="1">IF(D2="——",C52,C52-E2)</f>
        <v>109373</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37937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59653</v>
      </c>
      <c r="D5" s="211" t="s">
        <v>1469</v>
      </c>
      <c r="E5" s="212" t="s">
        <v>1470</v>
      </c>
      <c r="F5" s="212" t="s">
        <v>1471</v>
      </c>
      <c r="G5" s="213"/>
    </row>
    <row r="6" spans="1:9" s="214" customFormat="1" ht="13.5" customHeight="1">
      <c r="A6" s="773" t="s">
        <v>1472</v>
      </c>
      <c r="B6" s="215" t="s">
        <v>1473</v>
      </c>
      <c r="C6" s="216">
        <f>基准地价修正!B2</f>
        <v>57342</v>
      </c>
      <c r="D6" s="217"/>
      <c r="E6" s="218"/>
      <c r="F6" s="218"/>
      <c r="G6" s="219"/>
    </row>
    <row r="7" spans="1:9" s="214" customFormat="1" ht="13.5" customHeight="1">
      <c r="A7" s="773" t="s">
        <v>1474</v>
      </c>
      <c r="B7" s="215" t="s">
        <v>1475</v>
      </c>
      <c r="C7" s="220">
        <f>ROUND(C6*F7,0)</f>
        <v>1749</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562</v>
      </c>
      <c r="D8" s="222"/>
      <c r="E8" s="220"/>
      <c r="F8" s="221"/>
      <c r="G8" s="1851" t="s">
        <v>3445</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2" t="s">
        <v>3446</v>
      </c>
      <c r="H9" s="1132"/>
      <c r="I9" s="1853" t="s">
        <v>1479</v>
      </c>
    </row>
    <row r="10" spans="1:9" s="214" customFormat="1" ht="13.5" customHeight="1">
      <c r="A10" s="774" t="s">
        <v>356</v>
      </c>
      <c r="B10" s="224" t="s">
        <v>1480</v>
      </c>
      <c r="C10" s="225">
        <f ca="1">ROUND(D10*E10/10000,0)</f>
        <v>577</v>
      </c>
      <c r="D10" s="840">
        <f ca="1">IF(B1="",'数据-汇总表'!E6,IF(INDIRECT("'数据-取费表'!c"&amp;$G$1)="住宅",INDIRECT("'数据-取费表'!s"&amp;$G$1),INDIRECT("'数据-取费表'!k"&amp;$G$1)+INDIRECT("'数据-取费表'!s"&amp;$G$1)))</f>
        <v>28830.28</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3497" t="str">
        <f>IF(G19="已包含在土地取得成本中","0",ROUND(D19*E19/10000,0))</f>
        <v>0</v>
      </c>
      <c r="D19" s="844">
        <f ca="1">D9+D10</f>
        <v>28830.28</v>
      </c>
      <c r="E19" s="211">
        <f>'数据-取费表'!B31</f>
        <v>200</v>
      </c>
      <c r="F19" s="231"/>
      <c r="G19" s="1851" t="s">
        <v>3447</v>
      </c>
    </row>
    <row r="20" spans="1:7" s="214" customFormat="1" ht="13.5" customHeight="1">
      <c r="A20" s="255" t="s">
        <v>1493</v>
      </c>
      <c r="B20" s="210" t="s">
        <v>1494</v>
      </c>
      <c r="C20" s="232">
        <f>ROUND((C5+C19)*F20,0)</f>
        <v>1491</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099">
        <f ca="1">ROUND(SUM(C23:C25),0)</f>
        <v>5344</v>
      </c>
      <c r="D22" s="235">
        <f ca="1">C26</f>
        <v>1.1000000000000001E-3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5279</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65</v>
      </c>
      <c r="D25" s="238"/>
      <c r="E25" s="241"/>
      <c r="F25" s="239"/>
      <c r="G25" s="242" t="s">
        <v>1510</v>
      </c>
    </row>
    <row r="26" spans="1:7" s="214" customFormat="1">
      <c r="A26" s="775"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12229</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ROUND((C5+C19+C20)*F27*'数据-取费表'!B21/'数据-取费表'!B20,0)</f>
        <v>12229</v>
      </c>
      <c r="D28" s="235"/>
      <c r="E28" s="236"/>
      <c r="F28" s="246"/>
      <c r="G28" s="247"/>
    </row>
    <row r="29" spans="1:7" s="214" customFormat="1" ht="13.5" customHeight="1">
      <c r="A29" s="775"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85973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21554</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19605</v>
      </c>
      <c r="D34" s="217"/>
      <c r="E34" s="220"/>
      <c r="F34" s="257">
        <f ca="1">IF('数据-取费表'!B24=0,1,IF(B1="",'数据-取费表'!N16,INDIRECT("'数据-取费表'!n"&amp;$G$1)))</f>
        <v>1</v>
      </c>
      <c r="G34" s="219" t="s">
        <v>1526</v>
      </c>
    </row>
    <row r="35" spans="1:7" ht="13.5" customHeight="1">
      <c r="A35" s="775" t="s">
        <v>351</v>
      </c>
      <c r="B35" s="215" t="s">
        <v>1527</v>
      </c>
      <c r="C35" s="220">
        <f ca="1">ROUND(C34*F35,0)</f>
        <v>980</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577</v>
      </c>
      <c r="D37" s="217">
        <f ca="1">D19</f>
        <v>28830.28</v>
      </c>
      <c r="E37" s="249">
        <f>'数据-取费表'!B35</f>
        <v>200</v>
      </c>
      <c r="F37" s="259"/>
      <c r="G37" s="261" t="s">
        <v>1532</v>
      </c>
    </row>
    <row r="38" spans="1:7" ht="13.5" customHeight="1">
      <c r="A38" s="775" t="s">
        <v>354</v>
      </c>
      <c r="B38" s="215" t="s">
        <v>1533</v>
      </c>
      <c r="C38" s="220">
        <f ca="1">ROUND(C34*F38,0)</f>
        <v>392</v>
      </c>
      <c r="D38" s="220"/>
      <c r="E38" s="220"/>
      <c r="F38" s="259">
        <f>'数据-取费表'!B36</f>
        <v>0.02</v>
      </c>
      <c r="G38" s="219" t="s">
        <v>1528</v>
      </c>
    </row>
    <row r="39" spans="1:7" s="214" customFormat="1" ht="13.5" customHeight="1">
      <c r="A39" s="255" t="s">
        <v>1534</v>
      </c>
      <c r="B39" s="210" t="s">
        <v>1535</v>
      </c>
      <c r="C39" s="232">
        <f ca="1">ROUND(C33*F20,0)</f>
        <v>539</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956</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933</v>
      </c>
      <c r="D42" s="238"/>
      <c r="E42" s="238"/>
      <c r="F42" s="239"/>
      <c r="G42" s="3734" t="s">
        <v>1544</v>
      </c>
    </row>
    <row r="43" spans="1:7" ht="13.5" customHeight="1">
      <c r="A43" s="775" t="s">
        <v>347</v>
      </c>
      <c r="B43" s="215" t="s">
        <v>1545</v>
      </c>
      <c r="C43" s="238">
        <f ca="1">ROUND(IF('数据-取费表'!B22&lt;=1,C39*F22*'数据-取费表'!B21/2,C39*(POWER((1+F22),'数据-取费表'!B21/2)-1)),0)</f>
        <v>23</v>
      </c>
      <c r="D43" s="238"/>
      <c r="E43" s="238"/>
      <c r="F43" s="239"/>
      <c r="G43" s="3735"/>
    </row>
    <row r="44" spans="1:7" ht="13.5" customHeight="1">
      <c r="A44" s="775" t="s">
        <v>348</v>
      </c>
      <c r="B44" s="215" t="s">
        <v>1546</v>
      </c>
      <c r="C44" s="238">
        <f ca="1">ROUND(IF('数据-取费表'!B22&lt;=1,C40*F22*'数据-取费表'!B21/2,C40*(POWER((1+F22),'数据-取费表'!B21/2)-1)),4)</f>
        <v>1.1000000000000001E-3</v>
      </c>
      <c r="D44" s="238"/>
      <c r="E44" s="238"/>
      <c r="F44" s="239"/>
      <c r="G44" s="3736"/>
    </row>
    <row r="45" spans="1:7" s="214" customFormat="1" ht="13.5" customHeight="1">
      <c r="A45" s="255" t="s">
        <v>1547</v>
      </c>
      <c r="B45" s="244" t="s">
        <v>1513</v>
      </c>
      <c r="C45" s="245">
        <f ca="1">C46</f>
        <v>4419</v>
      </c>
      <c r="D45" s="235">
        <f ca="1">C47</f>
        <v>5.0000000000000001E-3</v>
      </c>
      <c r="E45" s="236" t="s">
        <v>1539</v>
      </c>
      <c r="F45" s="246">
        <f ca="1">F27</f>
        <v>0.2</v>
      </c>
      <c r="G45" s="247" t="s">
        <v>1548</v>
      </c>
    </row>
    <row r="46" spans="1:7" s="214" customFormat="1" ht="13.5" customHeight="1">
      <c r="A46" s="775" t="s">
        <v>346</v>
      </c>
      <c r="B46" s="248" t="s">
        <v>1549</v>
      </c>
      <c r="C46" s="249">
        <f ca="1">ROUND((C33+C39)*F27,0)</f>
        <v>4419</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1322">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30000</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23400</v>
      </c>
      <c r="D51" s="232"/>
      <c r="E51" s="232"/>
      <c r="F51" s="264"/>
      <c r="G51" s="234" t="s">
        <v>1560</v>
      </c>
    </row>
    <row r="52" spans="1:7" s="208" customFormat="1" ht="16.5" thickBot="1">
      <c r="A52" s="265" t="s">
        <v>1561</v>
      </c>
      <c r="B52" s="266"/>
      <c r="C52" s="267">
        <f ca="1">C31+C51</f>
        <v>109373</v>
      </c>
      <c r="D52" s="266"/>
      <c r="E52" s="266"/>
      <c r="F52" s="266"/>
      <c r="G52" s="268"/>
    </row>
    <row r="55" spans="1:7" ht="15">
      <c r="B55" s="270" t="s">
        <v>1562</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7</v>
      </c>
      <c r="H1" s="1056" t="str">
        <f>IF(ISERROR(FIND("住宅",B1)),"非住宅","住宅")</f>
        <v>非住宅</v>
      </c>
    </row>
    <row r="2" spans="1:8" s="200" customFormat="1" ht="18" customHeight="1">
      <c r="A2" s="201" t="s">
        <v>1462</v>
      </c>
      <c r="B2" s="3418">
        <f ca="1">ROUND(IF(D2="——",C52/10000,C52/10000-E2),4)</f>
        <v>25061.713299999999</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8693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5766056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5766056</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5766056</v>
      </c>
      <c r="D10" s="840">
        <f ca="1">IF(B1="",'数据-汇总表'!E6,IF(INDIRECT("'数据-取费表'!c"&amp;$G$1)="住宅",INDIRECT("'数据-取费表'!s"&amp;$G$1),INDIRECT("'数据-取费表'!k"&amp;$G$1)+INDIRECT("'数据-取费表'!s"&amp;$G$1)))</f>
        <v>28830.28</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5766056</v>
      </c>
      <c r="D19" s="844">
        <f ca="1">D9+D10</f>
        <v>28830.28</v>
      </c>
      <c r="E19" s="211">
        <f>'数据-取费表'!B31</f>
        <v>200</v>
      </c>
      <c r="F19" s="231"/>
      <c r="G19" s="1851"/>
    </row>
    <row r="20" spans="1:7" s="214" customFormat="1" ht="13.5" customHeight="1">
      <c r="A20" s="255" t="s">
        <v>1574</v>
      </c>
      <c r="B20" s="210" t="s">
        <v>1575</v>
      </c>
      <c r="C20" s="232">
        <f ca="1">ROUND((C5+C19)*F20,0)</f>
        <v>288303</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2">
        <f ca="1">ROUND(SUM(C23:C25),0)</f>
        <v>1033014</v>
      </c>
      <c r="D22" s="235">
        <f ca="1">C26</f>
        <v>1.1000000000000001E-3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510264</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510264</v>
      </c>
      <c r="D24" s="238"/>
      <c r="E24" s="238"/>
      <c r="F24" s="239"/>
      <c r="G24" s="240" t="s">
        <v>1586</v>
      </c>
    </row>
    <row r="25" spans="1:7" s="214" customFormat="1" ht="24">
      <c r="A25" s="775" t="s">
        <v>1476</v>
      </c>
      <c r="B25" s="215" t="s">
        <v>1587</v>
      </c>
      <c r="C25" s="1123">
        <f ca="1">ROUND(IF('数据-取费表'!B22&lt;=1,C20*F22*'数据-取费表'!B22/2,C20*(POWER((1+F22),'数据-取费表'!B22/2)-1)),0)</f>
        <v>12486</v>
      </c>
      <c r="D25" s="238"/>
      <c r="E25" s="241"/>
      <c r="F25" s="239"/>
      <c r="G25" s="242" t="s">
        <v>1588</v>
      </c>
    </row>
    <row r="26" spans="1:7" s="214" customFormat="1">
      <c r="A26" s="775"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2364083</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ROUND((C5+C19+C20)*F27,0)</f>
        <v>2364083</v>
      </c>
      <c r="D28" s="235"/>
      <c r="E28" s="236"/>
      <c r="F28" s="246"/>
      <c r="G28" s="247"/>
    </row>
    <row r="29" spans="1:7" s="214" customFormat="1" ht="13.5" customHeight="1">
      <c r="A29" s="775"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16620262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215535173</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196045904</v>
      </c>
      <c r="D34" s="217"/>
      <c r="E34" s="220"/>
      <c r="F34" s="257"/>
      <c r="G34" s="219"/>
    </row>
    <row r="35" spans="1:7" ht="13.5" customHeight="1">
      <c r="A35" s="775" t="s">
        <v>351</v>
      </c>
      <c r="B35" s="215" t="s">
        <v>1527</v>
      </c>
      <c r="C35" s="220">
        <f ca="1">ROUND(C34*F35,0)</f>
        <v>9802295</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5766056</v>
      </c>
      <c r="D37" s="217">
        <f ca="1">D19</f>
        <v>28830.28</v>
      </c>
      <c r="E37" s="249">
        <f>'数据-取费表'!B35</f>
        <v>200</v>
      </c>
      <c r="F37" s="259"/>
      <c r="G37" s="261"/>
    </row>
    <row r="38" spans="1:7" ht="13.5" customHeight="1">
      <c r="A38" s="775" t="s">
        <v>354</v>
      </c>
      <c r="B38" s="215" t="s">
        <v>1533</v>
      </c>
      <c r="C38" s="220">
        <f ca="1">ROUND(C34*F38,0)</f>
        <v>3920918</v>
      </c>
      <c r="D38" s="220"/>
      <c r="E38" s="220"/>
      <c r="F38" s="259">
        <f>'数据-取费表'!B36</f>
        <v>0.02</v>
      </c>
      <c r="G38" s="219" t="s">
        <v>1528</v>
      </c>
    </row>
    <row r="39" spans="1:7" s="214" customFormat="1" ht="13.5" customHeight="1">
      <c r="A39" s="255" t="s">
        <v>1534</v>
      </c>
      <c r="B39" s="210" t="s">
        <v>1535</v>
      </c>
      <c r="C39" s="232">
        <f ca="1">ROUND(C33*F20,0)</f>
        <v>5388379</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9568065</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9334698</v>
      </c>
      <c r="D42" s="238"/>
      <c r="E42" s="238"/>
      <c r="F42" s="239"/>
      <c r="G42" s="3734" t="s">
        <v>1591</v>
      </c>
    </row>
    <row r="43" spans="1:7" ht="13.5" customHeight="1">
      <c r="A43" s="775" t="s">
        <v>347</v>
      </c>
      <c r="B43" s="215" t="s">
        <v>1545</v>
      </c>
      <c r="C43" s="238">
        <f ca="1">ROUND(IF('数据-取费表'!B22&lt;=1,C39*F22*'数据-取费表'!B20/2,C39*(POWER((1+F22),'数据-取费表'!B20/2)-1)),0)</f>
        <v>233367</v>
      </c>
      <c r="D43" s="238"/>
      <c r="E43" s="238"/>
      <c r="F43" s="239"/>
      <c r="G43" s="3735"/>
    </row>
    <row r="44" spans="1:7" ht="13.5" customHeight="1">
      <c r="A44" s="775" t="s">
        <v>348</v>
      </c>
      <c r="B44" s="215" t="s">
        <v>1546</v>
      </c>
      <c r="C44" s="238">
        <f ca="1">ROUND(IF('数据-取费表'!B22&lt;=1,C40*F22*'数据-取费表'!B20/2,C40*(POWER((1+F22),'数据-取费表'!B20/2)-1)),4)</f>
        <v>1.1000000000000001E-3</v>
      </c>
      <c r="D44" s="238"/>
      <c r="E44" s="238"/>
      <c r="F44" s="239"/>
      <c r="G44" s="3736"/>
    </row>
    <row r="45" spans="1:7" s="214" customFormat="1" ht="13.5" customHeight="1">
      <c r="A45" s="255" t="s">
        <v>1547</v>
      </c>
      <c r="B45" s="244" t="s">
        <v>1513</v>
      </c>
      <c r="C45" s="245">
        <f ca="1">C46</f>
        <v>44184710</v>
      </c>
      <c r="D45" s="235">
        <f ca="1">C47</f>
        <v>5.0000000000000001E-3</v>
      </c>
      <c r="E45" s="236" t="s">
        <v>1539</v>
      </c>
      <c r="F45" s="246">
        <f ca="1">F27</f>
        <v>0.2</v>
      </c>
      <c r="G45" s="247" t="s">
        <v>1548</v>
      </c>
    </row>
    <row r="46" spans="1:7" s="214" customFormat="1" ht="13.5" customHeight="1">
      <c r="A46" s="775" t="s">
        <v>346</v>
      </c>
      <c r="B46" s="248" t="s">
        <v>1549</v>
      </c>
      <c r="C46" s="249">
        <f ca="1">ROUND((C33+C39)*F27,0)</f>
        <v>44184710</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299995988</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233996871</v>
      </c>
      <c r="D51" s="232"/>
      <c r="E51" s="232"/>
      <c r="F51" s="264"/>
      <c r="G51" s="234" t="s">
        <v>1560</v>
      </c>
    </row>
    <row r="52" spans="1:7" s="208" customFormat="1" ht="16.5" thickBot="1">
      <c r="A52" s="265" t="s">
        <v>1561</v>
      </c>
      <c r="B52" s="266"/>
      <c r="C52" s="267">
        <f ca="1">C31+C51</f>
        <v>250617133</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800"/>
      <c r="F1" s="2800"/>
      <c r="G1" s="2665"/>
      <c r="H1" s="2800"/>
      <c r="I1" s="2800"/>
      <c r="J1" s="2800"/>
      <c r="K1" s="2801">
        <f>MATCH(C1,'数据-取费表'!A6:A16,0)+5</f>
        <v>7</v>
      </c>
    </row>
    <row r="2" spans="1:33" ht="18" customHeight="1">
      <c r="A2" s="201" t="s">
        <v>1462</v>
      </c>
      <c r="B2" s="204">
        <f ca="1">C32</f>
        <v>-17</v>
      </c>
      <c r="C2" s="276" t="s">
        <v>1595</v>
      </c>
      <c r="D2" s="276"/>
      <c r="E2" s="2800"/>
      <c r="F2" s="2800"/>
      <c r="G2" s="2800"/>
      <c r="H2" s="2800"/>
      <c r="I2" s="2800"/>
      <c r="J2" s="2800"/>
      <c r="K2" s="2800"/>
    </row>
    <row r="3" spans="1:33" ht="18" customHeight="1" thickBot="1">
      <c r="A3" s="203" t="s">
        <v>1464</v>
      </c>
      <c r="B3" s="204">
        <f ca="1">ROUND(B2*10000/IF(C1="",'数据-汇总表'!E3,INDIRECT("'数据-取费表'!K"&amp;$K$1)),0)</f>
        <v>-6</v>
      </c>
      <c r="C3" s="276" t="s">
        <v>1596</v>
      </c>
      <c r="D3" s="276"/>
      <c r="E3" s="2800"/>
      <c r="F3" s="2800"/>
      <c r="G3" s="2800"/>
      <c r="H3" s="2800"/>
      <c r="I3" s="2800"/>
      <c r="J3" s="2800"/>
      <c r="K3" s="2800"/>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28830.28</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28830.28</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15</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4"/>
      <c r="I19" s="804"/>
      <c r="J19" s="804"/>
      <c r="K19" s="805"/>
    </row>
    <row r="20" spans="1:33" s="798" customFormat="1" ht="13.5" customHeight="1">
      <c r="A20" s="795" t="s">
        <v>361</v>
      </c>
      <c r="B20" s="796" t="s">
        <v>1627</v>
      </c>
      <c r="C20" s="21">
        <f ca="1">ROUND(D20*E20/10000,0)</f>
        <v>577</v>
      </c>
      <c r="D20" s="841">
        <f ca="1">IF(C1="",'数据-汇总表'!E6,IF(INDIRECT("'数据-取费表'!c"&amp;$K$1)="住宅",INDIRECT("'数据-取费表'!s"&amp;$K$1),INDIRECT("'数据-取费表'!k"&amp;$K$1)+INDIRECT("'数据-取费表'!s"&amp;$K$1)))</f>
        <v>28830.28</v>
      </c>
      <c r="E20" s="21">
        <f>'数据-取费表'!B28</f>
        <v>200</v>
      </c>
      <c r="F20" s="799"/>
      <c r="G20" s="12"/>
      <c r="H20" s="804"/>
      <c r="I20" s="804"/>
      <c r="J20" s="804"/>
      <c r="K20" s="805"/>
    </row>
    <row r="21" spans="1:33" s="798" customFormat="1" ht="13.5" customHeight="1">
      <c r="A21" s="785" t="s">
        <v>357</v>
      </c>
      <c r="B21" s="808" t="s">
        <v>1628</v>
      </c>
      <c r="C21" s="809">
        <f ca="1">C16+C17+C18</f>
        <v>15</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2.5000000000000001E-2</v>
      </c>
      <c r="G22" s="5" t="s">
        <v>1631</v>
      </c>
      <c r="H22" s="792"/>
      <c r="I22" s="792"/>
      <c r="J22" s="792"/>
      <c r="K22" s="793"/>
    </row>
    <row r="23" spans="1:33" s="798" customFormat="1" ht="13.5" customHeight="1">
      <c r="A23" s="785" t="s">
        <v>1603</v>
      </c>
      <c r="B23" s="808" t="s">
        <v>1632</v>
      </c>
      <c r="C23" s="809">
        <f ca="1">ROUND(C4*F23*F11,0)</f>
        <v>0</v>
      </c>
      <c r="D23" s="281"/>
      <c r="E23" s="281"/>
      <c r="F23" s="811">
        <f>'数据-取费表'!B38</f>
        <v>2.5000000000000001E-2</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2"/>
      <c r="I27" s="802"/>
      <c r="J27" s="802"/>
      <c r="K27" s="803"/>
    </row>
    <row r="28" spans="1:33" s="289" customFormat="1" ht="13.5" customHeight="1">
      <c r="A28" s="785" t="s">
        <v>1641</v>
      </c>
      <c r="B28" s="1860" t="s">
        <v>1642</v>
      </c>
      <c r="C28" s="287">
        <f ca="1">C30</f>
        <v>3</v>
      </c>
      <c r="D28" s="280">
        <f ca="1">C29</f>
        <v>0</v>
      </c>
      <c r="E28" s="282" t="s">
        <v>12</v>
      </c>
      <c r="F28" s="288">
        <f ca="1">IF(C1="",'数据-取费表'!Q16,INDIRECT("'数据-取费表'!q"&amp;$K$1))</f>
        <v>0.2</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3</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-17</v>
      </c>
      <c r="D32" s="824"/>
      <c r="E32" s="824"/>
      <c r="F32" s="824"/>
      <c r="G32" s="826" t="s">
        <v>1650</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51721</v>
      </c>
      <c r="C2" s="1867" t="s">
        <v>1651</v>
      </c>
      <c r="D2" s="1868" t="s">
        <v>1652</v>
      </c>
      <c r="E2" s="2602">
        <f>SUM(E6:E13)</f>
        <v>28830.28</v>
      </c>
      <c r="F2" s="2701"/>
      <c r="G2" s="1484"/>
      <c r="H2" s="1484"/>
      <c r="I2" s="1484"/>
      <c r="J2" s="1484"/>
      <c r="K2" s="1484"/>
      <c r="L2" s="1484"/>
      <c r="M2" s="1484"/>
      <c r="N2" s="1484"/>
      <c r="O2" s="1484"/>
      <c r="P2" s="1484"/>
      <c r="Q2" s="1484"/>
      <c r="R2" s="1484"/>
      <c r="S2" s="1484"/>
    </row>
    <row r="3" spans="1:22" ht="15.75">
      <c r="A3" s="1865" t="s">
        <v>686</v>
      </c>
      <c r="B3" s="2596">
        <f ca="1">ROUND(B2*10000/E2,0)</f>
        <v>17940</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37" t="s">
        <v>1654</v>
      </c>
      <c r="C5" s="3738"/>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51721</v>
      </c>
      <c r="C6" s="1867" t="s">
        <v>1651</v>
      </c>
      <c r="D6" s="2703"/>
      <c r="E6" s="2601">
        <f>IF(OR(A6=0,F6="否"),0,'数据-取费表'!K6+'数据-取费表'!S6)</f>
        <v>28830.28</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3"/>
      <c r="E7" s="2601">
        <f>IF(OR(A7=0,F7="否"),0,'数据-取费表'!K7+'数据-取费表'!S7)</f>
        <v>0</v>
      </c>
      <c r="F7" s="1871" t="s">
        <v>3384</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3"/>
      <c r="E8" s="2601">
        <f>IF(OR(A8=0,F8="否"),0,'数据-取费表'!K8+'数据-取费表'!S8)</f>
        <v>0</v>
      </c>
      <c r="F8" s="1871" t="s">
        <v>3384</v>
      </c>
      <c r="G8" s="1484"/>
      <c r="H8" s="1484"/>
      <c r="I8" s="1484"/>
      <c r="J8" s="1484"/>
      <c r="K8" s="1484"/>
      <c r="L8" s="1484"/>
      <c r="M8" s="1484"/>
      <c r="N8" s="1484"/>
      <c r="O8" s="1484"/>
      <c r="P8" s="1484"/>
      <c r="Q8" s="1484"/>
      <c r="R8" s="1484"/>
      <c r="S8" s="1484"/>
    </row>
    <row r="9" spans="1:22">
      <c r="A9" s="2599">
        <f>'数据-取费表'!AN9</f>
        <v>0</v>
      </c>
      <c r="B9" s="2597">
        <f>IF(F9="是",'数据-取费表'!AO9,0)</f>
        <v>0</v>
      </c>
      <c r="C9" s="1867" t="s">
        <v>1651</v>
      </c>
      <c r="D9" s="2703"/>
      <c r="E9" s="2601">
        <f>IF(OR(A9=0,F9="否"),0,'数据-取费表'!K9+'数据-取费表'!S9)</f>
        <v>0</v>
      </c>
      <c r="F9" s="1871" t="s">
        <v>3413</v>
      </c>
      <c r="G9" s="1484"/>
      <c r="H9" s="1484"/>
      <c r="I9" s="1484"/>
      <c r="J9" s="1484"/>
      <c r="K9" s="1484"/>
      <c r="L9" s="1484"/>
      <c r="M9" s="1484"/>
      <c r="N9" s="1484"/>
      <c r="O9" s="1484"/>
      <c r="P9" s="1484"/>
      <c r="Q9" s="1484"/>
      <c r="R9" s="1484"/>
      <c r="S9" s="1484"/>
    </row>
    <row r="10" spans="1:22">
      <c r="A10" s="2599">
        <f>'数据-取费表'!AN10</f>
        <v>0</v>
      </c>
      <c r="B10" s="2597">
        <f>IF(F10="是",'数据-取费表'!AO10,0)</f>
        <v>0</v>
      </c>
      <c r="C10" s="1867" t="s">
        <v>1651</v>
      </c>
      <c r="D10" s="2703"/>
      <c r="E10" s="2601">
        <f>IF(OR(A10=0,F10="否"),0,'数据-取费表'!K10+'数据-取费表'!S10)</f>
        <v>0</v>
      </c>
      <c r="F10" s="1871" t="s">
        <v>3413</v>
      </c>
      <c r="G10" s="1484"/>
      <c r="H10" s="1484"/>
      <c r="I10" s="1484"/>
      <c r="J10" s="1484"/>
      <c r="K10" s="1484"/>
      <c r="L10" s="1484"/>
      <c r="M10" s="1484"/>
      <c r="N10" s="1484"/>
      <c r="O10" s="1484"/>
      <c r="P10" s="1484"/>
      <c r="Q10" s="1484"/>
      <c r="R10" s="1484"/>
      <c r="S10" s="1484"/>
    </row>
    <row r="11" spans="1:22">
      <c r="A11" s="2599">
        <f>'数据-取费表'!AN11</f>
        <v>0</v>
      </c>
      <c r="B11" s="2597">
        <f>IF(F11="是",'数据-取费表'!AO11,0)</f>
        <v>0</v>
      </c>
      <c r="C11" s="1867" t="s">
        <v>1651</v>
      </c>
      <c r="D11" s="2703"/>
      <c r="E11" s="2601">
        <f>IF(OR(A11=0,F11="否"),0,'数据-取费表'!K11+'数据-取费表'!S11)</f>
        <v>0</v>
      </c>
      <c r="F11" s="1871" t="s">
        <v>3413</v>
      </c>
      <c r="G11" s="1484"/>
      <c r="H11" s="1484"/>
      <c r="I11" s="1484"/>
      <c r="J11" s="1484"/>
      <c r="K11" s="1484"/>
      <c r="L11" s="1484"/>
      <c r="M11" s="1484"/>
      <c r="N11" s="1484"/>
      <c r="O11" s="1484"/>
      <c r="P11" s="1484"/>
      <c r="Q11" s="1484"/>
      <c r="R11" s="1484"/>
      <c r="S11" s="1484"/>
    </row>
    <row r="12" spans="1:22">
      <c r="A12" s="2599">
        <f>'数据-取费表'!AN12</f>
        <v>0</v>
      </c>
      <c r="B12" s="2597">
        <f>IF(F12="是",'数据-取费表'!AO12,0)</f>
        <v>0</v>
      </c>
      <c r="C12" s="1867" t="s">
        <v>1651</v>
      </c>
      <c r="D12" s="2703"/>
      <c r="E12" s="2601">
        <f>IF(OR(A12=0,F12="否"),0,'数据-取费表'!K12+'数据-取费表'!S12)</f>
        <v>0</v>
      </c>
      <c r="F12" s="1871" t="s">
        <v>3413</v>
      </c>
      <c r="G12" s="1484"/>
      <c r="H12" s="1484"/>
      <c r="I12" s="1484"/>
      <c r="J12" s="1484"/>
      <c r="K12" s="1484"/>
      <c r="L12" s="1484"/>
      <c r="M12" s="1484"/>
      <c r="N12" s="1484"/>
      <c r="O12" s="1484"/>
      <c r="P12" s="1484"/>
      <c r="Q12" s="1484"/>
      <c r="R12" s="1484"/>
      <c r="S12" s="1484"/>
    </row>
    <row r="13" spans="1:22" ht="15" thickBot="1">
      <c r="A13" s="2600">
        <f>'数据-取费表'!AN13</f>
        <v>0</v>
      </c>
      <c r="B13" s="2597">
        <f>IF(F13="是",'数据-取费表'!AO13,0)</f>
        <v>0</v>
      </c>
      <c r="C13" s="1872" t="s">
        <v>1651</v>
      </c>
      <c r="D13" s="2704"/>
      <c r="E13" s="2601">
        <f>IF(OR(A13=0,F13="否"),0,'数据-取费表'!K13+'数据-取费表'!S13)</f>
        <v>0</v>
      </c>
      <c r="F13" s="1871" t="s">
        <v>3413</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115" zoomScaleNormal="70" zoomScaleSheetLayoutView="11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7">
        <f ca="1">J53</f>
        <v>17.32</v>
      </c>
      <c r="G1" s="1373">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51721</v>
      </c>
      <c r="C2" s="1382" t="s">
        <v>805</v>
      </c>
      <c r="D2" s="1382"/>
      <c r="E2" s="1383"/>
      <c r="F2" s="1384"/>
      <c r="G2" s="2700"/>
      <c r="H2" s="2689"/>
      <c r="I2" s="2689"/>
      <c r="J2" s="2689"/>
      <c r="K2" s="2690"/>
      <c r="L2" s="2689"/>
      <c r="M2" s="2689"/>
    </row>
    <row r="3" spans="1:37" ht="18" customHeight="1" thickBot="1">
      <c r="A3" s="1385" t="s">
        <v>806</v>
      </c>
      <c r="B3" s="1386">
        <f ca="1">IF(ISERROR(B2*10000/F43),0,ROUND(B2*10000/F43,0))</f>
        <v>17940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4747</v>
      </c>
      <c r="D5" s="1359" t="s">
        <v>693</v>
      </c>
      <c r="E5" s="1066"/>
      <c r="F5" s="1067"/>
      <c r="G5" s="1379"/>
      <c r="H5" s="299">
        <v>1</v>
      </c>
      <c r="I5" s="300" t="s">
        <v>692</v>
      </c>
      <c r="J5" s="1065">
        <f ca="1">J6+J10+J12</f>
        <v>0</v>
      </c>
      <c r="K5" s="1359" t="s">
        <v>693</v>
      </c>
      <c r="L5" s="1066"/>
      <c r="M5" s="1067"/>
    </row>
    <row r="6" spans="1:37" ht="18" customHeight="1">
      <c r="A6" s="1064" t="s">
        <v>398</v>
      </c>
      <c r="B6" s="3741" t="s">
        <v>694</v>
      </c>
      <c r="C6" s="1069">
        <f ca="1">ROUND(F6*F8*F7*(1-F9)/10000,0)</f>
        <v>4741</v>
      </c>
      <c r="D6" s="155" t="s">
        <v>2109</v>
      </c>
      <c r="E6" s="302" t="s">
        <v>696</v>
      </c>
      <c r="F6" s="303">
        <f ca="1">INDIRECT("'数据-取费表'!u"&amp;$G$1)</f>
        <v>5.3</v>
      </c>
      <c r="G6" s="1379"/>
      <c r="H6" s="1064" t="s">
        <v>398</v>
      </c>
      <c r="I6" s="3741" t="s">
        <v>694</v>
      </c>
      <c r="J6" s="301">
        <f ca="1">ROUND(M6*M8*M7*(1-M9)/10000,0)</f>
        <v>0</v>
      </c>
      <c r="K6" s="155" t="s">
        <v>2108</v>
      </c>
      <c r="L6" s="302" t="s">
        <v>696</v>
      </c>
      <c r="M6" s="303">
        <f ca="1">INDIRECT("'数据-取费表'!z"&amp;$G$1)</f>
        <v>0</v>
      </c>
    </row>
    <row r="7" spans="1:37" ht="18" customHeight="1">
      <c r="A7" s="1068"/>
      <c r="B7" s="3742"/>
      <c r="C7" s="1070"/>
      <c r="D7" s="307"/>
      <c r="E7" s="1071" t="s">
        <v>697</v>
      </c>
      <c r="F7" s="303">
        <f ca="1">IF(INDIRECT("'数据-取费表'!ah"&amp;$G$1)="",INDIRECT("'数据-取费表'!k"&amp;$G$1),INDIRECT("'数据-取费表'!ah"&amp;$G$1))</f>
        <v>28830.28</v>
      </c>
      <c r="G7" s="1379"/>
      <c r="H7" s="304"/>
      <c r="I7" s="3742"/>
      <c r="J7" s="306"/>
      <c r="K7" s="307"/>
      <c r="L7" s="302" t="s">
        <v>697</v>
      </c>
      <c r="M7" s="303">
        <f ca="1">F7</f>
        <v>28830.28</v>
      </c>
    </row>
    <row r="8" spans="1:37" ht="18" customHeight="1">
      <c r="A8" s="304"/>
      <c r="B8" s="3742"/>
      <c r="C8" s="306"/>
      <c r="D8" s="307"/>
      <c r="E8" s="302" t="s">
        <v>698</v>
      </c>
      <c r="F8" s="303">
        <f ca="1">INDIRECT("'数据-取费表'!ai"&amp;$G$1)</f>
        <v>365</v>
      </c>
      <c r="G8" s="1379"/>
      <c r="H8" s="304"/>
      <c r="I8" s="3742"/>
      <c r="J8" s="306"/>
      <c r="K8" s="307"/>
      <c r="L8" s="302" t="s">
        <v>698</v>
      </c>
      <c r="M8" s="303">
        <f ca="1">INDIRECT("'数据-取费表'!ai"&amp;$G$1)</f>
        <v>365</v>
      </c>
    </row>
    <row r="9" spans="1:37" ht="18" customHeight="1">
      <c r="A9" s="304"/>
      <c r="B9" s="3743"/>
      <c r="C9" s="306"/>
      <c r="D9" s="307"/>
      <c r="E9" s="302" t="s">
        <v>699</v>
      </c>
      <c r="F9" s="312">
        <f ca="1">INDIRECT("'数据-取费表'!w"&amp;$G$1)</f>
        <v>0.15</v>
      </c>
      <c r="G9" s="1379"/>
      <c r="H9" s="304"/>
      <c r="I9" s="3743"/>
      <c r="J9" s="306"/>
      <c r="K9" s="307"/>
      <c r="L9" s="313" t="s">
        <v>699</v>
      </c>
      <c r="M9" s="314">
        <f ca="1">INDIRECT("'数据-取费表'!ab"&amp;$G$1)</f>
        <v>0</v>
      </c>
    </row>
    <row r="10" spans="1:37" ht="18" customHeight="1">
      <c r="A10" s="1064" t="s">
        <v>402</v>
      </c>
      <c r="B10" s="1360" t="s">
        <v>700</v>
      </c>
      <c r="C10" s="316">
        <f ca="1">ROUND(IF(F10="押一",C6/12*F11,IF(F10="押二",C6/12*2*F11,IF(F10="押三",C6/12*3*F11,C11*F11))),0)</f>
        <v>6</v>
      </c>
      <c r="D10" s="1361" t="s">
        <v>2117</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23400</v>
      </c>
      <c r="D13" s="1076" t="s">
        <v>705</v>
      </c>
      <c r="E13" s="1076" t="s">
        <v>706</v>
      </c>
      <c r="F13" s="1077">
        <f ca="1">INDIRECT("'数据-取费表'!y"&amp;$G$1)</f>
        <v>0.78</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19605</v>
      </c>
      <c r="D14" s="1340" t="s">
        <v>708</v>
      </c>
      <c r="E14" s="1337"/>
      <c r="F14" s="319"/>
      <c r="G14" s="1379"/>
      <c r="H14" s="977" t="s">
        <v>398</v>
      </c>
      <c r="I14" s="302" t="s">
        <v>709</v>
      </c>
      <c r="J14" s="21">
        <f ca="1">C29</f>
        <v>30000</v>
      </c>
      <c r="K14" s="12"/>
      <c r="L14" s="802"/>
      <c r="M14" s="803"/>
    </row>
    <row r="15" spans="1:37" s="1392" customFormat="1" ht="18" customHeight="1" thickBot="1">
      <c r="A15" s="977" t="s">
        <v>399</v>
      </c>
      <c r="B15" s="302" t="s">
        <v>710</v>
      </c>
      <c r="C15" s="21">
        <f ca="1">ROUND(C14*F15,0)</f>
        <v>980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150</v>
      </c>
      <c r="K16" s="1082" t="s">
        <v>715</v>
      </c>
      <c r="L16" s="1083"/>
      <c r="M16" s="1067"/>
    </row>
    <row r="17" spans="1:37" s="1392" customFormat="1" ht="18" customHeight="1">
      <c r="A17" s="977" t="s">
        <v>681</v>
      </c>
      <c r="B17" s="302" t="s">
        <v>716</v>
      </c>
      <c r="C17" s="21">
        <f ca="1">ROUND(F17*(F43+INDIRECT("'数据-取费表'!S"&amp;$G$1))/10000,0)</f>
        <v>577</v>
      </c>
      <c r="D17" s="302" t="s">
        <v>717</v>
      </c>
      <c r="E17" s="302" t="s">
        <v>718</v>
      </c>
      <c r="F17" s="23">
        <f>'数据-取费表'!B35</f>
        <v>200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392</v>
      </c>
      <c r="D18" s="302" t="s">
        <v>711</v>
      </c>
      <c r="E18" s="302" t="s">
        <v>712</v>
      </c>
      <c r="F18" s="322">
        <f>'数据-取费表'!B36</f>
        <v>0.02</v>
      </c>
      <c r="G18" s="1391"/>
      <c r="H18" s="977"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21554</v>
      </c>
      <c r="D19" s="131" t="s">
        <v>726</v>
      </c>
      <c r="E19" s="1355"/>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539</v>
      </c>
      <c r="D20" s="323" t="s">
        <v>729</v>
      </c>
      <c r="E20" s="302" t="s">
        <v>712</v>
      </c>
      <c r="F20" s="322">
        <f>'数据-取费表'!B37</f>
        <v>2.5000000000000001E-2</v>
      </c>
      <c r="G20" s="1391"/>
      <c r="H20" s="977"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ROUND(J14*M22,2)</f>
        <v>150</v>
      </c>
      <c r="K22" s="1339" t="s">
        <v>739</v>
      </c>
      <c r="L22" s="302" t="s">
        <v>712</v>
      </c>
      <c r="M22" s="328">
        <f ca="1">INDIRECT("'数据-取费表'!Ak"&amp;$G$1)</f>
        <v>5.0000000000000001E-3</v>
      </c>
    </row>
    <row r="23" spans="1:37" s="1392" customFormat="1" ht="18" customHeight="1">
      <c r="A23" s="977" t="s">
        <v>397</v>
      </c>
      <c r="B23" s="302" t="s">
        <v>740</v>
      </c>
      <c r="C23" s="21">
        <f ca="1">IF('数据-取费表'!B22&lt;=1,ROUND(C19*F24*F23/2,0)+ROUND(C20*F24*F23/2,0),ROUND(C19*(POWER((1+F24),F23/2)-1),0)+ROUND(C20*(POWER((1+F24),F23/2)-1),0))</f>
        <v>956</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ROUND(J5*M24,2)</f>
        <v>0</v>
      </c>
      <c r="K24" s="1087" t="s">
        <v>748</v>
      </c>
      <c r="L24" s="1085" t="s">
        <v>744</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f ca="1">J5-J16</f>
        <v>-150</v>
      </c>
      <c r="K25" s="1090" t="s">
        <v>753</v>
      </c>
      <c r="L25" s="1091"/>
      <c r="M25" s="1092"/>
    </row>
    <row r="26" spans="1:37">
      <c r="A26" s="977" t="s">
        <v>397</v>
      </c>
      <c r="B26" s="302" t="s">
        <v>754</v>
      </c>
      <c r="C26" s="21">
        <f ca="1">ROUND((C19+C20)*F26,0)</f>
        <v>4419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5.0000000000000001E-3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30000</v>
      </c>
      <c r="D29" s="1087"/>
      <c r="E29" s="1085"/>
      <c r="F29" s="1088"/>
      <c r="G29" s="1391"/>
      <c r="H29" s="334" t="s">
        <v>396</v>
      </c>
      <c r="I29" s="335" t="s">
        <v>768</v>
      </c>
      <c r="J29" s="336">
        <f ca="1">ROUND(J26/(1+F40)^F41,0)</f>
        <v>0</v>
      </c>
      <c r="K29" s="337" t="s">
        <v>769</v>
      </c>
      <c r="L29" s="338"/>
      <c r="M29" s="339">
        <f ca="1">INDIRECT("'数据-取费表'!k"&amp;$G$1)</f>
        <v>28830.28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992</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794.68</v>
      </c>
      <c r="D31" s="1340" t="s">
        <v>720</v>
      </c>
      <c r="E31" s="1339"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252.85</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541.83000000000004</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ROUND(C29*F36,2)</f>
        <v>150</v>
      </c>
      <c r="D36" s="1339" t="s">
        <v>771</v>
      </c>
      <c r="E36" s="302" t="s">
        <v>712</v>
      </c>
      <c r="F36" s="328">
        <f ca="1">INDIRECT("'数据-取费表'!Ak"&amp;$G$1)</f>
        <v>5.0000000000000001E-3</v>
      </c>
      <c r="G36" s="1379"/>
      <c r="H36" s="2694"/>
      <c r="I36" s="1393"/>
      <c r="J36" s="1394"/>
      <c r="K36" s="2539"/>
      <c r="L36" s="2694"/>
      <c r="M36" s="2694"/>
    </row>
    <row r="37" spans="1:18" ht="18" customHeight="1">
      <c r="A37" s="977" t="s">
        <v>437</v>
      </c>
      <c r="B37" s="302" t="s">
        <v>742</v>
      </c>
      <c r="C37" s="21">
        <f ca="1">ROUND(C13*F37,2)</f>
        <v>23.4</v>
      </c>
      <c r="D37" s="1339" t="s">
        <v>743</v>
      </c>
      <c r="E37" s="302" t="s">
        <v>744</v>
      </c>
      <c r="F37" s="330">
        <f ca="1">INDIRECT("'数据-取费表'!Al"&amp;$G$1)</f>
        <v>1E-3</v>
      </c>
      <c r="G37" s="1379"/>
      <c r="H37" s="2694"/>
      <c r="I37" s="1393"/>
      <c r="J37" s="1394"/>
      <c r="K37" s="2539"/>
      <c r="L37" s="2694"/>
      <c r="M37" s="2694"/>
    </row>
    <row r="38" spans="1:18" ht="18" customHeight="1" thickBot="1">
      <c r="A38" s="1084" t="s">
        <v>684</v>
      </c>
      <c r="B38" s="1085" t="s">
        <v>728</v>
      </c>
      <c r="C38" s="1086">
        <f ca="1">ROUND(C5*F38,2)</f>
        <v>23.74</v>
      </c>
      <c r="D38" s="1087" t="s">
        <v>748</v>
      </c>
      <c r="E38" s="1085" t="s">
        <v>744</v>
      </c>
      <c r="F38" s="1081">
        <f ca="1">INDIRECT("'数据-取费表'!Am"&amp;$G$1)</f>
        <v>5.0000000000000001E-3</v>
      </c>
      <c r="G38" s="1379"/>
      <c r="H38" s="2694"/>
      <c r="I38" s="1393"/>
      <c r="J38" s="1394"/>
      <c r="K38" s="2698"/>
      <c r="L38" s="2694"/>
      <c r="M38" s="2694"/>
    </row>
    <row r="39" spans="1:18" ht="24.6" customHeight="1" thickTop="1">
      <c r="A39" s="1074" t="s">
        <v>394</v>
      </c>
      <c r="B39" s="1089" t="s">
        <v>772</v>
      </c>
      <c r="C39" s="310">
        <f ca="1">C5-C30</f>
        <v>3755</v>
      </c>
      <c r="D39" s="1090" t="s">
        <v>773</v>
      </c>
      <c r="E39" s="1091"/>
      <c r="F39" s="1092"/>
      <c r="G39" s="1379"/>
      <c r="H39" s="2694">
        <f ca="1">C39/C6</f>
        <v>0.79202699852351821</v>
      </c>
      <c r="I39" s="1393"/>
      <c r="J39" s="1394"/>
      <c r="K39" s="2698"/>
      <c r="L39" s="2694"/>
      <c r="M39" s="2694"/>
    </row>
    <row r="40" spans="1:18" ht="18" customHeight="1">
      <c r="A40" s="299" t="s">
        <v>395</v>
      </c>
      <c r="B40" s="300" t="s">
        <v>774</v>
      </c>
      <c r="C40" s="301">
        <f ca="1">ROUND(C39*(1-((1+F42)/(1+F40))^F41)/(F40-F42),0)</f>
        <v>47477</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17.32</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ROUND(C40*10000/F43,0)</f>
        <v>16468</v>
      </c>
      <c r="D43" s="337" t="s">
        <v>777</v>
      </c>
      <c r="E43" s="338" t="s">
        <v>778</v>
      </c>
      <c r="F43" s="339">
        <f ca="1">INDIRECT("'数据-取费表'!k"&amp;$G$1)</f>
        <v>28830.28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-49378</v>
      </c>
      <c r="D46" s="1401" t="str">
        <f>C2</f>
        <v>万元</v>
      </c>
      <c r="E46" s="1395"/>
      <c r="F46" s="1395"/>
      <c r="I46" s="1402" t="s">
        <v>810</v>
      </c>
      <c r="J46" s="1403"/>
      <c r="K46" s="1404"/>
      <c r="L46" s="1405">
        <f ca="1">IF(M47="住宅",0,IF(L48&gt;J51,L60,J60))</f>
        <v>4244</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f ca="1">INDIRECT("'数据-取费表'!d"&amp;$G$1)</f>
        <v>40</v>
      </c>
      <c r="M47" s="1375" t="str">
        <f>IF(ISNUMBER(FIND("住宅",C1)),"住宅","非住宅")</f>
        <v>非住宅</v>
      </c>
      <c r="O47" s="1413" t="s">
        <v>403</v>
      </c>
      <c r="P47" s="1414" t="s">
        <v>817</v>
      </c>
      <c r="Q47" s="1415">
        <f ca="1">C40+J29</f>
        <v>47477</v>
      </c>
      <c r="R47" s="1415" t="s">
        <v>818</v>
      </c>
    </row>
    <row r="48" spans="1:18" s="1379" customFormat="1" ht="28.5" thickBot="1">
      <c r="A48" s="1105" t="s">
        <v>438</v>
      </c>
      <c r="B48" s="300" t="s">
        <v>692</v>
      </c>
      <c r="C48" s="1354">
        <f ca="1">C49+C53+C55</f>
        <v>0</v>
      </c>
      <c r="D48" s="1107"/>
      <c r="E48" s="1108"/>
      <c r="F48" s="957"/>
      <c r="G48" s="722"/>
      <c r="H48" s="723"/>
      <c r="I48" s="1416" t="s">
        <v>819</v>
      </c>
      <c r="J48" s="1417" t="s">
        <v>3432</v>
      </c>
      <c r="K48" s="1418" t="s">
        <v>820</v>
      </c>
      <c r="L48" s="1419">
        <f ca="1">INDIRECT("'数据-取费表'!f"&amp;$G$1)</f>
        <v>17.32</v>
      </c>
      <c r="O48" s="1413" t="s">
        <v>404</v>
      </c>
      <c r="P48" s="1414" t="s">
        <v>821</v>
      </c>
      <c r="Q48" s="1415">
        <f ca="1">J60</f>
        <v>4244</v>
      </c>
      <c r="R48" s="1415" t="s">
        <v>822</v>
      </c>
    </row>
    <row r="49" spans="1:18" s="1379" customFormat="1" ht="13.5" thickBot="1">
      <c r="A49" s="970" t="s">
        <v>439</v>
      </c>
      <c r="B49" s="1366" t="s">
        <v>779</v>
      </c>
      <c r="C49" s="1109">
        <f ca="1">ROUND(F49*F51*F50*(1-F52)/10000,0)</f>
        <v>0</v>
      </c>
      <c r="D49" s="1050" t="s">
        <v>2110</v>
      </c>
      <c r="E49" s="1367" t="s">
        <v>780</v>
      </c>
      <c r="F49" s="1055"/>
      <c r="G49" s="1420"/>
      <c r="H49" s="723"/>
      <c r="I49" s="1416" t="s">
        <v>823</v>
      </c>
      <c r="J49" s="1421">
        <f>取值过程!C16</f>
        <v>2011</v>
      </c>
      <c r="K49" s="1418" t="s">
        <v>824</v>
      </c>
      <c r="L49" s="1422"/>
      <c r="O49" s="1423" t="s">
        <v>405</v>
      </c>
      <c r="P49" s="1414" t="s">
        <v>825</v>
      </c>
      <c r="Q49" s="1415">
        <f ca="1">C29</f>
        <v>30000</v>
      </c>
      <c r="R49" s="1415" t="s">
        <v>818</v>
      </c>
    </row>
    <row r="50" spans="1:18" s="1379" customFormat="1" ht="13.5" thickBot="1">
      <c r="A50" s="971"/>
      <c r="B50" s="974"/>
      <c r="C50" s="1113"/>
      <c r="D50" s="948"/>
      <c r="E50" s="1051" t="s">
        <v>697</v>
      </c>
      <c r="F50" s="1052">
        <f ca="1">F7</f>
        <v>28830.28</v>
      </c>
      <c r="H50" s="723"/>
      <c r="I50" s="1416" t="s">
        <v>826</v>
      </c>
      <c r="J50" s="1424">
        <f>SUMPRODUCT((I63:I65=J47)*(J62:L62=J48)*(J63:L65))</f>
        <v>60</v>
      </c>
      <c r="K50" s="1418" t="s">
        <v>827</v>
      </c>
      <c r="L50" s="1422"/>
      <c r="M50" s="1425"/>
      <c r="O50" s="1423" t="s">
        <v>406</v>
      </c>
      <c r="P50" s="1414" t="s">
        <v>828</v>
      </c>
      <c r="Q50" s="1426">
        <f ca="1">J58</f>
        <v>0.495</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38066</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17.32</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17.32</v>
      </c>
      <c r="K53" s="3739" t="s">
        <v>837</v>
      </c>
      <c r="L53" s="3740"/>
      <c r="O53" s="1413" t="s">
        <v>409</v>
      </c>
      <c r="P53" s="1414" t="s">
        <v>838</v>
      </c>
      <c r="Q53" s="1415">
        <f ca="1">Q47+Q48</f>
        <v>51721</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0.495</v>
      </c>
      <c r="K55" s="1440" t="s">
        <v>841</v>
      </c>
      <c r="L55" s="1441"/>
      <c r="O55" s="1406" t="s">
        <v>811</v>
      </c>
      <c r="P55" s="1407" t="s">
        <v>812</v>
      </c>
      <c r="Q55" s="1408" t="s">
        <v>813</v>
      </c>
      <c r="R55" s="1408" t="s">
        <v>814</v>
      </c>
    </row>
    <row r="56" spans="1:18" s="1379" customFormat="1" ht="25.5" thickTop="1" thickBot="1">
      <c r="A56" s="952">
        <v>2</v>
      </c>
      <c r="B56" s="953" t="s">
        <v>704</v>
      </c>
      <c r="C56" s="232">
        <f ca="1">C13</f>
        <v>23400</v>
      </c>
      <c r="D56" s="1442"/>
      <c r="E56" s="1443"/>
      <c r="F56" s="1435"/>
      <c r="I56" s="1444" t="s">
        <v>842</v>
      </c>
      <c r="J56" s="1445" t="s">
        <v>3413</v>
      </c>
      <c r="K56" s="1416" t="s">
        <v>843</v>
      </c>
      <c r="L56" s="1419" t="str">
        <f ca="1">IF(L48&lt;J51,"——",L48-J53)</f>
        <v>——</v>
      </c>
      <c r="O56" s="1413" t="s">
        <v>403</v>
      </c>
      <c r="P56" s="1414" t="s">
        <v>817</v>
      </c>
      <c r="Q56" s="1415">
        <f ca="1">C40+J29</f>
        <v>47477</v>
      </c>
      <c r="R56" s="1415" t="s">
        <v>818</v>
      </c>
    </row>
    <row r="57" spans="1:18" s="1379" customFormat="1" ht="24.75" thickBot="1">
      <c r="A57" s="1446"/>
      <c r="B57" s="945" t="s">
        <v>767</v>
      </c>
      <c r="C57" s="238">
        <f ca="1">C29</f>
        <v>30000</v>
      </c>
      <c r="D57" s="1447"/>
      <c r="E57" s="1448"/>
      <c r="F57" s="1449"/>
      <c r="I57" s="1450" t="s">
        <v>844</v>
      </c>
      <c r="J57" s="1451">
        <f ca="1">IF(OR(M47="住宅",J51&lt;L48,J56="是"),"——",J51-L48)</f>
        <v>29.68</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173</v>
      </c>
      <c r="D58" s="955" t="s">
        <v>715</v>
      </c>
      <c r="E58" s="956"/>
      <c r="F58" s="957"/>
      <c r="I58" s="1450" t="s">
        <v>848</v>
      </c>
      <c r="J58" s="1452">
        <f ca="1">IF(J55&lt;0.4,0.4,J55)</f>
        <v>0.495</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14850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4244</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30</v>
      </c>
      <c r="I62" s="1457" t="s">
        <v>858</v>
      </c>
      <c r="J62" s="1458" t="s">
        <v>859</v>
      </c>
      <c r="K62" s="1458" t="s">
        <v>860</v>
      </c>
      <c r="L62" s="1458" t="s">
        <v>861</v>
      </c>
      <c r="M62" s="1459" t="s">
        <v>862</v>
      </c>
      <c r="O62" s="1413" t="s">
        <v>409</v>
      </c>
      <c r="P62" s="1414" t="s">
        <v>863</v>
      </c>
      <c r="Q62" s="1415">
        <f ca="1">Q56+Q57</f>
        <v>47477</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150</v>
      </c>
      <c r="D64" s="959" t="s">
        <v>791</v>
      </c>
      <c r="E64" s="945"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23.4</v>
      </c>
      <c r="D65" s="959" t="s">
        <v>743</v>
      </c>
      <c r="E65" s="945" t="s">
        <v>744</v>
      </c>
      <c r="F65" s="330">
        <f t="shared" ca="1" si="0"/>
        <v>1E-3</v>
      </c>
      <c r="I65" s="1457" t="s">
        <v>867</v>
      </c>
      <c r="J65" s="1458">
        <v>40</v>
      </c>
      <c r="K65" s="1458">
        <v>30</v>
      </c>
      <c r="L65" s="1458">
        <v>50</v>
      </c>
      <c r="M65" s="1460">
        <v>0.02</v>
      </c>
      <c r="O65" s="1413" t="s">
        <v>403</v>
      </c>
      <c r="P65" s="1414" t="s">
        <v>868</v>
      </c>
      <c r="Q65" s="1415">
        <f ca="1">C40+J29</f>
        <v>47477</v>
      </c>
      <c r="R65" s="1415" t="s">
        <v>818</v>
      </c>
    </row>
    <row r="66" spans="1:18" s="1379" customFormat="1" ht="16.5" thickBot="1">
      <c r="A66" s="977" t="s">
        <v>793</v>
      </c>
      <c r="B66" s="945" t="s">
        <v>728</v>
      </c>
      <c r="C66" s="21">
        <f ca="1">ROUND(C48*F66,2)</f>
        <v>0</v>
      </c>
      <c r="D66" s="959" t="s">
        <v>794</v>
      </c>
      <c r="E66" s="945" t="s">
        <v>712</v>
      </c>
      <c r="F66" s="312">
        <f t="shared" ca="1" si="0"/>
        <v>5.0000000000000001E-3</v>
      </c>
      <c r="O66" s="1413" t="s">
        <v>404</v>
      </c>
      <c r="P66" s="1414" t="s">
        <v>846</v>
      </c>
      <c r="Q66" s="1415">
        <f ca="1">L60</f>
        <v>0</v>
      </c>
      <c r="R66" s="1415" t="s">
        <v>869</v>
      </c>
    </row>
    <row r="67" spans="1:18" s="1379" customFormat="1" ht="16.5" thickBot="1">
      <c r="A67" s="952" t="s">
        <v>394</v>
      </c>
      <c r="B67" s="962" t="s">
        <v>752</v>
      </c>
      <c r="C67" s="316">
        <f ca="1">C48-C58</f>
        <v>-173</v>
      </c>
      <c r="D67" s="958" t="s">
        <v>753</v>
      </c>
      <c r="E67" s="963"/>
      <c r="F67" s="964"/>
      <c r="O67" s="1423" t="s">
        <v>405</v>
      </c>
      <c r="P67" s="1414" t="s">
        <v>850</v>
      </c>
      <c r="Q67" s="1461">
        <f ca="1">L51</f>
        <v>38066</v>
      </c>
      <c r="R67" s="1415" t="s">
        <v>870</v>
      </c>
    </row>
    <row r="68" spans="1:18" s="1379" customFormat="1" ht="16.5" thickBot="1">
      <c r="A68" s="942" t="s">
        <v>395</v>
      </c>
      <c r="B68" s="943" t="s">
        <v>774</v>
      </c>
      <c r="C68" s="301">
        <f ca="1">ROUND(C67*(1-((1+F70)/(1+F68))^F69)/(F68-F70),0)</f>
        <v>-1901</v>
      </c>
      <c r="D68" s="960" t="s">
        <v>758</v>
      </c>
      <c r="E68" s="945" t="s">
        <v>759</v>
      </c>
      <c r="F68" s="312">
        <f ca="1">F40</f>
        <v>5.5E-2</v>
      </c>
      <c r="O68" s="1423" t="s">
        <v>406</v>
      </c>
      <c r="P68" s="1462" t="s">
        <v>871</v>
      </c>
      <c r="Q68" s="1415">
        <f ca="1">ROUND(Q69-Q70*Q71,0)</f>
        <v>2117</v>
      </c>
      <c r="R68" s="1415" t="s">
        <v>414</v>
      </c>
    </row>
    <row r="69" spans="1:18" s="1379" customFormat="1" ht="13.5" thickBot="1">
      <c r="A69" s="946"/>
      <c r="B69" s="947"/>
      <c r="C69" s="306"/>
      <c r="D69" s="965" t="s">
        <v>762</v>
      </c>
      <c r="E69" s="945" t="s">
        <v>763</v>
      </c>
      <c r="F69" s="333">
        <f ca="1">F41</f>
        <v>17.32</v>
      </c>
      <c r="O69" s="1423" t="s">
        <v>411</v>
      </c>
      <c r="P69" s="1462" t="s">
        <v>872</v>
      </c>
      <c r="Q69" s="1415">
        <f ca="1">C39</f>
        <v>3755</v>
      </c>
      <c r="R69" s="1415" t="s">
        <v>818</v>
      </c>
    </row>
    <row r="70" spans="1:18" s="1379" customFormat="1" ht="13.5" thickBot="1">
      <c r="A70" s="949"/>
      <c r="B70" s="950"/>
      <c r="C70" s="310"/>
      <c r="D70" s="961"/>
      <c r="E70" s="945" t="s">
        <v>766</v>
      </c>
      <c r="F70" s="1049"/>
      <c r="O70" s="1423" t="s">
        <v>412</v>
      </c>
      <c r="P70" s="1462" t="s">
        <v>873</v>
      </c>
      <c r="Q70" s="1415">
        <f ca="1">C13</f>
        <v>23400</v>
      </c>
      <c r="R70" s="1415" t="s">
        <v>818</v>
      </c>
    </row>
    <row r="71" spans="1:18" s="1379" customFormat="1" ht="13.5" thickBot="1">
      <c r="A71" s="966" t="s">
        <v>396</v>
      </c>
      <c r="B71" s="967" t="s">
        <v>776</v>
      </c>
      <c r="C71" s="336">
        <f ca="1">ROUND(C68*10000/F71,0)</f>
        <v>-659</v>
      </c>
      <c r="D71" s="968" t="s">
        <v>777</v>
      </c>
      <c r="E71" s="969" t="s">
        <v>778</v>
      </c>
      <c r="F71" s="339">
        <f ca="1">F43</f>
        <v>28830.28</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1638</v>
      </c>
      <c r="D75" s="1379"/>
      <c r="E75" s="1379"/>
      <c r="F75" s="1379"/>
      <c r="K75" s="1397"/>
      <c r="L75" s="1379"/>
      <c r="O75" s="1413" t="s">
        <v>409</v>
      </c>
      <c r="P75" s="1414" t="s">
        <v>838</v>
      </c>
      <c r="Q75" s="1415">
        <f ca="1">Q65+Q66</f>
        <v>47477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0.56400000000000006</v>
      </c>
    </row>
    <row r="80" spans="1:18">
      <c r="B80" s="340" t="s">
        <v>800</v>
      </c>
      <c r="C80" s="274">
        <f ca="1">ROUND(C75/C39,3)</f>
        <v>0.436</v>
      </c>
    </row>
    <row r="81" spans="2:3">
      <c r="B81" s="270" t="s">
        <v>801</v>
      </c>
      <c r="C81" s="238"/>
    </row>
    <row r="82" spans="2:3">
      <c r="B82" s="273" t="s">
        <v>802</v>
      </c>
      <c r="C82" s="275">
        <f ca="1">1-C83</f>
        <v>0.50700000000000001</v>
      </c>
    </row>
    <row r="83" spans="2:3">
      <c r="B83" s="273" t="s">
        <v>803</v>
      </c>
      <c r="C83" s="274">
        <f ca="1">ROUND(C13/C40,3)</f>
        <v>0.49299999999999999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7">
        <f ca="1">J53</f>
        <v>0</v>
      </c>
      <c r="G1" s="1373">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t="e">
        <f ca="1">ROUND(D2/10000,4)</f>
        <v>#DIV/0!</v>
      </c>
      <c r="C2" s="1382" t="s">
        <v>879</v>
      </c>
      <c r="D2" s="1466" t="e">
        <f ca="1">C40+J29+L46</f>
        <v>#DIV/0!</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41" t="s">
        <v>694</v>
      </c>
      <c r="C6" s="1069">
        <f ca="1">ROUND(F6*F8*F7*(1-F9),0)</f>
        <v>0</v>
      </c>
      <c r="D6" s="155" t="s">
        <v>2106</v>
      </c>
      <c r="E6" s="302" t="s">
        <v>696</v>
      </c>
      <c r="F6" s="303">
        <f ca="1">INDIRECT("'数据-取费表'!u"&amp;$G$1)</f>
        <v>0</v>
      </c>
      <c r="G6" s="1379"/>
      <c r="H6" s="1064" t="s">
        <v>398</v>
      </c>
      <c r="I6" s="3741" t="s">
        <v>694</v>
      </c>
      <c r="J6" s="301">
        <f ca="1">ROUND(M6*M8*M7*(1-M9),0)</f>
        <v>0</v>
      </c>
      <c r="K6" s="1371" t="s">
        <v>2107</v>
      </c>
      <c r="L6" s="302" t="s">
        <v>696</v>
      </c>
      <c r="M6" s="303">
        <f ca="1">INDIRECT("'数据-取费表'!z"&amp;$G$1)</f>
        <v>0</v>
      </c>
    </row>
    <row r="7" spans="1:37" ht="18" customHeight="1">
      <c r="A7" s="1068"/>
      <c r="B7" s="3742"/>
      <c r="C7" s="1070"/>
      <c r="D7" s="307"/>
      <c r="E7" s="1071" t="s">
        <v>697</v>
      </c>
      <c r="F7" s="303">
        <f ca="1">IF(INDIRECT("'数据-取费表'!ah"&amp;$G$1)="",INDIRECT("'数据-取费表'!k"&amp;$G$1),INDIRECT("'数据-取费表'!ah"&amp;$G$1))</f>
        <v>0</v>
      </c>
      <c r="G7" s="1379"/>
      <c r="H7" s="304"/>
      <c r="I7" s="3742"/>
      <c r="J7" s="306"/>
      <c r="K7" s="307"/>
      <c r="L7" s="302" t="s">
        <v>697</v>
      </c>
      <c r="M7" s="303">
        <f ca="1">F7</f>
        <v>0</v>
      </c>
    </row>
    <row r="8" spans="1:37" ht="18" customHeight="1">
      <c r="A8" s="304"/>
      <c r="B8" s="3742"/>
      <c r="C8" s="306"/>
      <c r="D8" s="307"/>
      <c r="E8" s="302" t="s">
        <v>698</v>
      </c>
      <c r="F8" s="303">
        <f ca="1">INDIRECT("'数据-取费表'!ai"&amp;$G$1)</f>
        <v>0</v>
      </c>
      <c r="G8" s="1379"/>
      <c r="H8" s="304"/>
      <c r="I8" s="3742"/>
      <c r="J8" s="306"/>
      <c r="K8" s="307"/>
      <c r="L8" s="302" t="s">
        <v>698</v>
      </c>
      <c r="M8" s="303">
        <f ca="1">INDIRECT("'数据-取费表'!ai"&amp;$G$1)</f>
        <v>0</v>
      </c>
    </row>
    <row r="9" spans="1:37" ht="18" customHeight="1">
      <c r="A9" s="304"/>
      <c r="B9" s="3743"/>
      <c r="C9" s="306"/>
      <c r="D9" s="307"/>
      <c r="E9" s="302" t="s">
        <v>699</v>
      </c>
      <c r="F9" s="312">
        <f ca="1">INDIRECT("'数据-取费表'!w"&amp;$G$1)</f>
        <v>0</v>
      </c>
      <c r="G9" s="1379"/>
      <c r="H9" s="304"/>
      <c r="I9" s="3743"/>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2116</v>
      </c>
      <c r="E10" s="313" t="s">
        <v>701</v>
      </c>
      <c r="F10" s="1111"/>
      <c r="G10" s="1379"/>
      <c r="H10" s="1064" t="s">
        <v>402</v>
      </c>
      <c r="I10" s="1360" t="s">
        <v>700</v>
      </c>
      <c r="J10" s="301">
        <f ca="1">ROUND(IF(M10="押一",J6/12*M11,IF(M10="押二",J6/12*2*M11,IF(M10="押三",J6/12*3*M11,J11*M11))),0)</f>
        <v>0</v>
      </c>
      <c r="K10" s="1372" t="s">
        <v>2118</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f ca="1">C29</f>
        <v>0</v>
      </c>
      <c r="K14" s="12"/>
      <c r="L14" s="802"/>
      <c r="M14" s="803"/>
    </row>
    <row r="15" spans="1:37" s="1392" customFormat="1" ht="18" customHeight="1" thickBot="1">
      <c r="A15" s="977" t="s">
        <v>399</v>
      </c>
      <c r="B15" s="302" t="s">
        <v>710</v>
      </c>
      <c r="C15" s="21">
        <f ca="1">ROUND(C14*F15,0)</f>
        <v>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f ca="1">ROUND(J17+J22+J23+J24,0)</f>
        <v>0</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200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0.02</v>
      </c>
      <c r="G18" s="1391"/>
      <c r="H18" s="977"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3336</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2.5000000000000001E-2</v>
      </c>
      <c r="G20" s="1391"/>
      <c r="H20" s="977"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ROUND(J14*M22,0)</f>
        <v>0</v>
      </c>
      <c r="K22" s="1339" t="s">
        <v>739</v>
      </c>
      <c r="L22" s="302" t="s">
        <v>712</v>
      </c>
      <c r="M22" s="328">
        <f ca="1">INDIRECT("'数据-取费表'!Ak"&amp;$G$1)</f>
        <v>0</v>
      </c>
    </row>
    <row r="23" spans="1:37" s="1392"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2" t="s">
        <v>2306</v>
      </c>
      <c r="I31" s="1393"/>
      <c r="J31" s="1394"/>
      <c r="K31" s="2470"/>
      <c r="L31" s="2692"/>
      <c r="M31" s="2693"/>
    </row>
    <row r="32" spans="1:37" ht="18" customHeight="1">
      <c r="A32" s="977" t="s">
        <v>397</v>
      </c>
      <c r="B32" s="302" t="s">
        <v>723</v>
      </c>
      <c r="C32" s="21">
        <f ca="1">IF(项目基本情况!B11="自然人","——",ROUND(C6*F32/(1+'数据-取费表'!C42),0))</f>
        <v>0</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IF(项目基本情况!B11="自然人","——",ROUND(F34*F35,0))</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ROUND(C29*F36,0)</f>
        <v>0</v>
      </c>
      <c r="D36" s="1339" t="s">
        <v>771</v>
      </c>
      <c r="E36" s="302" t="s">
        <v>712</v>
      </c>
      <c r="F36" s="328">
        <f ca="1">INDIRECT("'数据-取费表'!Ak"&amp;$G$1)</f>
        <v>0</v>
      </c>
      <c r="G36" s="1379"/>
      <c r="H36" s="2694"/>
      <c r="I36" s="1393"/>
      <c r="J36" s="1394"/>
      <c r="K36" s="2539"/>
      <c r="L36" s="2694"/>
      <c r="M36" s="2694"/>
    </row>
    <row r="37" spans="1:18" ht="18" customHeight="1">
      <c r="A37" s="977" t="s">
        <v>437</v>
      </c>
      <c r="B37" s="302" t="s">
        <v>742</v>
      </c>
      <c r="C37" s="21">
        <f ca="1">ROUND(C13*F37,0)</f>
        <v>0</v>
      </c>
      <c r="D37" s="1339" t="s">
        <v>743</v>
      </c>
      <c r="E37" s="302" t="s">
        <v>744</v>
      </c>
      <c r="F37" s="330">
        <f ca="1">INDIRECT("'数据-取费表'!Al"&amp;$G$1)</f>
        <v>0</v>
      </c>
      <c r="G37" s="1379"/>
      <c r="H37" s="2694"/>
      <c r="I37" s="1393"/>
      <c r="J37" s="1394"/>
      <c r="K37" s="2539"/>
      <c r="L37" s="2694"/>
      <c r="M37" s="2694"/>
    </row>
    <row r="38" spans="1:18" ht="18" customHeight="1" thickBot="1">
      <c r="A38" s="1084" t="s">
        <v>684</v>
      </c>
      <c r="B38" s="1085" t="s">
        <v>728</v>
      </c>
      <c r="C38" s="1086">
        <f ca="1">ROUND(C5*F38,0)</f>
        <v>0</v>
      </c>
      <c r="D38" s="1087" t="s">
        <v>748</v>
      </c>
      <c r="E38" s="1085" t="s">
        <v>744</v>
      </c>
      <c r="F38" s="1081">
        <f ca="1">INDIRECT("'数据-取费表'!Am"&amp;$G$1)</f>
        <v>0</v>
      </c>
      <c r="G38" s="1379"/>
      <c r="H38" s="2694"/>
      <c r="I38" s="1393"/>
      <c r="J38" s="1394"/>
      <c r="K38" s="2698"/>
      <c r="L38" s="2694"/>
      <c r="M38" s="2694"/>
    </row>
    <row r="39" spans="1:18" ht="24.6" customHeight="1" thickTop="1">
      <c r="A39" s="1074" t="s">
        <v>394</v>
      </c>
      <c r="B39" s="1089" t="s">
        <v>772</v>
      </c>
      <c r="C39" s="310">
        <f ca="1">C5-C30</f>
        <v>0</v>
      </c>
      <c r="D39" s="1090" t="s">
        <v>773</v>
      </c>
      <c r="E39" s="1091"/>
      <c r="F39" s="1092"/>
      <c r="G39" s="1379"/>
      <c r="H39" s="2694"/>
      <c r="I39" s="1393"/>
      <c r="J39" s="1394"/>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#DIV/0!</v>
      </c>
      <c r="D45" s="3425" t="s">
        <v>3353</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300" t="s">
        <v>692</v>
      </c>
      <c r="C48" s="1354">
        <f ca="1">C49+C53+C55</f>
        <v>0</v>
      </c>
      <c r="D48" s="1107"/>
      <c r="E48" s="1108"/>
      <c r="F48" s="957"/>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3"/>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2119</v>
      </c>
      <c r="E53" s="313" t="s">
        <v>701</v>
      </c>
      <c r="F53" s="1111"/>
      <c r="I53" s="1434" t="s">
        <v>836</v>
      </c>
      <c r="J53" s="2163">
        <f ca="1">IF(M47="住宅",IF(D1="——",MAX(J51,L48),MAX(J51,L48-'数据-取费表'!B24)),IF(D1="——",MIN(J51,L48),MIN(J51,L48-'数据-取费表'!B24)))</f>
        <v>0</v>
      </c>
      <c r="K53" s="3739" t="s">
        <v>837</v>
      </c>
      <c r="L53" s="3740"/>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3" t="s">
        <v>714</v>
      </c>
      <c r="C58" s="316">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0</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0</v>
      </c>
      <c r="D65" s="959" t="s">
        <v>743</v>
      </c>
      <c r="E65" s="945"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#DIV/0!</v>
      </c>
      <c r="R66" s="1415" t="s">
        <v>869</v>
      </c>
    </row>
    <row r="67" spans="1:18" s="1379" customFormat="1" ht="16.5" thickBot="1">
      <c r="A67" s="952" t="s">
        <v>394</v>
      </c>
      <c r="B67" s="962" t="s">
        <v>752</v>
      </c>
      <c r="C67" s="316">
        <f ca="1">C48-C58</f>
        <v>0</v>
      </c>
      <c r="D67" s="958" t="s">
        <v>753</v>
      </c>
      <c r="E67" s="963"/>
      <c r="F67" s="964"/>
      <c r="O67" s="1423" t="s">
        <v>405</v>
      </c>
      <c r="P67" s="1414" t="s">
        <v>850</v>
      </c>
      <c r="Q67" s="1461">
        <f ca="1">L51</f>
        <v>0</v>
      </c>
      <c r="R67" s="1415" t="s">
        <v>870</v>
      </c>
    </row>
    <row r="68" spans="1:18" s="1379" customFormat="1" ht="16.5" thickBot="1">
      <c r="A68" s="942" t="s">
        <v>395</v>
      </c>
      <c r="B68" s="943" t="s">
        <v>774</v>
      </c>
      <c r="C68" s="301" t="e">
        <f ca="1">ROUND(C67*(1-((1+F70)/(1+F68))^F69)/(F68-F70),0)</f>
        <v>#DIV/0!</v>
      </c>
      <c r="D68" s="960" t="s">
        <v>758</v>
      </c>
      <c r="E68" s="945" t="s">
        <v>759</v>
      </c>
      <c r="F68" s="312">
        <f ca="1">F40</f>
        <v>0</v>
      </c>
      <c r="O68" s="1423" t="s">
        <v>406</v>
      </c>
      <c r="P68" s="1462" t="s">
        <v>871</v>
      </c>
      <c r="Q68" s="1415">
        <f ca="1">ROUND(Q69-Q70*Q71,0)</f>
        <v>0</v>
      </c>
      <c r="R68" s="1415" t="s">
        <v>414</v>
      </c>
    </row>
    <row r="69" spans="1:18" s="1379" customFormat="1" ht="13.5" thickBot="1">
      <c r="A69" s="946"/>
      <c r="B69" s="947"/>
      <c r="C69" s="306"/>
      <c r="D69" s="965" t="s">
        <v>762</v>
      </c>
      <c r="E69" s="945" t="s">
        <v>763</v>
      </c>
      <c r="F69" s="333">
        <f ca="1">F41</f>
        <v>0</v>
      </c>
      <c r="O69" s="1423" t="s">
        <v>411</v>
      </c>
      <c r="P69" s="1462" t="s">
        <v>872</v>
      </c>
      <c r="Q69" s="1415">
        <f ca="1">C39</f>
        <v>0</v>
      </c>
      <c r="R69" s="1415" t="s">
        <v>818</v>
      </c>
    </row>
    <row r="70" spans="1:18" s="1379" customFormat="1" ht="13.5" thickBot="1">
      <c r="A70" s="949"/>
      <c r="B70" s="950"/>
      <c r="C70" s="310"/>
      <c r="D70" s="961"/>
      <c r="E70" s="945" t="s">
        <v>766</v>
      </c>
      <c r="F70" s="1049"/>
      <c r="O70" s="1423" t="s">
        <v>412</v>
      </c>
      <c r="P70" s="1462" t="s">
        <v>873</v>
      </c>
      <c r="Q70" s="1415">
        <f ca="1">C13</f>
        <v>0</v>
      </c>
      <c r="R70" s="1415" t="s">
        <v>818</v>
      </c>
    </row>
    <row r="71" spans="1:18" s="1379" customFormat="1" ht="13.5" thickBot="1">
      <c r="A71" s="966" t="s">
        <v>396</v>
      </c>
      <c r="B71" s="967" t="s">
        <v>776</v>
      </c>
      <c r="C71" s="336" t="e">
        <f ca="1">ROUND(C68/F71,0)</f>
        <v>#DIV/0!</v>
      </c>
      <c r="D71" s="968" t="s">
        <v>777</v>
      </c>
      <c r="E71" s="969"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估价对象为房地产，为所有。根据《国有土地使用证》[]，估价对象（分摊）出让国有建设用地使用权面积为0平方米，建筑面积为28830.28平方米。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估价对象为房地产,属开发建设的综合项目（居住、综合），该项目尚在开发建设中。根据《国有土地使用证》[]，估价对象（分摊）出让国有建设用地使用权面积为0平方米，规划建筑面积为28830.28平方米。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2024年7月12日（评估专业人员实地查勘之日）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0" t="s">
        <v>2315</v>
      </c>
      <c r="B2" s="2837" t="e">
        <f>IF(D2="——",C40,C40+E2)</f>
        <v>#DIV/0!</v>
      </c>
      <c r="C2" s="2838" t="s">
        <v>2316</v>
      </c>
      <c r="D2" s="3436" t="s">
        <v>3359</v>
      </c>
      <c r="E2" s="3437"/>
      <c r="F2" s="2840"/>
      <c r="G2" s="2841"/>
      <c r="H2" s="2842"/>
      <c r="I2" s="2843"/>
      <c r="J2" s="3744" t="s">
        <v>2317</v>
      </c>
      <c r="K2" s="3745"/>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46" t="s">
        <v>2327</v>
      </c>
      <c r="K3" s="3747"/>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46" t="s">
        <v>2329</v>
      </c>
      <c r="K4" s="3747"/>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48" t="s">
        <v>2333</v>
      </c>
      <c r="B6" s="3749"/>
      <c r="C6" s="3750"/>
      <c r="D6" s="2864"/>
      <c r="E6" s="2865"/>
      <c r="F6" s="2866"/>
      <c r="G6" s="2867"/>
      <c r="H6" s="2842"/>
      <c r="I6" s="2843"/>
      <c r="J6" s="3751">
        <v>1</v>
      </c>
      <c r="K6" s="3752"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51"/>
      <c r="K7" s="3753"/>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55" t="s">
        <v>2347</v>
      </c>
      <c r="C8" s="3756"/>
      <c r="D8" s="2883" t="s">
        <v>2348</v>
      </c>
      <c r="E8" s="2884" t="s">
        <v>2349</v>
      </c>
      <c r="F8" s="2885" t="s">
        <v>2350</v>
      </c>
      <c r="G8" s="2886"/>
      <c r="H8" s="2842"/>
      <c r="I8" s="2843"/>
      <c r="J8" s="3751"/>
      <c r="K8" s="3753"/>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55" t="s">
        <v>2353</v>
      </c>
      <c r="C9" s="3756"/>
      <c r="D9" s="2883">
        <f>ROUND(D6*E9,0)</f>
        <v>0</v>
      </c>
      <c r="E9" s="2887"/>
      <c r="F9" s="2888" t="s">
        <v>2354</v>
      </c>
      <c r="G9" s="2867"/>
      <c r="H9" s="2842"/>
      <c r="I9" s="2843"/>
      <c r="J9" s="3751"/>
      <c r="K9" s="3753"/>
      <c r="L9" s="2877" t="s">
        <v>2355</v>
      </c>
      <c r="M9" s="2878"/>
      <c r="N9" s="2854"/>
      <c r="O9" s="2879"/>
      <c r="P9" s="2879"/>
      <c r="Q9" s="2880">
        <v>365</v>
      </c>
      <c r="R9" s="2881">
        <f t="shared" si="0"/>
        <v>0</v>
      </c>
      <c r="S9" s="2835"/>
      <c r="T9" s="2835"/>
      <c r="U9" s="2835"/>
      <c r="V9" s="2843"/>
    </row>
    <row r="10" spans="1:22" s="2847" customFormat="1" ht="13.15" customHeight="1">
      <c r="A10" s="2882">
        <v>2</v>
      </c>
      <c r="B10" s="3755" t="s">
        <v>2356</v>
      </c>
      <c r="C10" s="3756"/>
      <c r="D10" s="2883">
        <f>ROUND(D6*E10,0)</f>
        <v>0</v>
      </c>
      <c r="E10" s="2887"/>
      <c r="F10" s="2888" t="s">
        <v>2357</v>
      </c>
      <c r="G10" s="2867"/>
      <c r="H10" s="2842"/>
      <c r="I10" s="2843"/>
      <c r="J10" s="3751"/>
      <c r="K10" s="3753"/>
      <c r="L10" s="2877" t="s">
        <v>2358</v>
      </c>
      <c r="M10" s="2878"/>
      <c r="N10" s="2854"/>
      <c r="O10" s="2879"/>
      <c r="P10" s="2879"/>
      <c r="Q10" s="2880">
        <v>365</v>
      </c>
      <c r="R10" s="2881">
        <f t="shared" si="0"/>
        <v>0</v>
      </c>
      <c r="S10" s="2835"/>
      <c r="T10" s="2835"/>
      <c r="U10" s="2835"/>
      <c r="V10" s="2843"/>
    </row>
    <row r="11" spans="1:22" s="2847" customFormat="1" ht="13.15" customHeight="1">
      <c r="A11" s="2882">
        <v>3</v>
      </c>
      <c r="B11" s="3755" t="s">
        <v>2359</v>
      </c>
      <c r="C11" s="3756"/>
      <c r="D11" s="2883">
        <f>D12+D14+D15+D16</f>
        <v>0</v>
      </c>
      <c r="E11" s="2889" t="e">
        <f>D11/D6</f>
        <v>#DIV/0!</v>
      </c>
      <c r="F11" s="2885"/>
      <c r="G11" s="2886"/>
      <c r="H11" s="2842"/>
      <c r="I11" s="2843"/>
      <c r="J11" s="3751"/>
      <c r="K11" s="3753"/>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57" t="s">
        <v>2362</v>
      </c>
      <c r="C12" s="3758"/>
      <c r="D12" s="2891">
        <f>ROUND(D13*1.2%*(1-30%),0)</f>
        <v>0</v>
      </c>
      <c r="E12" s="2892">
        <v>1.2E-2</v>
      </c>
      <c r="F12" s="2885" t="s">
        <v>2363</v>
      </c>
      <c r="G12" s="2886"/>
      <c r="H12" s="2842"/>
      <c r="I12" s="2843"/>
      <c r="J12" s="3751"/>
      <c r="K12" s="3753"/>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51"/>
      <c r="K13" s="3753"/>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57" t="s">
        <v>2368</v>
      </c>
      <c r="C14" s="3758"/>
      <c r="D14" s="2891">
        <f>ROUND(E14*B5/10000,0)</f>
        <v>0</v>
      </c>
      <c r="E14" s="2880"/>
      <c r="F14" s="2885" t="s">
        <v>2369</v>
      </c>
      <c r="G14" s="2886"/>
      <c r="H14" s="2842"/>
      <c r="I14" s="2843"/>
      <c r="J14" s="3751"/>
      <c r="K14" s="3754"/>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57" t="s">
        <v>2372</v>
      </c>
      <c r="C15" s="3758"/>
      <c r="D15" s="2891">
        <f>ROUND(D6*E15,0)</f>
        <v>0</v>
      </c>
      <c r="E15" s="2892">
        <v>5.5E-2</v>
      </c>
      <c r="F15" s="2885" t="s">
        <v>2373</v>
      </c>
      <c r="G15" s="2867"/>
      <c r="H15" s="2842"/>
      <c r="I15" s="2843"/>
      <c r="J15" s="3751">
        <v>2</v>
      </c>
      <c r="K15" s="3752"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57" t="s">
        <v>2381</v>
      </c>
      <c r="C16" s="3758"/>
      <c r="D16" s="2902">
        <f>D6*E16</f>
        <v>0</v>
      </c>
      <c r="E16" s="2903"/>
      <c r="F16" s="2888" t="s">
        <v>2382</v>
      </c>
      <c r="G16" s="2867"/>
      <c r="H16" s="2842"/>
      <c r="I16" s="2843"/>
      <c r="J16" s="3751"/>
      <c r="K16" s="3753"/>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59" t="s">
        <v>2384</v>
      </c>
      <c r="C17" s="3760"/>
      <c r="D17" s="2905">
        <f>ROUND(D6*E17,0)</f>
        <v>0</v>
      </c>
      <c r="E17" s="2906"/>
      <c r="F17" s="2907" t="s">
        <v>2385</v>
      </c>
      <c r="G17" s="2867"/>
      <c r="H17" s="2842"/>
      <c r="I17" s="2843"/>
      <c r="J17" s="3751"/>
      <c r="K17" s="3753"/>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51"/>
      <c r="K18" s="3753"/>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51"/>
      <c r="K19" s="3754"/>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51">
        <v>3</v>
      </c>
      <c r="K20" s="3752"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51"/>
      <c r="K21" s="3753"/>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51"/>
      <c r="K22" s="3753"/>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51"/>
      <c r="K23" s="3753"/>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51"/>
      <c r="K24" s="3754"/>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61">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6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44" t="s">
        <v>2317</v>
      </c>
      <c r="K32" s="3745"/>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46" t="s">
        <v>2327</v>
      </c>
      <c r="K33" s="3747"/>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46" t="s">
        <v>2329</v>
      </c>
      <c r="K34" s="374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51">
        <v>1</v>
      </c>
      <c r="K36" s="3752"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51"/>
      <c r="K37" s="3753"/>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51"/>
      <c r="K38" s="3753"/>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51"/>
      <c r="K39" s="3753"/>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51"/>
      <c r="K40" s="3754"/>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61">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6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#N/A</v>
      </c>
      <c r="C2" s="1382" t="s">
        <v>805</v>
      </c>
      <c r="D2" s="1382"/>
      <c r="E2" s="1383"/>
      <c r="F2" s="1384"/>
      <c r="G2" s="2700"/>
      <c r="H2" s="2689"/>
      <c r="I2" s="2689"/>
      <c r="J2" s="2689"/>
      <c r="K2" s="2690"/>
      <c r="L2" s="2689"/>
      <c r="M2" s="2689"/>
    </row>
    <row r="3" spans="1:37" ht="18" customHeight="1" thickBot="1">
      <c r="A3" s="1385"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41" t="s">
        <v>694</v>
      </c>
      <c r="C6" s="1069" t="e">
        <f ca="1">ROUND(F6*F8*F7*(1-F9)/10000,0)</f>
        <v>#N/A</v>
      </c>
      <c r="D6" s="155" t="s">
        <v>2109</v>
      </c>
      <c r="E6" s="302" t="s">
        <v>696</v>
      </c>
      <c r="F6" s="303" t="e">
        <f ca="1">INDIRECT("'数据-取费表'!u"&amp;$G$1)</f>
        <v>#N/A</v>
      </c>
      <c r="G6" s="1379"/>
      <c r="H6" s="1064" t="s">
        <v>398</v>
      </c>
      <c r="I6" s="3741" t="s">
        <v>694</v>
      </c>
      <c r="J6" s="301" t="e">
        <f ca="1">ROUND(M6*M8*M7*(1-M9)/10000,0)</f>
        <v>#N/A</v>
      </c>
      <c r="K6" s="155" t="s">
        <v>2108</v>
      </c>
      <c r="L6" s="302" t="s">
        <v>696</v>
      </c>
      <c r="M6" s="303" t="e">
        <f ca="1">INDIRECT("'数据-取费表'!z"&amp;$G$1)</f>
        <v>#N/A</v>
      </c>
    </row>
    <row r="7" spans="1:37" ht="18" customHeight="1">
      <c r="A7" s="1068"/>
      <c r="B7" s="3742"/>
      <c r="C7" s="1070"/>
      <c r="D7" s="307"/>
      <c r="E7" s="3454" t="s">
        <v>697</v>
      </c>
      <c r="F7" s="303" t="e">
        <f ca="1">IF(INDIRECT("'数据-取费表'!ah"&amp;$G$1)="",INDIRECT("'数据-取费表'!k"&amp;$G$1),INDIRECT("'数据-取费表'!ah"&amp;$G$1))</f>
        <v>#N/A</v>
      </c>
      <c r="G7" s="1379"/>
      <c r="H7" s="304"/>
      <c r="I7" s="3742"/>
      <c r="J7" s="306"/>
      <c r="K7" s="307"/>
      <c r="L7" s="302" t="s">
        <v>697</v>
      </c>
      <c r="M7" s="303" t="e">
        <f ca="1">F7</f>
        <v>#N/A</v>
      </c>
    </row>
    <row r="8" spans="1:37" ht="18" customHeight="1">
      <c r="A8" s="304"/>
      <c r="B8" s="3742"/>
      <c r="C8" s="306"/>
      <c r="D8" s="307"/>
      <c r="E8" s="302" t="s">
        <v>698</v>
      </c>
      <c r="F8" s="303" t="e">
        <f ca="1">INDIRECT("'数据-取费表'!ai"&amp;$G$1)</f>
        <v>#N/A</v>
      </c>
      <c r="G8" s="1379"/>
      <c r="H8" s="304"/>
      <c r="I8" s="3742"/>
      <c r="J8" s="306"/>
      <c r="K8" s="307"/>
      <c r="L8" s="302" t="s">
        <v>698</v>
      </c>
      <c r="M8" s="303" t="e">
        <f ca="1">INDIRECT("'数据-取费表'!ai"&amp;$G$1)</f>
        <v>#N/A</v>
      </c>
    </row>
    <row r="9" spans="1:37" ht="18" customHeight="1">
      <c r="A9" s="304"/>
      <c r="B9" s="3743"/>
      <c r="C9" s="306"/>
      <c r="D9" s="307"/>
      <c r="E9" s="302" t="s">
        <v>699</v>
      </c>
      <c r="F9" s="312" t="e">
        <f ca="1">INDIRECT("'数据-取费表'!w"&amp;$G$1)</f>
        <v>#N/A</v>
      </c>
      <c r="G9" s="1379"/>
      <c r="H9" s="304"/>
      <c r="I9" s="3743"/>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2116</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42" t="s">
        <v>705</v>
      </c>
      <c r="E13" s="3442"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46" t="s">
        <v>708</v>
      </c>
      <c r="E14" s="3444"/>
      <c r="F14" s="319"/>
      <c r="G14" s="1379"/>
      <c r="H14" s="977" t="s">
        <v>398</v>
      </c>
      <c r="I14" s="302" t="s">
        <v>709</v>
      </c>
      <c r="J14" s="21" t="e">
        <f ca="1">C29</f>
        <v>#N/A</v>
      </c>
      <c r="K14" s="3453"/>
      <c r="L14" s="802"/>
      <c r="M14" s="803"/>
    </row>
    <row r="15" spans="1:37" s="1392" customFormat="1" ht="18" customHeight="1" thickBot="1">
      <c r="A15" s="977" t="s">
        <v>399</v>
      </c>
      <c r="B15" s="302" t="s">
        <v>710</v>
      </c>
      <c r="C15" s="21" t="e">
        <f ca="1">ROUND(C14*F15,0)</f>
        <v>#N/A</v>
      </c>
      <c r="D15" s="3443" t="s">
        <v>711</v>
      </c>
      <c r="E15" s="3443"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48"/>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446" t="s">
        <v>720</v>
      </c>
      <c r="L17" s="3445"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4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58"/>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58"/>
      <c r="F22" s="23"/>
      <c r="G22" s="1379"/>
      <c r="H22" s="977" t="s">
        <v>402</v>
      </c>
      <c r="I22" s="302" t="s">
        <v>738</v>
      </c>
      <c r="J22" s="21" t="e">
        <f ca="1">ROUND(J14*M22,2)</f>
        <v>#N/A</v>
      </c>
      <c r="K22" s="3445"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445"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58"/>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443"/>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48"/>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446" t="s">
        <v>720</v>
      </c>
      <c r="E31" s="3445"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445"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445"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445" t="s">
        <v>743</v>
      </c>
      <c r="E37" s="302" t="s">
        <v>744</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744</v>
      </c>
      <c r="F38" s="1081" t="e">
        <f ca="1">INDIRECT("'数据-取费表'!Am"&amp;$G$1)</f>
        <v>#N/A</v>
      </c>
      <c r="G38" s="1379"/>
      <c r="H38" s="2694"/>
      <c r="I38" s="1393"/>
      <c r="J38" s="1394"/>
      <c r="K38" s="2698"/>
      <c r="L38" s="2694"/>
      <c r="M38" s="2694"/>
    </row>
    <row r="39" spans="1:18" ht="24.6" customHeight="1" thickTop="1">
      <c r="A39" s="1074" t="s">
        <v>394</v>
      </c>
      <c r="B39" s="1089" t="s">
        <v>772</v>
      </c>
      <c r="C39" s="310" t="e">
        <f ca="1">C5-C30</f>
        <v>#N/A</v>
      </c>
      <c r="D39" s="1090" t="s">
        <v>773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57"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39" t="s">
        <v>837</v>
      </c>
      <c r="L53" s="3740"/>
      <c r="O53" s="1413" t="s">
        <v>409</v>
      </c>
      <c r="P53" s="1414" t="s">
        <v>838</v>
      </c>
      <c r="Q53" s="1415" t="e">
        <f ca="1">Q47+Q48</f>
        <v>#N/A</v>
      </c>
      <c r="R53" s="1415" t="s">
        <v>410</v>
      </c>
    </row>
    <row r="54" spans="1:18" s="1379" customFormat="1" ht="13.5" thickBot="1">
      <c r="A54" s="1148"/>
      <c r="B54" s="1362" t="s">
        <v>679</v>
      </c>
      <c r="C54" s="954"/>
      <c r="D54" s="1361"/>
      <c r="E54" s="344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732</v>
      </c>
      <c r="F62" s="325">
        <f t="shared" si="0"/>
        <v>30</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28830.28</v>
      </c>
      <c r="E3" s="902"/>
      <c r="F3" s="1883"/>
      <c r="G3" s="902"/>
      <c r="H3" s="902"/>
      <c r="I3" s="902"/>
      <c r="J3" s="902"/>
      <c r="K3" s="1879"/>
      <c r="L3" s="2707"/>
      <c r="M3" s="2708"/>
      <c r="N3" s="2708"/>
      <c r="O3" s="2708"/>
      <c r="P3" s="1880"/>
      <c r="Q3" s="1881"/>
      <c r="R3" s="1881"/>
      <c r="S3" s="1881"/>
      <c r="T3" s="1881"/>
      <c r="U3" s="1881"/>
      <c r="V3" s="1881"/>
      <c r="W3" s="1881"/>
      <c r="X3" s="1881"/>
      <c r="Y3" s="1881"/>
      <c r="Z3" s="1881"/>
      <c r="AA3" s="1881"/>
      <c r="AB3" s="1881"/>
      <c r="AC3" s="1056"/>
    </row>
    <row r="4" spans="1:29" ht="15">
      <c r="A4" s="355" t="s">
        <v>1666</v>
      </c>
      <c r="B4" s="356"/>
      <c r="C4" s="3781" t="s">
        <v>1667</v>
      </c>
      <c r="D4" s="3782"/>
      <c r="E4" s="3783" t="s">
        <v>1668</v>
      </c>
      <c r="F4" s="3784"/>
      <c r="G4" s="3781" t="s">
        <v>1669</v>
      </c>
      <c r="H4" s="3782"/>
      <c r="I4" s="3781" t="s">
        <v>1670</v>
      </c>
      <c r="J4" s="3782"/>
      <c r="K4" s="1884" t="s">
        <v>1671</v>
      </c>
      <c r="L4" s="2709"/>
      <c r="M4" s="2710"/>
      <c r="N4" s="2710"/>
      <c r="O4" s="2710"/>
      <c r="P4" s="3785" t="s">
        <v>1672</v>
      </c>
      <c r="Q4" s="3786"/>
      <c r="R4" s="3768" t="s">
        <v>1668</v>
      </c>
      <c r="S4" s="3769"/>
      <c r="T4" s="3768" t="s">
        <v>1669</v>
      </c>
      <c r="U4" s="3769"/>
      <c r="V4" s="3793" t="s">
        <v>1670</v>
      </c>
      <c r="W4" s="3793"/>
      <c r="X4" s="1350"/>
      <c r="Y4" s="3768" t="s">
        <v>1672</v>
      </c>
      <c r="Z4" s="3769"/>
      <c r="AA4" s="3763" t="s">
        <v>1668</v>
      </c>
      <c r="AB4" s="3763" t="s">
        <v>1669</v>
      </c>
      <c r="AC4" s="3763" t="s">
        <v>1670</v>
      </c>
    </row>
    <row r="5" spans="1:29" ht="15">
      <c r="A5" s="358"/>
      <c r="B5" s="359"/>
      <c r="C5" s="3774" t="s">
        <v>1673</v>
      </c>
      <c r="D5" s="3775"/>
      <c r="E5" s="3772" t="s">
        <v>1674</v>
      </c>
      <c r="F5" s="3773"/>
      <c r="G5" s="3774" t="s">
        <v>1675</v>
      </c>
      <c r="H5" s="3775"/>
      <c r="I5" s="3774" t="s">
        <v>1676</v>
      </c>
      <c r="J5" s="3775"/>
      <c r="K5" s="1885"/>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1885"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766" t="s">
        <v>1680</v>
      </c>
      <c r="Q7" s="3794"/>
      <c r="R7" s="701" t="s">
        <v>20</v>
      </c>
      <c r="S7" s="702">
        <f t="shared" ref="S7:S15" si="0">F7</f>
        <v>0</v>
      </c>
      <c r="T7" s="701" t="s">
        <v>20</v>
      </c>
      <c r="U7" s="702">
        <f t="shared" ref="U7:U15" si="1">H7</f>
        <v>0</v>
      </c>
      <c r="V7" s="701" t="s">
        <v>20</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766" t="s">
        <v>1683</v>
      </c>
      <c r="Q8" s="3767"/>
      <c r="R8" s="701" t="s">
        <v>20</v>
      </c>
      <c r="S8" s="702">
        <f t="shared" si="0"/>
        <v>100</v>
      </c>
      <c r="T8" s="701" t="s">
        <v>20</v>
      </c>
      <c r="U8" s="702">
        <f t="shared" si="1"/>
        <v>100</v>
      </c>
      <c r="V8" s="701" t="s">
        <v>20</v>
      </c>
      <c r="W8" s="702">
        <f t="shared" si="2"/>
        <v>100</v>
      </c>
      <c r="X8" s="703"/>
      <c r="Y8" s="3766" t="s">
        <v>1683</v>
      </c>
      <c r="Z8" s="37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780"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3"/>
      <c r="M10" s="2714"/>
      <c r="N10" s="2714"/>
      <c r="O10" s="2714"/>
      <c r="P10" s="3780"/>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80"/>
      <c r="Q11" s="1338" t="str">
        <f t="shared" si="6"/>
        <v>容积率</v>
      </c>
      <c r="R11" s="701" t="s">
        <v>18</v>
      </c>
      <c r="S11" s="702" t="e">
        <f t="shared" si="0"/>
        <v>#N/A</v>
      </c>
      <c r="T11" s="701" t="s">
        <v>18</v>
      </c>
      <c r="U11" s="702" t="e">
        <f t="shared" si="1"/>
        <v>#N/A</v>
      </c>
      <c r="V11" s="701" t="s">
        <v>18</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780"/>
      <c r="Q12" s="1338">
        <f t="shared" si="6"/>
        <v>111</v>
      </c>
      <c r="R12" s="701" t="s">
        <v>18</v>
      </c>
      <c r="S12" s="702">
        <f t="shared" si="0"/>
        <v>100</v>
      </c>
      <c r="T12" s="701" t="s">
        <v>18</v>
      </c>
      <c r="U12" s="702">
        <f t="shared" si="1"/>
        <v>100</v>
      </c>
      <c r="V12" s="701" t="s">
        <v>18</v>
      </c>
      <c r="W12" s="702">
        <f t="shared" si="2"/>
        <v>100</v>
      </c>
      <c r="X12" s="703"/>
      <c r="Y12" s="369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780"/>
      <c r="Q13" s="1338">
        <f t="shared" si="6"/>
        <v>111</v>
      </c>
      <c r="R13" s="701" t="s">
        <v>18</v>
      </c>
      <c r="S13" s="702">
        <f t="shared" si="0"/>
        <v>100</v>
      </c>
      <c r="T13" s="701" t="s">
        <v>18</v>
      </c>
      <c r="U13" s="702">
        <f t="shared" si="1"/>
        <v>100</v>
      </c>
      <c r="V13" s="701" t="s">
        <v>18</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780"/>
      <c r="Q14" s="1338">
        <f t="shared" si="6"/>
        <v>111</v>
      </c>
      <c r="R14" s="701" t="s">
        <v>18</v>
      </c>
      <c r="S14" s="702">
        <f t="shared" si="0"/>
        <v>100</v>
      </c>
      <c r="T14" s="701" t="s">
        <v>18</v>
      </c>
      <c r="U14" s="702">
        <f t="shared" si="1"/>
        <v>100</v>
      </c>
      <c r="V14" s="701" t="s">
        <v>18</v>
      </c>
      <c r="W14" s="702">
        <f t="shared" si="2"/>
        <v>100</v>
      </c>
      <c r="X14" s="703"/>
      <c r="Y14" s="3691"/>
      <c r="Z14" s="52">
        <f t="shared" si="7"/>
        <v>111</v>
      </c>
      <c r="AA14" s="704">
        <f t="shared" si="3"/>
        <v>1</v>
      </c>
      <c r="AB14" s="704">
        <f t="shared" si="4"/>
        <v>1</v>
      </c>
      <c r="AC14" s="704">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07" t="s">
        <v>1691</v>
      </c>
      <c r="Q15" s="1347" t="str">
        <f t="shared" si="6"/>
        <v>居住社区成熟度</v>
      </c>
      <c r="R15" s="705" t="s">
        <v>18</v>
      </c>
      <c r="S15" s="706">
        <f t="shared" si="0"/>
        <v>100</v>
      </c>
      <c r="T15" s="705" t="s">
        <v>18</v>
      </c>
      <c r="U15" s="706">
        <f t="shared" si="1"/>
        <v>100</v>
      </c>
      <c r="V15" s="705" t="s">
        <v>18</v>
      </c>
      <c r="W15" s="706">
        <f t="shared" si="2"/>
        <v>100</v>
      </c>
      <c r="X15" s="1350"/>
      <c r="Y15" s="3800"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808"/>
      <c r="Q16" s="1347"/>
      <c r="R16" s="705"/>
      <c r="S16" s="706"/>
      <c r="T16" s="705"/>
      <c r="U16" s="706"/>
      <c r="V16" s="705"/>
      <c r="W16" s="706"/>
      <c r="X16" s="1350"/>
      <c r="Y16" s="3801"/>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08"/>
      <c r="Q17" s="1347" t="str">
        <f>B17</f>
        <v>交通便捷度</v>
      </c>
      <c r="R17" s="705" t="s">
        <v>18</v>
      </c>
      <c r="S17" s="706">
        <f>F17</f>
        <v>100</v>
      </c>
      <c r="T17" s="705" t="s">
        <v>18</v>
      </c>
      <c r="U17" s="706">
        <f>H17</f>
        <v>100</v>
      </c>
      <c r="V17" s="705" t="s">
        <v>18</v>
      </c>
      <c r="W17" s="706">
        <f>J17</f>
        <v>100</v>
      </c>
      <c r="X17" s="1350"/>
      <c r="Y17" s="380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808"/>
      <c r="Q18" s="1347"/>
      <c r="R18" s="705"/>
      <c r="S18" s="706"/>
      <c r="T18" s="705"/>
      <c r="U18" s="706"/>
      <c r="V18" s="705"/>
      <c r="W18" s="706"/>
      <c r="X18" s="1350"/>
      <c r="Y18" s="3801"/>
      <c r="Z18" s="1351"/>
      <c r="AA18" s="1348">
        <v>1</v>
      </c>
      <c r="AB18" s="1348">
        <v>1</v>
      </c>
      <c r="AC18" s="1348">
        <v>1</v>
      </c>
    </row>
    <row r="19" spans="1:29" ht="42.75">
      <c r="A19" s="379"/>
      <c r="B19" s="402" t="s">
        <v>1258</v>
      </c>
      <c r="C19" s="1895"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08"/>
      <c r="Q19" s="1347" t="str">
        <f>B19</f>
        <v>公共配套设施</v>
      </c>
      <c r="R19" s="705" t="s">
        <v>18</v>
      </c>
      <c r="S19" s="706">
        <f>F19</f>
        <v>100</v>
      </c>
      <c r="T19" s="705" t="s">
        <v>18</v>
      </c>
      <c r="U19" s="706">
        <f>H19</f>
        <v>100</v>
      </c>
      <c r="V19" s="705" t="s">
        <v>18</v>
      </c>
      <c r="W19" s="706">
        <f>J19</f>
        <v>100</v>
      </c>
      <c r="X19" s="1350"/>
      <c r="Y19" s="380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808"/>
      <c r="Q20" s="1347"/>
      <c r="R20" s="705"/>
      <c r="S20" s="706"/>
      <c r="T20" s="705"/>
      <c r="U20" s="706"/>
      <c r="V20" s="705"/>
      <c r="W20" s="706"/>
      <c r="X20" s="1350"/>
      <c r="Y20" s="3801"/>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08"/>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6"/>
      <c r="M22" s="2710"/>
      <c r="N22" s="2710"/>
      <c r="O22" s="2710"/>
      <c r="P22" s="3808"/>
      <c r="Q22" s="1347"/>
      <c r="R22" s="705"/>
      <c r="S22" s="706"/>
      <c r="T22" s="705"/>
      <c r="U22" s="706"/>
      <c r="V22" s="705"/>
      <c r="W22" s="706"/>
      <c r="X22" s="1350"/>
      <c r="Y22" s="3801"/>
      <c r="Z22" s="1351"/>
      <c r="AA22" s="1348">
        <v>1</v>
      </c>
      <c r="AB22" s="1348">
        <v>1</v>
      </c>
      <c r="AC22" s="1348">
        <v>1</v>
      </c>
    </row>
    <row r="23" spans="1:29" ht="42.75">
      <c r="A23" s="379"/>
      <c r="B23" s="402" t="s">
        <v>1261</v>
      </c>
      <c r="C23" s="1895"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08"/>
      <c r="Q23" s="1347" t="str">
        <f>B23</f>
        <v>自然及人文环境</v>
      </c>
      <c r="R23" s="705" t="s">
        <v>18</v>
      </c>
      <c r="S23" s="706">
        <f>F23</f>
        <v>100</v>
      </c>
      <c r="T23" s="705" t="s">
        <v>18</v>
      </c>
      <c r="U23" s="706">
        <f>H23</f>
        <v>100</v>
      </c>
      <c r="V23" s="705" t="s">
        <v>18</v>
      </c>
      <c r="W23" s="706">
        <f>J23</f>
        <v>100</v>
      </c>
      <c r="X23" s="1350"/>
      <c r="Y23" s="380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808"/>
      <c r="Q24" s="1347"/>
      <c r="R24" s="705"/>
      <c r="S24" s="706"/>
      <c r="T24" s="705"/>
      <c r="U24" s="706"/>
      <c r="V24" s="705"/>
      <c r="W24" s="706"/>
      <c r="X24" s="1350"/>
      <c r="Y24" s="3801"/>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808"/>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801"/>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808"/>
      <c r="Q26" s="1347" t="str">
        <f t="shared" si="11"/>
        <v>朝向</v>
      </c>
      <c r="R26" s="705" t="s">
        <v>18</v>
      </c>
      <c r="S26" s="706">
        <f t="shared" si="12"/>
        <v>100</v>
      </c>
      <c r="T26" s="705" t="s">
        <v>18</v>
      </c>
      <c r="U26" s="706">
        <f t="shared" si="13"/>
        <v>100</v>
      </c>
      <c r="V26" s="705" t="s">
        <v>18</v>
      </c>
      <c r="W26" s="706">
        <f t="shared" si="14"/>
        <v>100</v>
      </c>
      <c r="X26" s="1350"/>
      <c r="Y26" s="3801"/>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808"/>
      <c r="Q27" s="1338">
        <f t="shared" si="11"/>
        <v>111</v>
      </c>
      <c r="R27" s="701" t="s">
        <v>18</v>
      </c>
      <c r="S27" s="702">
        <f t="shared" si="12"/>
        <v>100</v>
      </c>
      <c r="T27" s="701" t="s">
        <v>18</v>
      </c>
      <c r="U27" s="702">
        <f t="shared" si="13"/>
        <v>100</v>
      </c>
      <c r="V27" s="701" t="s">
        <v>18</v>
      </c>
      <c r="W27" s="702">
        <f t="shared" si="14"/>
        <v>100</v>
      </c>
      <c r="X27" s="703"/>
      <c r="Y27" s="3801"/>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808"/>
      <c r="Q28" s="1347">
        <f t="shared" si="11"/>
        <v>111</v>
      </c>
      <c r="R28" s="705" t="s">
        <v>18</v>
      </c>
      <c r="S28" s="706">
        <f t="shared" si="12"/>
        <v>100</v>
      </c>
      <c r="T28" s="705" t="s">
        <v>18</v>
      </c>
      <c r="U28" s="706">
        <f t="shared" si="13"/>
        <v>100</v>
      </c>
      <c r="V28" s="705" t="s">
        <v>18</v>
      </c>
      <c r="W28" s="706">
        <f t="shared" si="14"/>
        <v>100</v>
      </c>
      <c r="X28" s="1350"/>
      <c r="Y28" s="3801"/>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808"/>
      <c r="Q29" s="1347">
        <f t="shared" si="11"/>
        <v>111</v>
      </c>
      <c r="R29" s="705" t="s">
        <v>18</v>
      </c>
      <c r="S29" s="706">
        <f t="shared" si="12"/>
        <v>100</v>
      </c>
      <c r="T29" s="705" t="s">
        <v>18</v>
      </c>
      <c r="U29" s="706">
        <f t="shared" si="13"/>
        <v>100</v>
      </c>
      <c r="V29" s="705" t="s">
        <v>18</v>
      </c>
      <c r="W29" s="706">
        <f t="shared" si="14"/>
        <v>100</v>
      </c>
      <c r="X29" s="1350"/>
      <c r="Y29" s="3801"/>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808"/>
      <c r="Q30" s="1347">
        <f t="shared" si="11"/>
        <v>111</v>
      </c>
      <c r="R30" s="705" t="s">
        <v>18</v>
      </c>
      <c r="S30" s="706">
        <f t="shared" si="12"/>
        <v>100</v>
      </c>
      <c r="T30" s="705" t="s">
        <v>18</v>
      </c>
      <c r="U30" s="706">
        <f t="shared" si="13"/>
        <v>100</v>
      </c>
      <c r="V30" s="705" t="s">
        <v>18</v>
      </c>
      <c r="W30" s="706">
        <f t="shared" si="14"/>
        <v>100</v>
      </c>
      <c r="X30" s="1350"/>
      <c r="Y30" s="3801"/>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808"/>
      <c r="Q31" s="1347">
        <f t="shared" si="11"/>
        <v>111</v>
      </c>
      <c r="R31" s="705" t="s">
        <v>18</v>
      </c>
      <c r="S31" s="706">
        <f t="shared" si="12"/>
        <v>100</v>
      </c>
      <c r="T31" s="705" t="s">
        <v>18</v>
      </c>
      <c r="U31" s="706">
        <f t="shared" si="13"/>
        <v>100</v>
      </c>
      <c r="V31" s="705" t="s">
        <v>18</v>
      </c>
      <c r="W31" s="706">
        <f t="shared" si="14"/>
        <v>100</v>
      </c>
      <c r="X31" s="1350"/>
      <c r="Y31" s="3801"/>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802" t="s">
        <v>1696</v>
      </c>
      <c r="Q32" s="1347" t="str">
        <f t="shared" si="11"/>
        <v>建筑类型</v>
      </c>
      <c r="R32" s="705" t="s">
        <v>18</v>
      </c>
      <c r="S32" s="706">
        <f t="shared" si="12"/>
        <v>100</v>
      </c>
      <c r="T32" s="705" t="s">
        <v>18</v>
      </c>
      <c r="U32" s="706">
        <f t="shared" si="13"/>
        <v>100</v>
      </c>
      <c r="V32" s="705" t="s">
        <v>18</v>
      </c>
      <c r="W32" s="706">
        <f t="shared" si="14"/>
        <v>100</v>
      </c>
      <c r="X32" s="1350"/>
      <c r="Y32" s="3805"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803"/>
      <c r="Q33" s="707" t="str">
        <f t="shared" si="11"/>
        <v>项目建筑规模</v>
      </c>
      <c r="R33" s="708" t="s">
        <v>18</v>
      </c>
      <c r="S33" s="709" t="e">
        <f t="shared" si="12"/>
        <v>#N/A</v>
      </c>
      <c r="T33" s="708" t="s">
        <v>18</v>
      </c>
      <c r="U33" s="709" t="e">
        <f t="shared" si="13"/>
        <v>#N/A</v>
      </c>
      <c r="V33" s="708" t="s">
        <v>18</v>
      </c>
      <c r="W33" s="709" t="e">
        <f t="shared" si="14"/>
        <v>#N/A</v>
      </c>
      <c r="X33" s="710"/>
      <c r="Y33" s="3805"/>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803"/>
      <c r="Q34" s="1347" t="str">
        <f t="shared" si="11"/>
        <v>建筑结构</v>
      </c>
      <c r="R34" s="705" t="s">
        <v>18</v>
      </c>
      <c r="S34" s="706">
        <f t="shared" si="12"/>
        <v>100</v>
      </c>
      <c r="T34" s="705" t="s">
        <v>18</v>
      </c>
      <c r="U34" s="706">
        <f t="shared" si="13"/>
        <v>100</v>
      </c>
      <c r="V34" s="705" t="s">
        <v>18</v>
      </c>
      <c r="W34" s="706">
        <f t="shared" si="14"/>
        <v>100</v>
      </c>
      <c r="X34" s="1350"/>
      <c r="Y34" s="3805"/>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803"/>
      <c r="Q35" s="1347" t="str">
        <f t="shared" si="11"/>
        <v>建筑品质</v>
      </c>
      <c r="R35" s="705" t="s">
        <v>18</v>
      </c>
      <c r="S35" s="706">
        <f t="shared" si="12"/>
        <v>100</v>
      </c>
      <c r="T35" s="705" t="s">
        <v>18</v>
      </c>
      <c r="U35" s="706">
        <f t="shared" si="13"/>
        <v>100</v>
      </c>
      <c r="V35" s="705" t="s">
        <v>18</v>
      </c>
      <c r="W35" s="706">
        <f t="shared" si="14"/>
        <v>100</v>
      </c>
      <c r="X35" s="1350"/>
      <c r="Y35" s="3805"/>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803"/>
      <c r="Q36" s="1347" t="str">
        <f t="shared" si="11"/>
        <v>公共部分装修</v>
      </c>
      <c r="R36" s="705" t="s">
        <v>18</v>
      </c>
      <c r="S36" s="706">
        <f t="shared" si="12"/>
        <v>100</v>
      </c>
      <c r="T36" s="705" t="s">
        <v>18</v>
      </c>
      <c r="U36" s="706">
        <f t="shared" si="13"/>
        <v>100</v>
      </c>
      <c r="V36" s="705" t="s">
        <v>18</v>
      </c>
      <c r="W36" s="706">
        <f t="shared" si="14"/>
        <v>100</v>
      </c>
      <c r="X36" s="1350"/>
      <c r="Y36" s="3805"/>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03"/>
      <c r="Q37" s="1338" t="str">
        <f t="shared" si="11"/>
        <v>成新度</v>
      </c>
      <c r="R37" s="701" t="s">
        <v>18</v>
      </c>
      <c r="S37" s="702" t="e">
        <f t="shared" si="12"/>
        <v>#N/A</v>
      </c>
      <c r="T37" s="701" t="s">
        <v>18</v>
      </c>
      <c r="U37" s="702" t="e">
        <f t="shared" si="13"/>
        <v>#N/A</v>
      </c>
      <c r="V37" s="701" t="s">
        <v>18</v>
      </c>
      <c r="W37" s="702" t="e">
        <f t="shared" si="14"/>
        <v>#N/A</v>
      </c>
      <c r="X37" s="703"/>
      <c r="Y37" s="3805"/>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803" t="s">
        <v>1696</v>
      </c>
      <c r="Q38" s="1347" t="str">
        <f t="shared" si="11"/>
        <v>物业管理</v>
      </c>
      <c r="R38" s="705" t="s">
        <v>18</v>
      </c>
      <c r="S38" s="706">
        <f t="shared" si="12"/>
        <v>100</v>
      </c>
      <c r="T38" s="705" t="s">
        <v>18</v>
      </c>
      <c r="U38" s="706">
        <f t="shared" si="13"/>
        <v>100</v>
      </c>
      <c r="V38" s="705" t="s">
        <v>18</v>
      </c>
      <c r="W38" s="706">
        <f t="shared" si="14"/>
        <v>100</v>
      </c>
      <c r="X38" s="1350"/>
      <c r="Y38" s="3805"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803"/>
      <c r="Q39" s="1347" t="str">
        <f t="shared" si="11"/>
        <v>市政基础设施</v>
      </c>
      <c r="R39" s="705" t="s">
        <v>18</v>
      </c>
      <c r="S39" s="706">
        <f t="shared" si="12"/>
        <v>100</v>
      </c>
      <c r="T39" s="705" t="s">
        <v>18</v>
      </c>
      <c r="U39" s="706">
        <f t="shared" si="13"/>
        <v>100</v>
      </c>
      <c r="V39" s="705" t="s">
        <v>18</v>
      </c>
      <c r="W39" s="706">
        <f t="shared" si="14"/>
        <v>100</v>
      </c>
      <c r="X39" s="1350"/>
      <c r="Y39" s="3805"/>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803"/>
      <c r="Q40" s="1347" t="str">
        <f t="shared" si="11"/>
        <v>房型</v>
      </c>
      <c r="R40" s="705" t="s">
        <v>18</v>
      </c>
      <c r="S40" s="706">
        <f t="shared" si="12"/>
        <v>100</v>
      </c>
      <c r="T40" s="705" t="s">
        <v>18</v>
      </c>
      <c r="U40" s="706">
        <f t="shared" si="13"/>
        <v>100</v>
      </c>
      <c r="V40" s="705" t="s">
        <v>18</v>
      </c>
      <c r="W40" s="706">
        <f t="shared" si="14"/>
        <v>100</v>
      </c>
      <c r="X40" s="1350"/>
      <c r="Y40" s="3805"/>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803"/>
      <c r="Q41" s="707" t="str">
        <f t="shared" si="11"/>
        <v>单套/主力户型建筑面积</v>
      </c>
      <c r="R41" s="708" t="s">
        <v>18</v>
      </c>
      <c r="S41" s="709">
        <f t="shared" si="12"/>
        <v>100</v>
      </c>
      <c r="T41" s="708" t="s">
        <v>18</v>
      </c>
      <c r="U41" s="709">
        <f t="shared" si="13"/>
        <v>100</v>
      </c>
      <c r="V41" s="708" t="s">
        <v>18</v>
      </c>
      <c r="W41" s="709">
        <f t="shared" si="14"/>
        <v>100</v>
      </c>
      <c r="X41" s="710"/>
      <c r="Y41" s="3805"/>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803"/>
      <c r="Q42" s="1347" t="str">
        <f t="shared" si="11"/>
        <v>内部装修</v>
      </c>
      <c r="R42" s="705" t="s">
        <v>18</v>
      </c>
      <c r="S42" s="706">
        <f t="shared" si="12"/>
        <v>100</v>
      </c>
      <c r="T42" s="705" t="s">
        <v>18</v>
      </c>
      <c r="U42" s="706">
        <f t="shared" si="13"/>
        <v>100</v>
      </c>
      <c r="V42" s="705" t="s">
        <v>18</v>
      </c>
      <c r="W42" s="706">
        <f t="shared" si="14"/>
        <v>100</v>
      </c>
      <c r="X42" s="1350"/>
      <c r="Y42" s="3805"/>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803"/>
      <c r="Q43" s="1347" t="str">
        <f t="shared" si="11"/>
        <v>内部装修维护情况</v>
      </c>
      <c r="R43" s="705" t="s">
        <v>18</v>
      </c>
      <c r="S43" s="706">
        <f t="shared" si="12"/>
        <v>100</v>
      </c>
      <c r="T43" s="705" t="s">
        <v>18</v>
      </c>
      <c r="U43" s="706">
        <f t="shared" si="13"/>
        <v>100</v>
      </c>
      <c r="V43" s="705" t="s">
        <v>18</v>
      </c>
      <c r="W43" s="706">
        <f t="shared" si="14"/>
        <v>100</v>
      </c>
      <c r="X43" s="1350"/>
      <c r="Y43" s="3805"/>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803"/>
      <c r="Q44" s="1338">
        <f t="shared" si="11"/>
        <v>111</v>
      </c>
      <c r="R44" s="701" t="s">
        <v>18</v>
      </c>
      <c r="S44" s="702">
        <f t="shared" si="12"/>
        <v>100</v>
      </c>
      <c r="T44" s="701" t="s">
        <v>18</v>
      </c>
      <c r="U44" s="702">
        <f t="shared" si="13"/>
        <v>100</v>
      </c>
      <c r="V44" s="701" t="s">
        <v>18</v>
      </c>
      <c r="W44" s="702">
        <f t="shared" si="14"/>
        <v>100</v>
      </c>
      <c r="X44" s="703"/>
      <c r="Y44" s="3805"/>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803"/>
      <c r="Q45" s="1347">
        <f t="shared" si="11"/>
        <v>111</v>
      </c>
      <c r="R45" s="705" t="s">
        <v>18</v>
      </c>
      <c r="S45" s="706">
        <f t="shared" si="12"/>
        <v>100</v>
      </c>
      <c r="T45" s="705" t="s">
        <v>18</v>
      </c>
      <c r="U45" s="706">
        <f t="shared" si="13"/>
        <v>100</v>
      </c>
      <c r="V45" s="705" t="s">
        <v>18</v>
      </c>
      <c r="W45" s="706">
        <f t="shared" si="14"/>
        <v>100</v>
      </c>
      <c r="X45" s="1350"/>
      <c r="Y45" s="3805"/>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804"/>
      <c r="Q46" s="1347">
        <f t="shared" si="11"/>
        <v>111</v>
      </c>
      <c r="R46" s="705" t="s">
        <v>17</v>
      </c>
      <c r="S46" s="706">
        <f t="shared" si="12"/>
        <v>100</v>
      </c>
      <c r="T46" s="705" t="s">
        <v>17</v>
      </c>
      <c r="U46" s="706">
        <f t="shared" si="13"/>
        <v>100</v>
      </c>
      <c r="V46" s="705" t="s">
        <v>17</v>
      </c>
      <c r="W46" s="706">
        <f t="shared" si="14"/>
        <v>100</v>
      </c>
      <c r="X46" s="1350"/>
      <c r="Y46" s="3806"/>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8"/>
      <c r="M47" s="2719"/>
      <c r="N47" s="2710"/>
      <c r="O47" s="2719"/>
      <c r="P47" s="3798" t="str">
        <f>A47</f>
        <v>成交单价（元/平方米）</v>
      </c>
      <c r="Q47" s="3798"/>
      <c r="R47" s="3799">
        <f>E47</f>
        <v>0</v>
      </c>
      <c r="S47" s="3799"/>
      <c r="T47" s="3799">
        <f>G47</f>
        <v>0</v>
      </c>
      <c r="U47" s="3799"/>
      <c r="V47" s="3799">
        <f>I47</f>
        <v>0</v>
      </c>
      <c r="W47" s="3799"/>
      <c r="X47" s="690"/>
      <c r="Y47" s="712"/>
      <c r="Z47" s="690"/>
      <c r="AA47" s="690"/>
      <c r="AB47" s="690"/>
      <c r="AC47" s="690"/>
    </row>
    <row r="48" spans="1:29" ht="15.75" thickBot="1">
      <c r="A48" s="437" t="s">
        <v>1709</v>
      </c>
      <c r="B48" s="438"/>
      <c r="C48" s="1155" t="e">
        <f>R49</f>
        <v>#DIV/0!</v>
      </c>
      <c r="D48" s="2312" t="s">
        <v>2138</v>
      </c>
      <c r="E48" s="1156" t="e">
        <f>R48</f>
        <v>#DIV/0!</v>
      </c>
      <c r="F48" s="2313"/>
      <c r="G48" s="1155" t="e">
        <f>T48</f>
        <v>#DIV/0!</v>
      </c>
      <c r="H48" s="2313"/>
      <c r="I48" s="1156" t="e">
        <f>V48</f>
        <v>#DIV/0!</v>
      </c>
      <c r="J48" s="2313"/>
      <c r="K48" s="2314">
        <f>F48+H48+J48</f>
        <v>0</v>
      </c>
      <c r="L48" s="2718"/>
      <c r="M48" s="2719"/>
      <c r="N48" s="2719"/>
      <c r="O48" s="2719"/>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10"/>
      <c r="L49" s="2718"/>
      <c r="M49" s="2719"/>
      <c r="N49" s="2719"/>
      <c r="O49" s="2719"/>
      <c r="P49" s="3795" t="str">
        <f>A49</f>
        <v>估价对象XX用房的比较价值（楼面单价，元/平方米）</v>
      </c>
      <c r="Q49" s="3796"/>
      <c r="R49" s="3797" t="e">
        <f>IF(F1="售价",ROUND(IF(D48="简单平均",AVERAGE(R48:V48),R48*F48+T48*H48+V48*J48),0),ROUND(IF(D48="简单平均",AVERAGE(R48:V48),R48*F48+T48*H48+V48*J48),1))</f>
        <v>#DIV/0!</v>
      </c>
      <c r="S49" s="3797"/>
      <c r="T49" s="3797"/>
      <c r="U49" s="3797"/>
      <c r="V49" s="3797"/>
      <c r="W49" s="379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36"/>
      <c r="L57" s="937"/>
      <c r="M57" s="935"/>
      <c r="N57" s="935"/>
      <c r="O57" s="935"/>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0</v>
      </c>
      <c r="C3" s="354" t="s">
        <v>1768</v>
      </c>
      <c r="D3" s="353">
        <f>IF(D1="",'数据-汇总表'!E3,SUMIF('数据-汇总表'!$C19:$C33,D1,'数据-汇总表'!$E19:$E33))</f>
        <v>28830.28</v>
      </c>
      <c r="E3" s="1949"/>
      <c r="F3" s="904"/>
      <c r="G3" s="903"/>
      <c r="H3" s="903"/>
      <c r="I3" s="903"/>
      <c r="J3" s="903"/>
      <c r="K3" s="905"/>
      <c r="L3" s="2728"/>
      <c r="M3" s="2729"/>
      <c r="N3" s="2729"/>
      <c r="O3" s="2729"/>
      <c r="P3" s="1947"/>
      <c r="Q3" s="907"/>
      <c r="R3" s="907"/>
      <c r="S3" s="907"/>
      <c r="T3" s="907"/>
      <c r="U3" s="907"/>
      <c r="V3" s="907"/>
      <c r="W3" s="907"/>
      <c r="X3" s="907"/>
      <c r="Y3" s="907"/>
      <c r="Z3" s="907"/>
      <c r="AA3" s="907"/>
      <c r="AB3" s="907"/>
      <c r="AC3" s="1949"/>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93"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93"/>
      <c r="AC5" s="3764"/>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93"/>
      <c r="AC6" s="3765"/>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66" t="s">
        <v>1683</v>
      </c>
      <c r="Q8" s="3767"/>
      <c r="R8" s="701" t="s">
        <v>14</v>
      </c>
      <c r="S8" s="702">
        <f t="shared" si="0"/>
        <v>100</v>
      </c>
      <c r="T8" s="701" t="s">
        <v>14</v>
      </c>
      <c r="U8" s="702">
        <f t="shared" si="1"/>
        <v>100</v>
      </c>
      <c r="V8" s="701" t="s">
        <v>14</v>
      </c>
      <c r="W8" s="702">
        <f t="shared" si="2"/>
        <v>100</v>
      </c>
      <c r="X8" s="703"/>
      <c r="Y8" s="3766" t="s">
        <v>1683</v>
      </c>
      <c r="Z8" s="37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80"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80"/>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80"/>
      <c r="Q11" s="1338"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80"/>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80"/>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80"/>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07" t="s">
        <v>1691</v>
      </c>
      <c r="Q15" s="1347" t="str">
        <f t="shared" si="6"/>
        <v>商业繁华度</v>
      </c>
      <c r="R15" s="705" t="s">
        <v>14</v>
      </c>
      <c r="S15" s="706">
        <f t="shared" si="0"/>
        <v>100</v>
      </c>
      <c r="T15" s="705" t="s">
        <v>14</v>
      </c>
      <c r="U15" s="706">
        <f t="shared" si="1"/>
        <v>100</v>
      </c>
      <c r="V15" s="705" t="s">
        <v>14</v>
      </c>
      <c r="W15" s="706">
        <f t="shared" si="2"/>
        <v>100</v>
      </c>
      <c r="X15" s="1350"/>
      <c r="Y15" s="3800"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808"/>
      <c r="Q16" s="1347"/>
      <c r="R16" s="705"/>
      <c r="S16" s="706"/>
      <c r="T16" s="705"/>
      <c r="U16" s="706"/>
      <c r="V16" s="705"/>
      <c r="W16" s="706"/>
      <c r="X16" s="1350"/>
      <c r="Y16" s="3801"/>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08"/>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808"/>
      <c r="Q18" s="1347"/>
      <c r="R18" s="705"/>
      <c r="S18" s="706"/>
      <c r="T18" s="705"/>
      <c r="U18" s="706"/>
      <c r="V18" s="705"/>
      <c r="W18" s="706"/>
      <c r="X18" s="1350"/>
      <c r="Y18" s="3801"/>
      <c r="Z18" s="1351"/>
      <c r="AA18" s="1348">
        <v>1</v>
      </c>
      <c r="AB18" s="1348">
        <v>1</v>
      </c>
      <c r="AC18" s="1348">
        <v>1</v>
      </c>
    </row>
    <row r="19" spans="1:29" ht="42.75">
      <c r="A19" s="379"/>
      <c r="B19" s="402" t="s">
        <v>1778</v>
      </c>
      <c r="C19" s="1895"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08"/>
      <c r="Q19" s="1347" t="str">
        <f>B19</f>
        <v>公共配套设施</v>
      </c>
      <c r="R19" s="705" t="s">
        <v>14</v>
      </c>
      <c r="S19" s="706">
        <f>F19</f>
        <v>100</v>
      </c>
      <c r="T19" s="705" t="s">
        <v>14</v>
      </c>
      <c r="U19" s="706">
        <f>H19</f>
        <v>100</v>
      </c>
      <c r="V19" s="705" t="s">
        <v>14</v>
      </c>
      <c r="W19" s="706">
        <f>J19</f>
        <v>100</v>
      </c>
      <c r="X19" s="1350"/>
      <c r="Y19" s="3801"/>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808"/>
      <c r="Q20" s="1347"/>
      <c r="R20" s="705"/>
      <c r="S20" s="706"/>
      <c r="T20" s="705"/>
      <c r="U20" s="706"/>
      <c r="V20" s="705"/>
      <c r="W20" s="706"/>
      <c r="X20" s="1350"/>
      <c r="Y20" s="3801"/>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08"/>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2716"/>
      <c r="M22" s="2710"/>
      <c r="N22" s="2710"/>
      <c r="O22" s="2710"/>
      <c r="P22" s="3808"/>
      <c r="Q22" s="1347"/>
      <c r="R22" s="705"/>
      <c r="S22" s="706"/>
      <c r="T22" s="705"/>
      <c r="U22" s="706"/>
      <c r="V22" s="705"/>
      <c r="W22" s="706"/>
      <c r="X22" s="1350"/>
      <c r="Y22" s="3801"/>
      <c r="Z22" s="1351"/>
      <c r="AA22" s="1348">
        <v>1</v>
      </c>
      <c r="AB22" s="1348">
        <v>1</v>
      </c>
      <c r="AC22" s="1348">
        <v>1</v>
      </c>
    </row>
    <row r="23" spans="1:29" ht="57">
      <c r="A23" s="379"/>
      <c r="B23" s="402" t="s">
        <v>1261</v>
      </c>
      <c r="C23" s="1950"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08"/>
      <c r="Q23" s="1347" t="str">
        <f>B23</f>
        <v>自然及人文环境</v>
      </c>
      <c r="R23" s="705" t="s">
        <v>14</v>
      </c>
      <c r="S23" s="706">
        <f>F23</f>
        <v>100</v>
      </c>
      <c r="T23" s="705" t="s">
        <v>14</v>
      </c>
      <c r="U23" s="706">
        <f>H23</f>
        <v>100</v>
      </c>
      <c r="V23" s="705" t="s">
        <v>14</v>
      </c>
      <c r="W23" s="706">
        <f>J23</f>
        <v>100</v>
      </c>
      <c r="X23" s="1350"/>
      <c r="Y23" s="3801"/>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808"/>
      <c r="Q24" s="1347"/>
      <c r="R24" s="705"/>
      <c r="S24" s="706"/>
      <c r="T24" s="705"/>
      <c r="U24" s="706"/>
      <c r="V24" s="705"/>
      <c r="W24" s="706"/>
      <c r="X24" s="1350"/>
      <c r="Y24" s="3801"/>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08"/>
      <c r="Q25" s="1347" t="str">
        <f t="shared" ref="Q25:Q46" si="11">B25</f>
        <v>临街状况</v>
      </c>
      <c r="R25" s="705" t="s">
        <v>14</v>
      </c>
      <c r="S25" s="706">
        <f>F25</f>
        <v>100</v>
      </c>
      <c r="T25" s="705" t="s">
        <v>14</v>
      </c>
      <c r="U25" s="706">
        <f>H25</f>
        <v>100</v>
      </c>
      <c r="V25" s="705" t="s">
        <v>14</v>
      </c>
      <c r="W25" s="706">
        <f>J25</f>
        <v>100</v>
      </c>
      <c r="X25" s="1350"/>
      <c r="Y25" s="3801"/>
      <c r="Z25" s="1351" t="str">
        <f>Q25</f>
        <v>临街状况</v>
      </c>
      <c r="AA25" s="1348">
        <f t="shared" si="3"/>
        <v>1</v>
      </c>
      <c r="AB25" s="1348">
        <f t="shared" si="4"/>
        <v>1</v>
      </c>
      <c r="AC25" s="1348">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08"/>
      <c r="Q26" s="1347" t="str">
        <f t="shared" si="11"/>
        <v>平面位置/可视性</v>
      </c>
      <c r="R26" s="705" t="s">
        <v>14</v>
      </c>
      <c r="S26" s="706">
        <f>F26</f>
        <v>100</v>
      </c>
      <c r="T26" s="705" t="s">
        <v>14</v>
      </c>
      <c r="U26" s="706">
        <f>H26</f>
        <v>100</v>
      </c>
      <c r="V26" s="705" t="s">
        <v>14</v>
      </c>
      <c r="W26" s="706">
        <f>J26</f>
        <v>100</v>
      </c>
      <c r="X26" s="1350"/>
      <c r="Y26" s="3801"/>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808"/>
      <c r="Q27" s="1338" t="str">
        <f t="shared" si="11"/>
        <v>人流量</v>
      </c>
      <c r="R27" s="701" t="s">
        <v>14</v>
      </c>
      <c r="S27" s="702">
        <f>F27</f>
        <v>100</v>
      </c>
      <c r="T27" s="701" t="s">
        <v>14</v>
      </c>
      <c r="U27" s="702">
        <f>H27</f>
        <v>100</v>
      </c>
      <c r="V27" s="701" t="s">
        <v>14</v>
      </c>
      <c r="W27" s="702">
        <f>J27</f>
        <v>100</v>
      </c>
      <c r="X27" s="703"/>
      <c r="Y27" s="3801"/>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08"/>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801"/>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08"/>
      <c r="Q29" s="1347">
        <f t="shared" si="11"/>
        <v>111</v>
      </c>
      <c r="R29" s="705" t="s">
        <v>14</v>
      </c>
      <c r="S29" s="706">
        <f t="shared" si="12"/>
        <v>100</v>
      </c>
      <c r="T29" s="705" t="s">
        <v>14</v>
      </c>
      <c r="U29" s="706">
        <f t="shared" si="13"/>
        <v>100</v>
      </c>
      <c r="V29" s="705" t="s">
        <v>14</v>
      </c>
      <c r="W29" s="706">
        <f t="shared" si="14"/>
        <v>100</v>
      </c>
      <c r="X29" s="1350"/>
      <c r="Y29" s="3801"/>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08"/>
      <c r="Q30" s="1347">
        <f t="shared" si="11"/>
        <v>111</v>
      </c>
      <c r="R30" s="705" t="s">
        <v>14</v>
      </c>
      <c r="S30" s="706">
        <f t="shared" si="12"/>
        <v>100</v>
      </c>
      <c r="T30" s="705" t="s">
        <v>14</v>
      </c>
      <c r="U30" s="706">
        <f t="shared" si="13"/>
        <v>100</v>
      </c>
      <c r="V30" s="705" t="s">
        <v>14</v>
      </c>
      <c r="W30" s="706">
        <f t="shared" si="14"/>
        <v>100</v>
      </c>
      <c r="X30" s="1350"/>
      <c r="Y30" s="3801"/>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08"/>
      <c r="Q31" s="1347">
        <f t="shared" si="11"/>
        <v>111</v>
      </c>
      <c r="R31" s="705" t="s">
        <v>14</v>
      </c>
      <c r="S31" s="706">
        <f t="shared" si="12"/>
        <v>100</v>
      </c>
      <c r="T31" s="705" t="s">
        <v>14</v>
      </c>
      <c r="U31" s="706">
        <f t="shared" si="13"/>
        <v>100</v>
      </c>
      <c r="V31" s="705" t="s">
        <v>14</v>
      </c>
      <c r="W31" s="706">
        <f t="shared" si="14"/>
        <v>100</v>
      </c>
      <c r="X31" s="1350"/>
      <c r="Y31" s="3801"/>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802" t="s">
        <v>1696</v>
      </c>
      <c r="Q32" s="1347" t="str">
        <f t="shared" si="11"/>
        <v>商业类型</v>
      </c>
      <c r="R32" s="705" t="s">
        <v>14</v>
      </c>
      <c r="S32" s="706">
        <f t="shared" si="12"/>
        <v>100</v>
      </c>
      <c r="T32" s="705" t="s">
        <v>14</v>
      </c>
      <c r="U32" s="706">
        <f t="shared" si="13"/>
        <v>100</v>
      </c>
      <c r="V32" s="705" t="s">
        <v>14</v>
      </c>
      <c r="W32" s="706">
        <f t="shared" si="14"/>
        <v>100</v>
      </c>
      <c r="X32" s="1350"/>
      <c r="Y32" s="3805"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03"/>
      <c r="Q33" s="707" t="str">
        <f t="shared" si="11"/>
        <v>项目建筑规模</v>
      </c>
      <c r="R33" s="708" t="s">
        <v>14</v>
      </c>
      <c r="S33" s="709" t="e">
        <f t="shared" si="12"/>
        <v>#N/A</v>
      </c>
      <c r="T33" s="708" t="s">
        <v>14</v>
      </c>
      <c r="U33" s="709" t="e">
        <f t="shared" si="13"/>
        <v>#N/A</v>
      </c>
      <c r="V33" s="708" t="s">
        <v>14</v>
      </c>
      <c r="W33" s="709" t="e">
        <f t="shared" si="14"/>
        <v>#N/A</v>
      </c>
      <c r="X33" s="710"/>
      <c r="Y33" s="3805"/>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803"/>
      <c r="Q34" s="1347" t="str">
        <f t="shared" si="11"/>
        <v>建筑结构</v>
      </c>
      <c r="R34" s="705" t="s">
        <v>14</v>
      </c>
      <c r="S34" s="706">
        <f t="shared" si="12"/>
        <v>100</v>
      </c>
      <c r="T34" s="705" t="s">
        <v>14</v>
      </c>
      <c r="U34" s="706">
        <f t="shared" si="13"/>
        <v>100</v>
      </c>
      <c r="V34" s="705" t="s">
        <v>14</v>
      </c>
      <c r="W34" s="706">
        <f t="shared" si="14"/>
        <v>100</v>
      </c>
      <c r="X34" s="1350"/>
      <c r="Y34" s="3805"/>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803"/>
      <c r="Q35" s="1347" t="str">
        <f t="shared" si="11"/>
        <v>公共部分装修</v>
      </c>
      <c r="R35" s="705" t="s">
        <v>14</v>
      </c>
      <c r="S35" s="706">
        <f t="shared" si="12"/>
        <v>100</v>
      </c>
      <c r="T35" s="705" t="s">
        <v>14</v>
      </c>
      <c r="U35" s="706">
        <f t="shared" si="13"/>
        <v>100</v>
      </c>
      <c r="V35" s="705" t="s">
        <v>14</v>
      </c>
      <c r="W35" s="706">
        <f t="shared" si="14"/>
        <v>100</v>
      </c>
      <c r="X35" s="1350"/>
      <c r="Y35" s="3805"/>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03"/>
      <c r="Q36" s="1347" t="str">
        <f t="shared" si="11"/>
        <v>成新度</v>
      </c>
      <c r="R36" s="705" t="s">
        <v>14</v>
      </c>
      <c r="S36" s="706" t="e">
        <f t="shared" si="12"/>
        <v>#N/A</v>
      </c>
      <c r="T36" s="705" t="s">
        <v>14</v>
      </c>
      <c r="U36" s="706" t="e">
        <f t="shared" si="13"/>
        <v>#N/A</v>
      </c>
      <c r="V36" s="705" t="s">
        <v>14</v>
      </c>
      <c r="W36" s="706" t="e">
        <f t="shared" si="14"/>
        <v>#N/A</v>
      </c>
      <c r="X36" s="1350"/>
      <c r="Y36" s="3805"/>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803"/>
      <c r="Q37" s="1338" t="str">
        <f t="shared" si="11"/>
        <v>市政基础设施</v>
      </c>
      <c r="R37" s="701" t="s">
        <v>14</v>
      </c>
      <c r="S37" s="702">
        <f t="shared" si="12"/>
        <v>100</v>
      </c>
      <c r="T37" s="701" t="s">
        <v>14</v>
      </c>
      <c r="U37" s="702">
        <f t="shared" si="13"/>
        <v>100</v>
      </c>
      <c r="V37" s="701" t="s">
        <v>14</v>
      </c>
      <c r="W37" s="702">
        <f t="shared" si="14"/>
        <v>100</v>
      </c>
      <c r="X37" s="703"/>
      <c r="Y37" s="3805"/>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803" t="s">
        <v>1696</v>
      </c>
      <c r="Q38" s="1347" t="str">
        <f t="shared" si="11"/>
        <v>业态</v>
      </c>
      <c r="R38" s="705" t="s">
        <v>14</v>
      </c>
      <c r="S38" s="706">
        <f t="shared" si="12"/>
        <v>100</v>
      </c>
      <c r="T38" s="705" t="s">
        <v>14</v>
      </c>
      <c r="U38" s="706">
        <f t="shared" si="13"/>
        <v>100</v>
      </c>
      <c r="V38" s="705" t="s">
        <v>14</v>
      </c>
      <c r="W38" s="706">
        <f t="shared" si="14"/>
        <v>100</v>
      </c>
      <c r="X38" s="1350"/>
      <c r="Y38" s="3805"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803"/>
      <c r="Q39" s="1347" t="str">
        <f t="shared" si="11"/>
        <v>层高</v>
      </c>
      <c r="R39" s="705" t="s">
        <v>14</v>
      </c>
      <c r="S39" s="706">
        <f t="shared" si="12"/>
        <v>100</v>
      </c>
      <c r="T39" s="705" t="s">
        <v>14</v>
      </c>
      <c r="U39" s="706">
        <f t="shared" si="13"/>
        <v>100</v>
      </c>
      <c r="V39" s="705" t="s">
        <v>14</v>
      </c>
      <c r="W39" s="706">
        <f t="shared" si="14"/>
        <v>100</v>
      </c>
      <c r="X39" s="1350"/>
      <c r="Y39" s="3805"/>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03"/>
      <c r="Q40" s="1347" t="str">
        <f t="shared" si="11"/>
        <v>单套建筑面积</v>
      </c>
      <c r="R40" s="705" t="s">
        <v>14</v>
      </c>
      <c r="S40" s="706">
        <f t="shared" si="12"/>
        <v>100</v>
      </c>
      <c r="T40" s="705" t="s">
        <v>14</v>
      </c>
      <c r="U40" s="706">
        <f t="shared" si="13"/>
        <v>100</v>
      </c>
      <c r="V40" s="705" t="s">
        <v>14</v>
      </c>
      <c r="W40" s="706">
        <f t="shared" si="14"/>
        <v>100</v>
      </c>
      <c r="X40" s="1350"/>
      <c r="Y40" s="3805"/>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03"/>
      <c r="Q41" s="707" t="str">
        <f t="shared" si="11"/>
        <v>进深比</v>
      </c>
      <c r="R41" s="708" t="s">
        <v>14</v>
      </c>
      <c r="S41" s="709">
        <f t="shared" si="12"/>
        <v>100</v>
      </c>
      <c r="T41" s="708" t="s">
        <v>14</v>
      </c>
      <c r="U41" s="709">
        <f t="shared" si="13"/>
        <v>100</v>
      </c>
      <c r="V41" s="708" t="s">
        <v>14</v>
      </c>
      <c r="W41" s="709">
        <f t="shared" si="14"/>
        <v>100</v>
      </c>
      <c r="X41" s="710"/>
      <c r="Y41" s="3805"/>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803"/>
      <c r="Q42" s="1347" t="str">
        <f t="shared" si="11"/>
        <v>内部装修</v>
      </c>
      <c r="R42" s="705" t="s">
        <v>14</v>
      </c>
      <c r="S42" s="706">
        <f t="shared" si="12"/>
        <v>100</v>
      </c>
      <c r="T42" s="705" t="s">
        <v>14</v>
      </c>
      <c r="U42" s="706">
        <f t="shared" si="13"/>
        <v>100</v>
      </c>
      <c r="V42" s="705" t="s">
        <v>14</v>
      </c>
      <c r="W42" s="706">
        <f t="shared" si="14"/>
        <v>100</v>
      </c>
      <c r="X42" s="1350"/>
      <c r="Y42" s="3805"/>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803"/>
      <c r="Q43" s="1347" t="str">
        <f t="shared" si="11"/>
        <v>内部装修维护情况</v>
      </c>
      <c r="R43" s="705" t="s">
        <v>14</v>
      </c>
      <c r="S43" s="706">
        <f t="shared" si="12"/>
        <v>100</v>
      </c>
      <c r="T43" s="705" t="s">
        <v>14</v>
      </c>
      <c r="U43" s="706">
        <f t="shared" si="13"/>
        <v>100</v>
      </c>
      <c r="V43" s="705" t="s">
        <v>14</v>
      </c>
      <c r="W43" s="706">
        <f t="shared" si="14"/>
        <v>100</v>
      </c>
      <c r="X43" s="1350"/>
      <c r="Y43" s="3805"/>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03"/>
      <c r="Q44" s="1338">
        <f t="shared" si="11"/>
        <v>111</v>
      </c>
      <c r="R44" s="701" t="s">
        <v>14</v>
      </c>
      <c r="S44" s="702">
        <f t="shared" si="12"/>
        <v>100</v>
      </c>
      <c r="T44" s="701" t="s">
        <v>14</v>
      </c>
      <c r="U44" s="702">
        <f t="shared" si="13"/>
        <v>100</v>
      </c>
      <c r="V44" s="701" t="s">
        <v>14</v>
      </c>
      <c r="W44" s="702">
        <f t="shared" si="14"/>
        <v>100</v>
      </c>
      <c r="X44" s="703"/>
      <c r="Y44" s="3805"/>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03"/>
      <c r="Q45" s="1347">
        <f t="shared" si="11"/>
        <v>111</v>
      </c>
      <c r="R45" s="705" t="s">
        <v>14</v>
      </c>
      <c r="S45" s="706">
        <f t="shared" si="12"/>
        <v>100</v>
      </c>
      <c r="T45" s="705" t="s">
        <v>14</v>
      </c>
      <c r="U45" s="706">
        <f t="shared" si="13"/>
        <v>100</v>
      </c>
      <c r="V45" s="705" t="s">
        <v>14</v>
      </c>
      <c r="W45" s="706">
        <f t="shared" si="14"/>
        <v>100</v>
      </c>
      <c r="X45" s="1350"/>
      <c r="Y45" s="3805"/>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04"/>
      <c r="Q46" s="1347">
        <f t="shared" si="11"/>
        <v>111</v>
      </c>
      <c r="R46" s="705" t="s">
        <v>14</v>
      </c>
      <c r="S46" s="706">
        <f t="shared" si="12"/>
        <v>100</v>
      </c>
      <c r="T46" s="705" t="s">
        <v>14</v>
      </c>
      <c r="U46" s="706">
        <f t="shared" si="13"/>
        <v>100</v>
      </c>
      <c r="V46" s="705" t="s">
        <v>14</v>
      </c>
      <c r="W46" s="706">
        <f t="shared" si="14"/>
        <v>100</v>
      </c>
      <c r="X46" s="1350"/>
      <c r="Y46" s="3806"/>
      <c r="Z46" s="1351">
        <f t="shared" si="15"/>
        <v>111</v>
      </c>
      <c r="AA46" s="1348">
        <f t="shared" si="3"/>
        <v>1</v>
      </c>
      <c r="AB46" s="1348">
        <f t="shared" si="4"/>
        <v>1</v>
      </c>
      <c r="AC46" s="1348">
        <f t="shared" si="5"/>
        <v>1</v>
      </c>
    </row>
    <row r="47" spans="1:29" ht="15">
      <c r="A47" s="430" t="s">
        <v>1708</v>
      </c>
      <c r="B47" s="431"/>
      <c r="C47" s="1149" t="s">
        <v>0</v>
      </c>
      <c r="D47" s="1150"/>
      <c r="E47" s="1151"/>
      <c r="F47" s="1152"/>
      <c r="G47" s="1153"/>
      <c r="H47" s="1154"/>
      <c r="I47" s="1151"/>
      <c r="J47" s="1154"/>
      <c r="K47" s="714"/>
      <c r="L47" s="2718"/>
      <c r="M47" s="2719"/>
      <c r="N47" s="2710"/>
      <c r="O47" s="2719"/>
      <c r="P47" s="3798" t="str">
        <f>A47</f>
        <v>成交单价（元/平方米）</v>
      </c>
      <c r="Q47" s="3798"/>
      <c r="R47" s="3793">
        <f>E47</f>
        <v>0</v>
      </c>
      <c r="S47" s="3793"/>
      <c r="T47" s="3793">
        <f>G47</f>
        <v>0</v>
      </c>
      <c r="U47" s="3793"/>
      <c r="V47" s="3793">
        <f>I47</f>
        <v>0</v>
      </c>
      <c r="W47" s="3793"/>
      <c r="X47" s="690"/>
      <c r="Y47" s="712"/>
      <c r="Z47" s="690"/>
      <c r="AA47" s="690"/>
      <c r="AB47" s="690"/>
      <c r="AC47" s="690"/>
    </row>
    <row r="48" spans="1:29" ht="15.75" thickBot="1">
      <c r="A48" s="437" t="s">
        <v>1793</v>
      </c>
      <c r="B48" s="438"/>
      <c r="C48" s="1155" t="e">
        <f>R49</f>
        <v>#DIV/0!</v>
      </c>
      <c r="D48" s="2312" t="s">
        <v>2138</v>
      </c>
      <c r="E48" s="1156" t="e">
        <f>R48</f>
        <v>#DIV/0!</v>
      </c>
      <c r="F48" s="2313"/>
      <c r="G48" s="1155" t="e">
        <f>T48</f>
        <v>#DIV/0!</v>
      </c>
      <c r="H48" s="2313"/>
      <c r="I48" s="1156" t="e">
        <f>V48</f>
        <v>#DIV/0!</v>
      </c>
      <c r="J48" s="2313"/>
      <c r="K48" s="2315">
        <f>F48+H48+J48</f>
        <v>0</v>
      </c>
      <c r="L48" s="2718"/>
      <c r="M48" s="2719"/>
      <c r="N48" s="2710"/>
      <c r="O48" s="2719"/>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8"/>
      <c r="M49" s="2719"/>
      <c r="N49" s="2710"/>
      <c r="O49" s="2719"/>
      <c r="P49" s="3795" t="str">
        <f>A49</f>
        <v>估价对象XX用房的比较价值（楼面单价，元/平方米）</v>
      </c>
      <c r="Q49" s="3796"/>
      <c r="R49" s="3797" t="e">
        <f>IF(F1="售价",ROUND(IF(D48="简单平均",AVERAGE(R48:V48),R48*F48+T48*H48+V48*J48),0),ROUND(IF(D48="简单平均",AVERAGE(R48:V48),R48*F48+T48*H48+V48*J48),1))</f>
        <v>#DIV/0!</v>
      </c>
      <c r="S49" s="3797"/>
      <c r="T49" s="3797"/>
      <c r="U49" s="3797"/>
      <c r="V49" s="3797"/>
      <c r="W49" s="379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28830.28</v>
      </c>
      <c r="E3" s="1949"/>
      <c r="F3" s="904"/>
      <c r="G3" s="903"/>
      <c r="H3" s="903"/>
      <c r="I3" s="903"/>
      <c r="J3" s="903"/>
      <c r="K3" s="905"/>
      <c r="L3" s="2728"/>
      <c r="M3" s="2729"/>
      <c r="N3" s="2729"/>
      <c r="O3" s="2729"/>
      <c r="P3" s="699"/>
      <c r="Q3" s="699"/>
      <c r="R3" s="699"/>
      <c r="S3" s="699"/>
      <c r="T3" s="699"/>
      <c r="U3" s="699"/>
      <c r="V3" s="699"/>
      <c r="W3" s="699"/>
      <c r="X3" s="699"/>
      <c r="Y3" s="699"/>
      <c r="Z3" s="699"/>
      <c r="AA3" s="699"/>
      <c r="AB3" s="699"/>
      <c r="AC3" s="700"/>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815" t="s">
        <v>1775</v>
      </c>
      <c r="Q4" s="3816"/>
      <c r="R4" s="3810" t="s">
        <v>1771</v>
      </c>
      <c r="S4" s="3811"/>
      <c r="T4" s="3810" t="s">
        <v>1772</v>
      </c>
      <c r="U4" s="3811"/>
      <c r="V4" s="3819" t="s">
        <v>1773</v>
      </c>
      <c r="W4" s="3819"/>
      <c r="X4" s="1953"/>
      <c r="Y4" s="3810" t="s">
        <v>1775</v>
      </c>
      <c r="Z4" s="3811"/>
      <c r="AA4" s="3809" t="s">
        <v>1771</v>
      </c>
      <c r="AB4" s="3809" t="s">
        <v>1772</v>
      </c>
      <c r="AC4" s="3812" t="s">
        <v>1773</v>
      </c>
    </row>
    <row r="5" spans="1:29" ht="15">
      <c r="A5" s="358"/>
      <c r="B5" s="359"/>
      <c r="C5" s="3774" t="s">
        <v>1673</v>
      </c>
      <c r="D5" s="3775"/>
      <c r="E5" s="3772" t="s">
        <v>1674</v>
      </c>
      <c r="F5" s="3773"/>
      <c r="G5" s="3774" t="s">
        <v>1675</v>
      </c>
      <c r="H5" s="3775"/>
      <c r="I5" s="3774" t="s">
        <v>1676</v>
      </c>
      <c r="J5" s="3775"/>
      <c r="K5" s="559"/>
      <c r="L5" s="2709"/>
      <c r="M5" s="2710"/>
      <c r="N5" s="2710"/>
      <c r="O5" s="2710"/>
      <c r="P5" s="3817"/>
      <c r="Q5" s="3788"/>
      <c r="R5" s="3770"/>
      <c r="S5" s="3771"/>
      <c r="T5" s="3770"/>
      <c r="U5" s="3771"/>
      <c r="V5" s="3793"/>
      <c r="W5" s="3793"/>
      <c r="X5" s="1350"/>
      <c r="Y5" s="3770"/>
      <c r="Z5" s="3771"/>
      <c r="AA5" s="3764"/>
      <c r="AB5" s="3764"/>
      <c r="AC5" s="3813"/>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818"/>
      <c r="Q6" s="3790"/>
      <c r="R6" s="3770"/>
      <c r="S6" s="3771"/>
      <c r="T6" s="3791"/>
      <c r="U6" s="3792"/>
      <c r="V6" s="3793"/>
      <c r="W6" s="3793"/>
      <c r="X6" s="1350"/>
      <c r="Y6" s="3791"/>
      <c r="Z6" s="3792"/>
      <c r="AA6" s="3765"/>
      <c r="AB6" s="3765"/>
      <c r="AC6" s="3814"/>
    </row>
    <row r="7" spans="1:29" s="108" customFormat="1" ht="15.75" thickBot="1">
      <c r="A7" s="362" t="s">
        <v>1679</v>
      </c>
      <c r="B7" s="363"/>
      <c r="C7" s="364">
        <f>'数据-取费表'!B2</f>
        <v>45485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20"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20" t="s">
        <v>1683</v>
      </c>
      <c r="Q8" s="3767"/>
      <c r="R8" s="701" t="s">
        <v>14</v>
      </c>
      <c r="S8" s="702">
        <f t="shared" si="0"/>
        <v>100</v>
      </c>
      <c r="T8" s="701" t="s">
        <v>14</v>
      </c>
      <c r="U8" s="702">
        <f t="shared" si="1"/>
        <v>100</v>
      </c>
      <c r="V8" s="701" t="s">
        <v>14</v>
      </c>
      <c r="W8" s="702">
        <f t="shared" si="2"/>
        <v>100</v>
      </c>
      <c r="X8" s="703"/>
      <c r="Y8" s="3766" t="s">
        <v>1683</v>
      </c>
      <c r="Z8" s="3767"/>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80"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80"/>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80"/>
      <c r="Q11" s="1338" t="str">
        <f t="shared" si="6"/>
        <v>容积率</v>
      </c>
      <c r="R11" s="701" t="s">
        <v>14</v>
      </c>
      <c r="S11" s="702">
        <f t="shared" si="0"/>
        <v>100</v>
      </c>
      <c r="T11" s="701" t="s">
        <v>14</v>
      </c>
      <c r="U11" s="702">
        <f t="shared" si="1"/>
        <v>100</v>
      </c>
      <c r="V11" s="701" t="s">
        <v>14</v>
      </c>
      <c r="W11" s="702">
        <f t="shared" si="2"/>
        <v>100</v>
      </c>
      <c r="X11" s="703"/>
      <c r="Y11" s="3691"/>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780"/>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780"/>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780"/>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7" t="s">
        <v>1691</v>
      </c>
      <c r="Q15" s="1347" t="str">
        <f t="shared" si="6"/>
        <v>办公集聚程度</v>
      </c>
      <c r="R15" s="705" t="s">
        <v>14</v>
      </c>
      <c r="S15" s="706">
        <f t="shared" si="0"/>
        <v>100</v>
      </c>
      <c r="T15" s="705" t="s">
        <v>14</v>
      </c>
      <c r="U15" s="706">
        <f t="shared" si="1"/>
        <v>100</v>
      </c>
      <c r="V15" s="705" t="s">
        <v>14</v>
      </c>
      <c r="W15" s="706">
        <f t="shared" si="2"/>
        <v>100</v>
      </c>
      <c r="X15" s="1350"/>
      <c r="Y15" s="3800"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6"/>
      <c r="M16" s="2710"/>
      <c r="N16" s="2710"/>
      <c r="O16" s="2710"/>
      <c r="P16" s="3808"/>
      <c r="Q16" s="1347"/>
      <c r="R16" s="705"/>
      <c r="S16" s="706"/>
      <c r="T16" s="705"/>
      <c r="U16" s="706"/>
      <c r="V16" s="705"/>
      <c r="W16" s="706"/>
      <c r="X16" s="1350"/>
      <c r="Y16" s="3801"/>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08"/>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6"/>
      <c r="M18" s="2710"/>
      <c r="N18" s="2710"/>
      <c r="O18" s="2710"/>
      <c r="P18" s="3808"/>
      <c r="Q18" s="1347"/>
      <c r="R18" s="705"/>
      <c r="S18" s="706"/>
      <c r="T18" s="705"/>
      <c r="U18" s="706"/>
      <c r="V18" s="705"/>
      <c r="W18" s="706"/>
      <c r="X18" s="1350"/>
      <c r="Y18" s="3801"/>
      <c r="Z18" s="1351"/>
      <c r="AA18" s="1348">
        <v>1</v>
      </c>
      <c r="AB18" s="1348">
        <v>1</v>
      </c>
      <c r="AC18" s="1957">
        <v>1</v>
      </c>
    </row>
    <row r="19" spans="1:29" ht="42.75">
      <c r="A19" s="379"/>
      <c r="B19" s="579" t="s">
        <v>1812</v>
      </c>
      <c r="C19" s="1958"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08"/>
      <c r="Q19" s="1347" t="str">
        <f>B19</f>
        <v>公共配套设施</v>
      </c>
      <c r="R19" s="705" t="s">
        <v>14</v>
      </c>
      <c r="S19" s="706">
        <f>F19</f>
        <v>100</v>
      </c>
      <c r="T19" s="705" t="s">
        <v>14</v>
      </c>
      <c r="U19" s="706">
        <f>H19</f>
        <v>100</v>
      </c>
      <c r="V19" s="705" t="s">
        <v>14</v>
      </c>
      <c r="W19" s="706">
        <f>J19</f>
        <v>100</v>
      </c>
      <c r="X19" s="1350"/>
      <c r="Y19" s="3801"/>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6"/>
      <c r="M20" s="2710"/>
      <c r="N20" s="2710"/>
      <c r="O20" s="2710"/>
      <c r="P20" s="3808"/>
      <c r="Q20" s="1347"/>
      <c r="R20" s="705"/>
      <c r="S20" s="706"/>
      <c r="T20" s="705"/>
      <c r="U20" s="706"/>
      <c r="V20" s="705"/>
      <c r="W20" s="706"/>
      <c r="X20" s="1350"/>
      <c r="Y20" s="3801"/>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08"/>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5"/>
      <c r="L22" s="2716"/>
      <c r="M22" s="2710"/>
      <c r="N22" s="2710"/>
      <c r="O22" s="2710"/>
      <c r="P22" s="3808"/>
      <c r="Q22" s="1347"/>
      <c r="R22" s="705"/>
      <c r="S22" s="706"/>
      <c r="T22" s="705"/>
      <c r="U22" s="706"/>
      <c r="V22" s="705"/>
      <c r="W22" s="706"/>
      <c r="X22" s="1350"/>
      <c r="Y22" s="3801"/>
      <c r="Z22" s="1351"/>
      <c r="AA22" s="1348">
        <v>1</v>
      </c>
      <c r="AB22" s="1348">
        <v>1</v>
      </c>
      <c r="AC22" s="1957">
        <v>1</v>
      </c>
    </row>
    <row r="23" spans="1:29" ht="42.75">
      <c r="A23" s="379"/>
      <c r="B23" s="579" t="s">
        <v>1814</v>
      </c>
      <c r="C23" s="1958"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08"/>
      <c r="Q23" s="1347" t="str">
        <f>B23</f>
        <v>环境质量</v>
      </c>
      <c r="R23" s="705" t="s">
        <v>14</v>
      </c>
      <c r="S23" s="706">
        <f>F23</f>
        <v>100</v>
      </c>
      <c r="T23" s="705" t="s">
        <v>14</v>
      </c>
      <c r="U23" s="706">
        <f>H23</f>
        <v>100</v>
      </c>
      <c r="V23" s="705" t="s">
        <v>14</v>
      </c>
      <c r="W23" s="706">
        <f>J23</f>
        <v>100</v>
      </c>
      <c r="X23" s="1350"/>
      <c r="Y23" s="3801"/>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6"/>
      <c r="M24" s="2710"/>
      <c r="N24" s="2710"/>
      <c r="O24" s="2710"/>
      <c r="P24" s="3808"/>
      <c r="Q24" s="1347"/>
      <c r="R24" s="705"/>
      <c r="S24" s="706"/>
      <c r="T24" s="705"/>
      <c r="U24" s="706"/>
      <c r="V24" s="705"/>
      <c r="W24" s="706"/>
      <c r="X24" s="1350"/>
      <c r="Y24" s="3801"/>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6"/>
      <c r="M25" s="2710"/>
      <c r="N25" s="2710"/>
      <c r="O25" s="2710"/>
      <c r="P25" s="3808"/>
      <c r="Q25" s="1347" t="str">
        <f>B25</f>
        <v>毗邻道路的类型与等级</v>
      </c>
      <c r="R25" s="705" t="s">
        <v>14</v>
      </c>
      <c r="S25" s="706">
        <f>F25</f>
        <v>100</v>
      </c>
      <c r="T25" s="705" t="s">
        <v>14</v>
      </c>
      <c r="U25" s="706">
        <f>H25</f>
        <v>100</v>
      </c>
      <c r="V25" s="705" t="s">
        <v>14</v>
      </c>
      <c r="W25" s="706">
        <f>J25</f>
        <v>100</v>
      </c>
      <c r="X25" s="1350"/>
      <c r="Y25" s="3801"/>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6"/>
      <c r="M26" s="2710"/>
      <c r="N26" s="2710"/>
      <c r="O26" s="2710"/>
      <c r="P26" s="3808"/>
      <c r="Q26" s="1347"/>
      <c r="R26" s="705"/>
      <c r="S26" s="706"/>
      <c r="T26" s="705"/>
      <c r="U26" s="706"/>
      <c r="V26" s="705"/>
      <c r="W26" s="706"/>
      <c r="X26" s="1350"/>
      <c r="Y26" s="3801"/>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08"/>
      <c r="Q27" s="1347" t="str">
        <f t="shared" ref="Q27:Q47" si="11">B27</f>
        <v>楼层</v>
      </c>
      <c r="R27" s="705" t="s">
        <v>14</v>
      </c>
      <c r="S27" s="706">
        <f>F27</f>
        <v>100</v>
      </c>
      <c r="T27" s="705" t="s">
        <v>14</v>
      </c>
      <c r="U27" s="706">
        <f>H27</f>
        <v>100</v>
      </c>
      <c r="V27" s="705" t="s">
        <v>14</v>
      </c>
      <c r="W27" s="706">
        <f>J27</f>
        <v>100</v>
      </c>
      <c r="X27" s="1350"/>
      <c r="Y27" s="3801"/>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808"/>
      <c r="Q28" s="1338" t="str">
        <f t="shared" si="11"/>
        <v>朝向</v>
      </c>
      <c r="R28" s="701" t="s">
        <v>14</v>
      </c>
      <c r="S28" s="702">
        <f>F28</f>
        <v>100</v>
      </c>
      <c r="T28" s="701" t="s">
        <v>14</v>
      </c>
      <c r="U28" s="702">
        <f>H28</f>
        <v>100</v>
      </c>
      <c r="V28" s="701" t="s">
        <v>14</v>
      </c>
      <c r="W28" s="702">
        <f>J28</f>
        <v>100</v>
      </c>
      <c r="X28" s="703"/>
      <c r="Y28" s="3801"/>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808"/>
      <c r="Q29" s="1347">
        <f t="shared" si="11"/>
        <v>111</v>
      </c>
      <c r="R29" s="705" t="s">
        <v>14</v>
      </c>
      <c r="S29" s="706">
        <f t="shared" ref="S29:S47" si="12">F29</f>
        <v>100</v>
      </c>
      <c r="T29" s="705" t="s">
        <v>14</v>
      </c>
      <c r="U29" s="706">
        <f t="shared" ref="U29:U47" si="13">H29</f>
        <v>100</v>
      </c>
      <c r="V29" s="705" t="s">
        <v>14</v>
      </c>
      <c r="W29" s="706">
        <f t="shared" ref="W29:W47" si="14">J29</f>
        <v>100</v>
      </c>
      <c r="X29" s="1350"/>
      <c r="Y29" s="3801"/>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808"/>
      <c r="Q30" s="1347">
        <f t="shared" si="11"/>
        <v>111</v>
      </c>
      <c r="R30" s="705" t="s">
        <v>14</v>
      </c>
      <c r="S30" s="706">
        <f t="shared" si="12"/>
        <v>100</v>
      </c>
      <c r="T30" s="705" t="s">
        <v>14</v>
      </c>
      <c r="U30" s="706">
        <f t="shared" si="13"/>
        <v>100</v>
      </c>
      <c r="V30" s="705" t="s">
        <v>14</v>
      </c>
      <c r="W30" s="706">
        <f t="shared" si="14"/>
        <v>100</v>
      </c>
      <c r="X30" s="1350"/>
      <c r="Y30" s="3801"/>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808"/>
      <c r="Q31" s="1347">
        <f t="shared" si="11"/>
        <v>111</v>
      </c>
      <c r="R31" s="705" t="s">
        <v>14</v>
      </c>
      <c r="S31" s="706">
        <f t="shared" si="12"/>
        <v>100</v>
      </c>
      <c r="T31" s="705" t="s">
        <v>14</v>
      </c>
      <c r="U31" s="706">
        <f t="shared" si="13"/>
        <v>100</v>
      </c>
      <c r="V31" s="705" t="s">
        <v>14</v>
      </c>
      <c r="W31" s="706">
        <f t="shared" si="14"/>
        <v>100</v>
      </c>
      <c r="X31" s="1350"/>
      <c r="Y31" s="3801"/>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808"/>
      <c r="Q32" s="1347">
        <f t="shared" si="11"/>
        <v>111</v>
      </c>
      <c r="R32" s="705" t="s">
        <v>14</v>
      </c>
      <c r="S32" s="706">
        <f t="shared" si="12"/>
        <v>100</v>
      </c>
      <c r="T32" s="705" t="s">
        <v>14</v>
      </c>
      <c r="U32" s="706">
        <f t="shared" si="13"/>
        <v>100</v>
      </c>
      <c r="V32" s="705" t="s">
        <v>14</v>
      </c>
      <c r="W32" s="706">
        <f t="shared" si="14"/>
        <v>100</v>
      </c>
      <c r="X32" s="1350"/>
      <c r="Y32" s="3801"/>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802" t="s">
        <v>1696</v>
      </c>
      <c r="Q33" s="1347" t="str">
        <f t="shared" si="11"/>
        <v>建筑类型</v>
      </c>
      <c r="R33" s="705" t="s">
        <v>14</v>
      </c>
      <c r="S33" s="706">
        <f t="shared" si="12"/>
        <v>100</v>
      </c>
      <c r="T33" s="705" t="s">
        <v>14</v>
      </c>
      <c r="U33" s="706">
        <f t="shared" si="13"/>
        <v>100</v>
      </c>
      <c r="V33" s="705" t="s">
        <v>14</v>
      </c>
      <c r="W33" s="706">
        <f t="shared" si="14"/>
        <v>100</v>
      </c>
      <c r="X33" s="1350"/>
      <c r="Y33" s="3805"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03"/>
      <c r="Q34" s="707" t="str">
        <f t="shared" si="11"/>
        <v>项目建筑规模</v>
      </c>
      <c r="R34" s="708" t="s">
        <v>14</v>
      </c>
      <c r="S34" s="709" t="e">
        <f t="shared" si="12"/>
        <v>#N/A</v>
      </c>
      <c r="T34" s="708" t="s">
        <v>14</v>
      </c>
      <c r="U34" s="709" t="e">
        <f t="shared" si="13"/>
        <v>#N/A</v>
      </c>
      <c r="V34" s="708" t="s">
        <v>14</v>
      </c>
      <c r="W34" s="709" t="e">
        <f t="shared" si="14"/>
        <v>#N/A</v>
      </c>
      <c r="X34" s="710"/>
      <c r="Y34" s="3805"/>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03"/>
      <c r="Q35" s="1347" t="str">
        <f t="shared" si="11"/>
        <v>建筑结构</v>
      </c>
      <c r="R35" s="705" t="s">
        <v>14</v>
      </c>
      <c r="S35" s="706">
        <f t="shared" si="12"/>
        <v>100</v>
      </c>
      <c r="T35" s="705" t="s">
        <v>14</v>
      </c>
      <c r="U35" s="706">
        <f t="shared" si="13"/>
        <v>100</v>
      </c>
      <c r="V35" s="705" t="s">
        <v>14</v>
      </c>
      <c r="W35" s="706">
        <f t="shared" si="14"/>
        <v>100</v>
      </c>
      <c r="X35" s="1350"/>
      <c r="Y35" s="3805"/>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03"/>
      <c r="Q36" s="1347" t="str">
        <f t="shared" si="11"/>
        <v>公共部分装修</v>
      </c>
      <c r="R36" s="705" t="s">
        <v>14</v>
      </c>
      <c r="S36" s="706">
        <f t="shared" si="12"/>
        <v>100</v>
      </c>
      <c r="T36" s="705" t="s">
        <v>14</v>
      </c>
      <c r="U36" s="706">
        <f t="shared" si="13"/>
        <v>100</v>
      </c>
      <c r="V36" s="705" t="s">
        <v>14</v>
      </c>
      <c r="W36" s="706">
        <f t="shared" si="14"/>
        <v>100</v>
      </c>
      <c r="X36" s="1350"/>
      <c r="Y36" s="3805"/>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03"/>
      <c r="Q37" s="1347" t="str">
        <f t="shared" si="11"/>
        <v>成新度</v>
      </c>
      <c r="R37" s="705" t="s">
        <v>14</v>
      </c>
      <c r="S37" s="706" t="e">
        <f t="shared" si="12"/>
        <v>#N/A</v>
      </c>
      <c r="T37" s="705" t="s">
        <v>14</v>
      </c>
      <c r="U37" s="706" t="e">
        <f t="shared" si="13"/>
        <v>#N/A</v>
      </c>
      <c r="V37" s="705" t="s">
        <v>14</v>
      </c>
      <c r="W37" s="706" t="e">
        <f t="shared" si="14"/>
        <v>#N/A</v>
      </c>
      <c r="X37" s="1350"/>
      <c r="Y37" s="3805"/>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03"/>
      <c r="Q38" s="1338" t="str">
        <f t="shared" si="11"/>
        <v>写字楼等级</v>
      </c>
      <c r="R38" s="701" t="s">
        <v>14</v>
      </c>
      <c r="S38" s="702">
        <f t="shared" si="12"/>
        <v>100</v>
      </c>
      <c r="T38" s="701" t="s">
        <v>14</v>
      </c>
      <c r="U38" s="702">
        <f t="shared" si="13"/>
        <v>100</v>
      </c>
      <c r="V38" s="701" t="s">
        <v>14</v>
      </c>
      <c r="W38" s="702">
        <f t="shared" si="14"/>
        <v>100</v>
      </c>
      <c r="X38" s="703"/>
      <c r="Y38" s="3805"/>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03" t="s">
        <v>1696</v>
      </c>
      <c r="Q39" s="1347" t="str">
        <f t="shared" si="11"/>
        <v>物业管理</v>
      </c>
      <c r="R39" s="705" t="s">
        <v>14</v>
      </c>
      <c r="S39" s="706">
        <f t="shared" si="12"/>
        <v>100</v>
      </c>
      <c r="T39" s="705" t="s">
        <v>14</v>
      </c>
      <c r="U39" s="706">
        <f t="shared" si="13"/>
        <v>100</v>
      </c>
      <c r="V39" s="705" t="s">
        <v>14</v>
      </c>
      <c r="W39" s="706">
        <f t="shared" si="14"/>
        <v>100</v>
      </c>
      <c r="X39" s="1350"/>
      <c r="Y39" s="3805"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03"/>
      <c r="Q40" s="1347" t="str">
        <f t="shared" si="11"/>
        <v>市政基础设施</v>
      </c>
      <c r="R40" s="705" t="s">
        <v>14</v>
      </c>
      <c r="S40" s="706">
        <f t="shared" si="12"/>
        <v>100</v>
      </c>
      <c r="T40" s="705" t="s">
        <v>14</v>
      </c>
      <c r="U40" s="706">
        <f t="shared" si="13"/>
        <v>100</v>
      </c>
      <c r="V40" s="705" t="s">
        <v>14</v>
      </c>
      <c r="W40" s="706">
        <f t="shared" si="14"/>
        <v>100</v>
      </c>
      <c r="X40" s="1350"/>
      <c r="Y40" s="3805"/>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03"/>
      <c r="Q41" s="1347" t="str">
        <f t="shared" si="11"/>
        <v>层高</v>
      </c>
      <c r="R41" s="705" t="s">
        <v>14</v>
      </c>
      <c r="S41" s="706">
        <f t="shared" si="12"/>
        <v>100</v>
      </c>
      <c r="T41" s="705" t="s">
        <v>14</v>
      </c>
      <c r="U41" s="706">
        <f t="shared" si="13"/>
        <v>100</v>
      </c>
      <c r="V41" s="705" t="s">
        <v>14</v>
      </c>
      <c r="W41" s="706">
        <f t="shared" si="14"/>
        <v>100</v>
      </c>
      <c r="X41" s="1350"/>
      <c r="Y41" s="3805"/>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03"/>
      <c r="Q42" s="707" t="str">
        <f t="shared" si="11"/>
        <v>单套建筑面积</v>
      </c>
      <c r="R42" s="708" t="s">
        <v>14</v>
      </c>
      <c r="S42" s="709">
        <f t="shared" si="12"/>
        <v>100</v>
      </c>
      <c r="T42" s="708" t="s">
        <v>14</v>
      </c>
      <c r="U42" s="709">
        <f t="shared" si="13"/>
        <v>100</v>
      </c>
      <c r="V42" s="708" t="s">
        <v>14</v>
      </c>
      <c r="W42" s="709">
        <f t="shared" si="14"/>
        <v>100</v>
      </c>
      <c r="X42" s="710"/>
      <c r="Y42" s="3805"/>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03"/>
      <c r="Q43" s="1347" t="str">
        <f t="shared" si="11"/>
        <v>内部装修</v>
      </c>
      <c r="R43" s="705" t="s">
        <v>14</v>
      </c>
      <c r="S43" s="706">
        <f t="shared" si="12"/>
        <v>100</v>
      </c>
      <c r="T43" s="705" t="s">
        <v>14</v>
      </c>
      <c r="U43" s="706">
        <f t="shared" si="13"/>
        <v>100</v>
      </c>
      <c r="V43" s="705" t="s">
        <v>14</v>
      </c>
      <c r="W43" s="706">
        <f t="shared" si="14"/>
        <v>100</v>
      </c>
      <c r="X43" s="1350"/>
      <c r="Y43" s="3805"/>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6"/>
      <c r="M44" s="2710"/>
      <c r="N44" s="2710"/>
      <c r="O44" s="2710"/>
      <c r="P44" s="3803"/>
      <c r="Q44" s="1347" t="str">
        <f t="shared" si="11"/>
        <v>内部装修维护情况</v>
      </c>
      <c r="R44" s="705" t="s">
        <v>14</v>
      </c>
      <c r="S44" s="706">
        <f t="shared" si="12"/>
        <v>100</v>
      </c>
      <c r="T44" s="705" t="s">
        <v>14</v>
      </c>
      <c r="U44" s="706">
        <f t="shared" si="13"/>
        <v>100</v>
      </c>
      <c r="V44" s="705" t="s">
        <v>14</v>
      </c>
      <c r="W44" s="706">
        <f t="shared" si="14"/>
        <v>100</v>
      </c>
      <c r="X44" s="1350"/>
      <c r="Y44" s="3805"/>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03"/>
      <c r="Q45" s="1338">
        <f t="shared" si="11"/>
        <v>111</v>
      </c>
      <c r="R45" s="701" t="s">
        <v>14</v>
      </c>
      <c r="S45" s="702">
        <f t="shared" si="12"/>
        <v>100</v>
      </c>
      <c r="T45" s="701" t="s">
        <v>14</v>
      </c>
      <c r="U45" s="702">
        <f t="shared" si="13"/>
        <v>100</v>
      </c>
      <c r="V45" s="701" t="s">
        <v>14</v>
      </c>
      <c r="W45" s="702">
        <f t="shared" si="14"/>
        <v>100</v>
      </c>
      <c r="X45" s="703"/>
      <c r="Y45" s="3805"/>
      <c r="Z45" s="52">
        <f t="shared" si="15"/>
        <v>111</v>
      </c>
      <c r="AA45" s="704">
        <f t="shared" si="3"/>
        <v>1</v>
      </c>
      <c r="AB45" s="704">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03"/>
      <c r="Q46" s="1347">
        <f t="shared" si="11"/>
        <v>111</v>
      </c>
      <c r="R46" s="705" t="s">
        <v>14</v>
      </c>
      <c r="S46" s="706">
        <f t="shared" si="12"/>
        <v>100</v>
      </c>
      <c r="T46" s="705" t="s">
        <v>14</v>
      </c>
      <c r="U46" s="706">
        <f t="shared" si="13"/>
        <v>100</v>
      </c>
      <c r="V46" s="705" t="s">
        <v>14</v>
      </c>
      <c r="W46" s="706">
        <f t="shared" si="14"/>
        <v>100</v>
      </c>
      <c r="X46" s="1350"/>
      <c r="Y46" s="3805"/>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04"/>
      <c r="Q47" s="1347">
        <f t="shared" si="11"/>
        <v>111</v>
      </c>
      <c r="R47" s="705" t="s">
        <v>14</v>
      </c>
      <c r="S47" s="706">
        <f t="shared" si="12"/>
        <v>100</v>
      </c>
      <c r="T47" s="705" t="s">
        <v>14</v>
      </c>
      <c r="U47" s="706">
        <f t="shared" si="13"/>
        <v>100</v>
      </c>
      <c r="V47" s="705" t="s">
        <v>14</v>
      </c>
      <c r="W47" s="706">
        <f t="shared" si="14"/>
        <v>100</v>
      </c>
      <c r="X47" s="1350"/>
      <c r="Y47" s="3806"/>
      <c r="Z47" s="1351">
        <f t="shared" si="15"/>
        <v>111</v>
      </c>
      <c r="AA47" s="1348">
        <f t="shared" si="3"/>
        <v>1</v>
      </c>
      <c r="AB47" s="1348">
        <f t="shared" si="4"/>
        <v>1</v>
      </c>
      <c r="AC47" s="1957">
        <f t="shared" si="5"/>
        <v>1</v>
      </c>
    </row>
    <row r="48" spans="1:29" ht="15">
      <c r="A48" s="430" t="s">
        <v>1708</v>
      </c>
      <c r="B48" s="431"/>
      <c r="C48" s="1149" t="s">
        <v>0</v>
      </c>
      <c r="D48" s="1150"/>
      <c r="E48" s="1151"/>
      <c r="F48" s="1152"/>
      <c r="G48" s="1153"/>
      <c r="H48" s="1154"/>
      <c r="I48" s="1151"/>
      <c r="J48" s="436"/>
      <c r="K48" s="714"/>
      <c r="L48" s="2718"/>
      <c r="M48" s="2710"/>
      <c r="N48" s="2710"/>
      <c r="O48" s="2710"/>
      <c r="P48" s="3780" t="str">
        <f>A48</f>
        <v>成交单价（元/平方米）</v>
      </c>
      <c r="Q48" s="3798"/>
      <c r="R48" s="3799">
        <f>E48</f>
        <v>0</v>
      </c>
      <c r="S48" s="3799"/>
      <c r="T48" s="3799">
        <f>G48</f>
        <v>0</v>
      </c>
      <c r="U48" s="3799"/>
      <c r="V48" s="3799">
        <f>I48</f>
        <v>0</v>
      </c>
      <c r="W48" s="3799"/>
      <c r="X48" s="397"/>
      <c r="Y48" s="712"/>
      <c r="Z48" s="397"/>
      <c r="AA48" s="397"/>
      <c r="AB48" s="397"/>
      <c r="AC48" s="578"/>
    </row>
    <row r="49" spans="1:29" ht="15.75" thickBot="1">
      <c r="A49" s="437" t="s">
        <v>1793</v>
      </c>
      <c r="B49" s="438"/>
      <c r="C49" s="1155" t="e">
        <f>R50</f>
        <v>#DIV/0!</v>
      </c>
      <c r="D49" s="2312" t="s">
        <v>2138</v>
      </c>
      <c r="E49" s="1156" t="e">
        <f>R49</f>
        <v>#DIV/0!</v>
      </c>
      <c r="F49" s="2313"/>
      <c r="G49" s="1155" t="e">
        <f>T49</f>
        <v>#DIV/0!</v>
      </c>
      <c r="H49" s="2313"/>
      <c r="I49" s="1156" t="e">
        <f>V49</f>
        <v>#DIV/0!</v>
      </c>
      <c r="J49" s="2313"/>
      <c r="K49" s="2315">
        <f>F49+H49+J49</f>
        <v>0</v>
      </c>
      <c r="L49" s="2718"/>
      <c r="M49" s="2710"/>
      <c r="N49" s="2710"/>
      <c r="O49" s="2710"/>
      <c r="P49" s="3780" t="str">
        <f>A49</f>
        <v>比较价值（元/平方米）</v>
      </c>
      <c r="Q49" s="3798"/>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8"/>
      <c r="M50" s="2710"/>
      <c r="N50" s="2710"/>
      <c r="O50" s="2710"/>
      <c r="P50" s="3821" t="str">
        <f>A50</f>
        <v>估价对象XX用房的比较价值（楼面单价，元/平方米）</v>
      </c>
      <c r="Q50" s="3822"/>
      <c r="R50" s="3823" t="e">
        <f>IF(F1="售价",ROUND(IF(D49="简单平均",AVERAGE(R49:V49),R49*F49+T49*H49+V49*J49),0),ROUND(IF(D49="简单平均",AVERAGE(R49:V49),R49*F49+T49*H49+V49*J49),1))</f>
        <v>#DIV/0!</v>
      </c>
      <c r="S50" s="3823"/>
      <c r="T50" s="3823"/>
      <c r="U50" s="3823"/>
      <c r="V50" s="3823"/>
      <c r="W50" s="3823"/>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2"/>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28830.28</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908"/>
      <c r="M4" s="909"/>
      <c r="N4" s="909"/>
      <c r="O4" s="909"/>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908"/>
      <c r="M5" s="909"/>
      <c r="N5" s="909"/>
      <c r="O5" s="909"/>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559" t="s">
        <v>1678</v>
      </c>
      <c r="L6" s="908"/>
      <c r="M6" s="909"/>
      <c r="N6" s="909"/>
      <c r="O6" s="909"/>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0"/>
      <c r="M7" s="911"/>
      <c r="N7" s="911"/>
      <c r="O7" s="911"/>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66" t="s">
        <v>1683</v>
      </c>
      <c r="Q8" s="3767"/>
      <c r="R8" s="701" t="s">
        <v>14</v>
      </c>
      <c r="S8" s="702">
        <f t="shared" si="0"/>
        <v>100</v>
      </c>
      <c r="T8" s="701" t="s">
        <v>14</v>
      </c>
      <c r="U8" s="702">
        <f t="shared" si="1"/>
        <v>100</v>
      </c>
      <c r="V8" s="701" t="s">
        <v>14</v>
      </c>
      <c r="W8" s="702">
        <f t="shared" si="2"/>
        <v>100</v>
      </c>
      <c r="X8" s="703"/>
      <c r="Y8" s="3766" t="s">
        <v>1683</v>
      </c>
      <c r="Z8" s="37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98"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98"/>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98"/>
      <c r="Q11" s="1338" t="str">
        <f t="shared" si="6"/>
        <v>容积率</v>
      </c>
      <c r="R11" s="701" t="s">
        <v>14</v>
      </c>
      <c r="S11" s="702">
        <f t="shared" si="0"/>
        <v>100</v>
      </c>
      <c r="T11" s="701" t="s">
        <v>14</v>
      </c>
      <c r="U11" s="702">
        <f t="shared" si="1"/>
        <v>100</v>
      </c>
      <c r="V11" s="701" t="s">
        <v>14</v>
      </c>
      <c r="W11" s="702">
        <f t="shared" si="2"/>
        <v>100</v>
      </c>
      <c r="X11" s="703"/>
      <c r="Y11" s="3691"/>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798"/>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00" t="s">
        <v>1691</v>
      </c>
      <c r="Q15" s="1347" t="str">
        <f t="shared" si="6"/>
        <v>产业集聚程度</v>
      </c>
      <c r="R15" s="705" t="s">
        <v>14</v>
      </c>
      <c r="S15" s="706">
        <f t="shared" si="0"/>
        <v>100</v>
      </c>
      <c r="T15" s="705" t="s">
        <v>14</v>
      </c>
      <c r="U15" s="706">
        <f t="shared" si="1"/>
        <v>100</v>
      </c>
      <c r="V15" s="705" t="s">
        <v>14</v>
      </c>
      <c r="W15" s="706">
        <f t="shared" si="2"/>
        <v>100</v>
      </c>
      <c r="X15" s="1350"/>
      <c r="Y15" s="3800"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801"/>
      <c r="Q16" s="1347"/>
      <c r="R16" s="705"/>
      <c r="S16" s="706"/>
      <c r="T16" s="705"/>
      <c r="U16" s="706"/>
      <c r="V16" s="705"/>
      <c r="W16" s="706"/>
      <c r="X16" s="1350"/>
      <c r="Y16" s="3801"/>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01"/>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801"/>
      <c r="Q18" s="1347"/>
      <c r="R18" s="705"/>
      <c r="S18" s="706"/>
      <c r="T18" s="705"/>
      <c r="U18" s="706"/>
      <c r="V18" s="705"/>
      <c r="W18" s="706"/>
      <c r="X18" s="1350"/>
      <c r="Y18" s="3801"/>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01"/>
      <c r="Q19" s="1347" t="str">
        <f>B19</f>
        <v>公共配套设施</v>
      </c>
      <c r="R19" s="705" t="s">
        <v>14</v>
      </c>
      <c r="S19" s="706">
        <f>F19</f>
        <v>100</v>
      </c>
      <c r="T19" s="705" t="s">
        <v>14</v>
      </c>
      <c r="U19" s="706">
        <f>H19</f>
        <v>100</v>
      </c>
      <c r="V19" s="705" t="s">
        <v>14</v>
      </c>
      <c r="W19" s="706">
        <f>J19</f>
        <v>100</v>
      </c>
      <c r="X19" s="1350"/>
      <c r="Y19" s="3801"/>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801"/>
      <c r="Q20" s="1347"/>
      <c r="R20" s="705"/>
      <c r="S20" s="706"/>
      <c r="T20" s="705"/>
      <c r="U20" s="706"/>
      <c r="V20" s="705"/>
      <c r="W20" s="706"/>
      <c r="X20" s="1350"/>
      <c r="Y20" s="3801"/>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01"/>
      <c r="Q21" s="1347" t="str">
        <f>B21</f>
        <v>基础设施水平</v>
      </c>
      <c r="R21" s="705" t="s">
        <v>14</v>
      </c>
      <c r="S21" s="706">
        <f>F21</f>
        <v>100</v>
      </c>
      <c r="T21" s="705" t="s">
        <v>14</v>
      </c>
      <c r="U21" s="706">
        <f>H21</f>
        <v>100</v>
      </c>
      <c r="V21" s="705" t="s">
        <v>14</v>
      </c>
      <c r="W21" s="706">
        <f>J21</f>
        <v>100</v>
      </c>
      <c r="X21" s="1350"/>
      <c r="Y21" s="3801"/>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801"/>
      <c r="Q22" s="1347"/>
      <c r="R22" s="705"/>
      <c r="S22" s="706"/>
      <c r="T22" s="705"/>
      <c r="U22" s="706"/>
      <c r="V22" s="705"/>
      <c r="W22" s="706"/>
      <c r="X22" s="1350"/>
      <c r="Y22" s="3801"/>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01"/>
      <c r="Q23" s="1347" t="str">
        <f>B23</f>
        <v>环境质量</v>
      </c>
      <c r="R23" s="705" t="s">
        <v>14</v>
      </c>
      <c r="S23" s="706">
        <f>F23</f>
        <v>100</v>
      </c>
      <c r="T23" s="705" t="s">
        <v>14</v>
      </c>
      <c r="U23" s="706">
        <f>H23</f>
        <v>100</v>
      </c>
      <c r="V23" s="705" t="s">
        <v>14</v>
      </c>
      <c r="W23" s="706">
        <f>J23</f>
        <v>100</v>
      </c>
      <c r="X23" s="1350"/>
      <c r="Y23" s="3801"/>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801"/>
      <c r="Q24" s="1347"/>
      <c r="R24" s="705"/>
      <c r="S24" s="706"/>
      <c r="T24" s="705"/>
      <c r="U24" s="706"/>
      <c r="V24" s="705"/>
      <c r="W24" s="706"/>
      <c r="X24" s="1350"/>
      <c r="Y24" s="3801"/>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01"/>
      <c r="Q25" s="1347">
        <f>B25</f>
        <v>111</v>
      </c>
      <c r="R25" s="705" t="s">
        <v>14</v>
      </c>
      <c r="S25" s="706">
        <f>F25</f>
        <v>100</v>
      </c>
      <c r="T25" s="705" t="s">
        <v>14</v>
      </c>
      <c r="U25" s="706">
        <f>H25</f>
        <v>100</v>
      </c>
      <c r="V25" s="705" t="s">
        <v>14</v>
      </c>
      <c r="W25" s="706">
        <f>J25</f>
        <v>100</v>
      </c>
      <c r="X25" s="1350"/>
      <c r="Y25" s="3801"/>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01"/>
      <c r="Q26" s="1347">
        <f t="shared" ref="Q26:Q40" si="11">B26</f>
        <v>111</v>
      </c>
      <c r="R26" s="705" t="s">
        <v>14</v>
      </c>
      <c r="S26" s="706">
        <f>F26</f>
        <v>100</v>
      </c>
      <c r="T26" s="705" t="s">
        <v>14</v>
      </c>
      <c r="U26" s="706">
        <f>H26</f>
        <v>100</v>
      </c>
      <c r="V26" s="705" t="s">
        <v>14</v>
      </c>
      <c r="W26" s="706">
        <f>J26</f>
        <v>100</v>
      </c>
      <c r="X26" s="1350"/>
      <c r="Y26" s="3801"/>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01"/>
      <c r="Q27" s="1338">
        <f t="shared" si="11"/>
        <v>111</v>
      </c>
      <c r="R27" s="701" t="s">
        <v>14</v>
      </c>
      <c r="S27" s="702">
        <f>F27</f>
        <v>100</v>
      </c>
      <c r="T27" s="701" t="s">
        <v>14</v>
      </c>
      <c r="U27" s="702">
        <f>H27</f>
        <v>100</v>
      </c>
      <c r="V27" s="701" t="s">
        <v>14</v>
      </c>
      <c r="W27" s="702">
        <f>J27</f>
        <v>100</v>
      </c>
      <c r="X27" s="703"/>
      <c r="Y27" s="3801"/>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01"/>
      <c r="Q28" s="1347">
        <f t="shared" si="11"/>
        <v>111</v>
      </c>
      <c r="R28" s="705" t="s">
        <v>14</v>
      </c>
      <c r="S28" s="706">
        <f t="shared" ref="S28:S40" si="12">F28</f>
        <v>100</v>
      </c>
      <c r="T28" s="705" t="s">
        <v>14</v>
      </c>
      <c r="U28" s="706">
        <f t="shared" ref="U28:U40" si="13">H28</f>
        <v>100</v>
      </c>
      <c r="V28" s="705" t="s">
        <v>14</v>
      </c>
      <c r="W28" s="706">
        <f t="shared" ref="W28:W40" si="14">J28</f>
        <v>100</v>
      </c>
      <c r="X28" s="1350"/>
      <c r="Y28" s="3801"/>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24" t="s">
        <v>1696</v>
      </c>
      <c r="Q29" s="1347" t="str">
        <f t="shared" si="11"/>
        <v>建筑类型</v>
      </c>
      <c r="R29" s="705" t="s">
        <v>14</v>
      </c>
      <c r="S29" s="706">
        <f t="shared" si="12"/>
        <v>100</v>
      </c>
      <c r="T29" s="705" t="s">
        <v>14</v>
      </c>
      <c r="U29" s="706">
        <f t="shared" si="13"/>
        <v>100</v>
      </c>
      <c r="V29" s="705" t="s">
        <v>14</v>
      </c>
      <c r="W29" s="706">
        <f t="shared" si="14"/>
        <v>100</v>
      </c>
      <c r="X29" s="1350"/>
      <c r="Y29" s="3805"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05"/>
      <c r="Q30" s="707" t="str">
        <f t="shared" si="11"/>
        <v>项目建筑规模</v>
      </c>
      <c r="R30" s="708" t="s">
        <v>14</v>
      </c>
      <c r="S30" s="709" t="e">
        <f t="shared" si="12"/>
        <v>#N/A</v>
      </c>
      <c r="T30" s="708" t="s">
        <v>14</v>
      </c>
      <c r="U30" s="709" t="e">
        <f t="shared" si="13"/>
        <v>#N/A</v>
      </c>
      <c r="V30" s="708" t="s">
        <v>14</v>
      </c>
      <c r="W30" s="709" t="e">
        <f t="shared" si="14"/>
        <v>#N/A</v>
      </c>
      <c r="X30" s="710"/>
      <c r="Y30" s="3805"/>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05"/>
      <c r="Q31" s="1347" t="str">
        <f t="shared" si="11"/>
        <v>建筑结构</v>
      </c>
      <c r="R31" s="705" t="s">
        <v>14</v>
      </c>
      <c r="S31" s="706">
        <f t="shared" si="12"/>
        <v>100</v>
      </c>
      <c r="T31" s="705" t="s">
        <v>14</v>
      </c>
      <c r="U31" s="706">
        <f t="shared" si="13"/>
        <v>100</v>
      </c>
      <c r="V31" s="705" t="s">
        <v>14</v>
      </c>
      <c r="W31" s="706">
        <f t="shared" si="14"/>
        <v>100</v>
      </c>
      <c r="X31" s="1350"/>
      <c r="Y31" s="3805"/>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05"/>
      <c r="Q32" s="1347" t="str">
        <f t="shared" si="11"/>
        <v>公共部分装修</v>
      </c>
      <c r="R32" s="705" t="s">
        <v>14</v>
      </c>
      <c r="S32" s="706">
        <f t="shared" si="12"/>
        <v>100</v>
      </c>
      <c r="T32" s="705" t="s">
        <v>14</v>
      </c>
      <c r="U32" s="706">
        <f t="shared" si="13"/>
        <v>100</v>
      </c>
      <c r="V32" s="705" t="s">
        <v>14</v>
      </c>
      <c r="W32" s="706">
        <f t="shared" si="14"/>
        <v>100</v>
      </c>
      <c r="X32" s="1350"/>
      <c r="Y32" s="3805"/>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05"/>
      <c r="Q33" s="1347" t="str">
        <f t="shared" si="11"/>
        <v>成新度</v>
      </c>
      <c r="R33" s="705" t="s">
        <v>14</v>
      </c>
      <c r="S33" s="706" t="e">
        <f t="shared" si="12"/>
        <v>#N/A</v>
      </c>
      <c r="T33" s="705" t="s">
        <v>14</v>
      </c>
      <c r="U33" s="706" t="e">
        <f t="shared" si="13"/>
        <v>#N/A</v>
      </c>
      <c r="V33" s="705" t="s">
        <v>14</v>
      </c>
      <c r="W33" s="706" t="e">
        <f t="shared" si="14"/>
        <v>#N/A</v>
      </c>
      <c r="X33" s="1350"/>
      <c r="Y33" s="3805"/>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05"/>
      <c r="Q34" s="1338" t="str">
        <f t="shared" si="11"/>
        <v>物业管理</v>
      </c>
      <c r="R34" s="701" t="s">
        <v>14</v>
      </c>
      <c r="S34" s="702">
        <f t="shared" si="12"/>
        <v>100</v>
      </c>
      <c r="T34" s="701" t="s">
        <v>14</v>
      </c>
      <c r="U34" s="702">
        <f t="shared" si="13"/>
        <v>100</v>
      </c>
      <c r="V34" s="701" t="s">
        <v>14</v>
      </c>
      <c r="W34" s="702">
        <f t="shared" si="14"/>
        <v>100</v>
      </c>
      <c r="X34" s="703"/>
      <c r="Y34" s="38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05" t="s">
        <v>1696</v>
      </c>
      <c r="Q35" s="1347" t="str">
        <f t="shared" si="11"/>
        <v>市政基础设施</v>
      </c>
      <c r="R35" s="705" t="s">
        <v>14</v>
      </c>
      <c r="S35" s="706">
        <f t="shared" si="12"/>
        <v>100</v>
      </c>
      <c r="T35" s="705" t="s">
        <v>14</v>
      </c>
      <c r="U35" s="706">
        <f t="shared" si="13"/>
        <v>100</v>
      </c>
      <c r="V35" s="705" t="s">
        <v>14</v>
      </c>
      <c r="W35" s="706">
        <f t="shared" si="14"/>
        <v>100</v>
      </c>
      <c r="X35" s="1350"/>
      <c r="Y35" s="3805"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05"/>
      <c r="Q36" s="1347" t="str">
        <f t="shared" si="11"/>
        <v>内部装修</v>
      </c>
      <c r="R36" s="705" t="s">
        <v>14</v>
      </c>
      <c r="S36" s="706">
        <f t="shared" si="12"/>
        <v>100</v>
      </c>
      <c r="T36" s="705" t="s">
        <v>14</v>
      </c>
      <c r="U36" s="706">
        <f t="shared" si="13"/>
        <v>100</v>
      </c>
      <c r="V36" s="705" t="s">
        <v>14</v>
      </c>
      <c r="W36" s="706">
        <f t="shared" si="14"/>
        <v>100</v>
      </c>
      <c r="X36" s="1350"/>
      <c r="Y36" s="3805"/>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05"/>
      <c r="Q37" s="1347" t="str">
        <f t="shared" si="11"/>
        <v>内部装修状况</v>
      </c>
      <c r="R37" s="705" t="s">
        <v>14</v>
      </c>
      <c r="S37" s="706">
        <f t="shared" si="12"/>
        <v>100</v>
      </c>
      <c r="T37" s="705" t="s">
        <v>14</v>
      </c>
      <c r="U37" s="706">
        <f t="shared" si="13"/>
        <v>100</v>
      </c>
      <c r="V37" s="705" t="s">
        <v>14</v>
      </c>
      <c r="W37" s="706">
        <f t="shared" si="14"/>
        <v>100</v>
      </c>
      <c r="X37" s="1350"/>
      <c r="Y37" s="3805"/>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05"/>
      <c r="Q38" s="707">
        <f t="shared" si="11"/>
        <v>111</v>
      </c>
      <c r="R38" s="708" t="s">
        <v>14</v>
      </c>
      <c r="S38" s="709">
        <f t="shared" si="12"/>
        <v>100</v>
      </c>
      <c r="T38" s="708" t="s">
        <v>14</v>
      </c>
      <c r="U38" s="709">
        <f t="shared" si="13"/>
        <v>100</v>
      </c>
      <c r="V38" s="708" t="s">
        <v>14</v>
      </c>
      <c r="W38" s="709">
        <f t="shared" si="14"/>
        <v>100</v>
      </c>
      <c r="X38" s="710"/>
      <c r="Y38" s="3805"/>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05"/>
      <c r="Q39" s="1347">
        <f t="shared" si="11"/>
        <v>111</v>
      </c>
      <c r="R39" s="705" t="s">
        <v>14</v>
      </c>
      <c r="S39" s="706">
        <f t="shared" si="12"/>
        <v>100</v>
      </c>
      <c r="T39" s="705" t="s">
        <v>14</v>
      </c>
      <c r="U39" s="706">
        <f t="shared" si="13"/>
        <v>100</v>
      </c>
      <c r="V39" s="705" t="s">
        <v>14</v>
      </c>
      <c r="W39" s="706">
        <f t="shared" si="14"/>
        <v>100</v>
      </c>
      <c r="X39" s="1350"/>
      <c r="Y39" s="3805"/>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06"/>
      <c r="Q40" s="1347">
        <f t="shared" si="11"/>
        <v>111</v>
      </c>
      <c r="R40" s="705" t="s">
        <v>14</v>
      </c>
      <c r="S40" s="706">
        <f t="shared" si="12"/>
        <v>100</v>
      </c>
      <c r="T40" s="705" t="s">
        <v>14</v>
      </c>
      <c r="U40" s="706">
        <f t="shared" si="13"/>
        <v>100</v>
      </c>
      <c r="V40" s="705" t="s">
        <v>14</v>
      </c>
      <c r="W40" s="706">
        <f t="shared" si="14"/>
        <v>100</v>
      </c>
      <c r="X40" s="1350"/>
      <c r="Y40" s="3806"/>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14"/>
      <c r="L41" s="921"/>
      <c r="M41" s="922"/>
      <c r="N41" s="909"/>
      <c r="O41" s="922"/>
      <c r="P41" s="3798" t="str">
        <f>A41</f>
        <v>成交单价（元/平方米）</v>
      </c>
      <c r="Q41" s="3798"/>
      <c r="R41" s="3799">
        <f>E41</f>
        <v>0</v>
      </c>
      <c r="S41" s="3799"/>
      <c r="T41" s="3799">
        <f>G41</f>
        <v>0</v>
      </c>
      <c r="U41" s="3799"/>
      <c r="V41" s="3799">
        <f>I41</f>
        <v>0</v>
      </c>
      <c r="W41" s="3799"/>
      <c r="X41" s="690"/>
      <c r="Y41" s="712"/>
      <c r="Z41" s="690"/>
      <c r="AA41" s="690"/>
      <c r="AB41" s="690"/>
      <c r="AC41" s="690"/>
    </row>
    <row r="42" spans="1:29" ht="15.75" thickBot="1">
      <c r="A42" s="437" t="s">
        <v>1793</v>
      </c>
      <c r="B42" s="438"/>
      <c r="C42" s="1155" t="e">
        <f>R43</f>
        <v>#DIV/0!</v>
      </c>
      <c r="D42" s="2312" t="s">
        <v>2138</v>
      </c>
      <c r="E42" s="1156" t="e">
        <f>R42</f>
        <v>#DIV/0!</v>
      </c>
      <c r="F42" s="2313"/>
      <c r="G42" s="1155" t="e">
        <f>T42</f>
        <v>#DIV/0!</v>
      </c>
      <c r="H42" s="2313"/>
      <c r="I42" s="1156" t="e">
        <f>V42</f>
        <v>#DIV/0!</v>
      </c>
      <c r="J42" s="2313"/>
      <c r="K42" s="2315">
        <f>F42+H42+J42</f>
        <v>0</v>
      </c>
      <c r="L42" s="921"/>
      <c r="M42" s="922"/>
      <c r="N42" s="909"/>
      <c r="O42" s="922"/>
      <c r="P42" s="3798" t="str">
        <f>A42</f>
        <v>比较价值（元/平方米）</v>
      </c>
      <c r="Q42" s="3798"/>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795" t="str">
        <f>A43</f>
        <v>估价对象XX用房的比较价值（楼面单价，元/平方米）</v>
      </c>
      <c r="Q43" s="3796"/>
      <c r="R43" s="3797" t="e">
        <f>IF(F1="售价",ROUND(IF(D42="简单平均",AVERAGE(R42:V42),R42*F42+T42*H42+V42*J42),0),ROUND(IF(D42="简单平均",AVERAGE(R42:V42),R42*F42+T42*H42+V42*J42),1))</f>
        <v>#DIV/0!</v>
      </c>
      <c r="S43" s="3797"/>
      <c r="T43" s="3797"/>
      <c r="U43" s="3797"/>
      <c r="V43" s="3797"/>
      <c r="W43" s="3797"/>
      <c r="X43" s="690"/>
      <c r="Y43" s="690"/>
      <c r="Z43" s="690"/>
      <c r="AA43" s="690"/>
      <c r="AB43" s="690"/>
      <c r="AC43" s="690"/>
    </row>
    <row r="44" spans="1:29">
      <c r="A44" s="2719"/>
      <c r="B44" s="2719"/>
      <c r="C44" s="2719"/>
      <c r="D44" s="2719"/>
      <c r="E44" s="2719"/>
      <c r="F44" s="2719"/>
      <c r="G44" s="2723"/>
      <c r="H44" s="2719"/>
      <c r="I44" s="2719"/>
      <c r="J44" s="2719"/>
      <c r="K44" s="2724"/>
      <c r="L44" s="884"/>
      <c r="M44" s="922"/>
      <c r="N44" s="922"/>
      <c r="O44" s="922"/>
    </row>
    <row r="45" spans="1:29">
      <c r="A45" s="2719"/>
      <c r="B45" s="2719"/>
      <c r="C45" s="2719"/>
      <c r="D45" s="2719"/>
      <c r="E45" s="2719"/>
      <c r="F45" s="2719"/>
      <c r="G45" s="2719"/>
      <c r="H45" s="2719"/>
      <c r="I45" s="2719"/>
      <c r="J45" s="2719"/>
      <c r="K45" s="2724"/>
      <c r="L45" s="884"/>
      <c r="M45" s="922"/>
      <c r="N45" s="922"/>
      <c r="O45" s="922"/>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4"/>
      <c r="M46" s="922"/>
      <c r="N46" s="922"/>
      <c r="O46" s="922"/>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4"/>
      <c r="M47" s="922"/>
      <c r="N47" s="922"/>
      <c r="O47" s="922"/>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66" t="s">
        <v>1680</v>
      </c>
      <c r="Q7" s="3794"/>
      <c r="R7" s="701" t="s">
        <v>14</v>
      </c>
      <c r="S7" s="702">
        <f t="shared" ref="S7:S14" si="0">F7</f>
        <v>0</v>
      </c>
      <c r="T7" s="701" t="s">
        <v>14</v>
      </c>
      <c r="U7" s="702">
        <f t="shared" ref="U7:U14" si="1">H7</f>
        <v>0</v>
      </c>
      <c r="V7" s="701" t="s">
        <v>14</v>
      </c>
      <c r="W7" s="702">
        <f t="shared" ref="W7:W14"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66" t="s">
        <v>1683</v>
      </c>
      <c r="Q8" s="3767"/>
      <c r="R8" s="701" t="s">
        <v>14</v>
      </c>
      <c r="S8" s="702">
        <f t="shared" si="0"/>
        <v>100</v>
      </c>
      <c r="T8" s="701" t="s">
        <v>14</v>
      </c>
      <c r="U8" s="702">
        <f t="shared" si="1"/>
        <v>100</v>
      </c>
      <c r="V8" s="701" t="s">
        <v>14</v>
      </c>
      <c r="W8" s="702">
        <f t="shared" si="2"/>
        <v>100</v>
      </c>
      <c r="X8" s="703"/>
      <c r="Y8" s="3766" t="s">
        <v>1683</v>
      </c>
      <c r="Z8" s="37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98" t="s">
        <v>1686</v>
      </c>
      <c r="Q9" s="1338" t="str">
        <f t="shared" ref="Q9:Q14" si="6">B9</f>
        <v>用途</v>
      </c>
      <c r="R9" s="701" t="s">
        <v>14</v>
      </c>
      <c r="S9" s="702">
        <f t="shared" si="0"/>
        <v>100</v>
      </c>
      <c r="T9" s="701" t="s">
        <v>14</v>
      </c>
      <c r="U9" s="702">
        <f t="shared" si="1"/>
        <v>100</v>
      </c>
      <c r="V9" s="701" t="s">
        <v>14</v>
      </c>
      <c r="W9" s="702">
        <f t="shared" si="2"/>
        <v>100</v>
      </c>
      <c r="X9" s="703"/>
      <c r="Y9" s="3691"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798"/>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98"/>
      <c r="Q11" s="1338">
        <f t="shared" si="6"/>
        <v>111</v>
      </c>
      <c r="R11" s="701" t="s">
        <v>14</v>
      </c>
      <c r="S11" s="702">
        <f t="shared" si="0"/>
        <v>100</v>
      </c>
      <c r="T11" s="701" t="s">
        <v>14</v>
      </c>
      <c r="U11" s="702">
        <f t="shared" si="1"/>
        <v>100</v>
      </c>
      <c r="V11" s="701" t="s">
        <v>14</v>
      </c>
      <c r="W11" s="702">
        <f t="shared" si="2"/>
        <v>100</v>
      </c>
      <c r="X11" s="703"/>
      <c r="Y11" s="36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800" t="s">
        <v>1691</v>
      </c>
      <c r="Q14" s="1347" t="str">
        <f t="shared" si="6"/>
        <v>交通便捷度</v>
      </c>
      <c r="R14" s="705" t="s">
        <v>14</v>
      </c>
      <c r="S14" s="706">
        <f t="shared" si="0"/>
        <v>100</v>
      </c>
      <c r="T14" s="705" t="s">
        <v>14</v>
      </c>
      <c r="U14" s="706">
        <f t="shared" si="1"/>
        <v>100</v>
      </c>
      <c r="V14" s="705" t="s">
        <v>14</v>
      </c>
      <c r="W14" s="706">
        <f t="shared" si="2"/>
        <v>100</v>
      </c>
      <c r="X14" s="1350"/>
      <c r="Y14" s="3800"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801"/>
      <c r="Q15" s="1347"/>
      <c r="R15" s="705"/>
      <c r="S15" s="706"/>
      <c r="T15" s="705"/>
      <c r="U15" s="706"/>
      <c r="V15" s="705"/>
      <c r="W15" s="706"/>
      <c r="X15" s="1350"/>
      <c r="Y15" s="3801"/>
      <c r="Z15" s="1351"/>
      <c r="AA15" s="1348">
        <v>1</v>
      </c>
      <c r="AB15" s="1348">
        <v>1</v>
      </c>
      <c r="AC15" s="1348">
        <v>1</v>
      </c>
    </row>
    <row r="16" spans="1:29" ht="42.75">
      <c r="A16" s="358"/>
      <c r="B16" s="579" t="s">
        <v>1812</v>
      </c>
      <c r="C16" s="1895"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801"/>
      <c r="Q16" s="1347" t="str">
        <f>B16</f>
        <v>公共配套设施</v>
      </c>
      <c r="R16" s="705" t="s">
        <v>14</v>
      </c>
      <c r="S16" s="706">
        <f>F16</f>
        <v>100</v>
      </c>
      <c r="T16" s="705" t="s">
        <v>14</v>
      </c>
      <c r="U16" s="706">
        <f>H16</f>
        <v>100</v>
      </c>
      <c r="V16" s="705" t="s">
        <v>14</v>
      </c>
      <c r="W16" s="706">
        <f>J16</f>
        <v>100</v>
      </c>
      <c r="X16" s="1350"/>
      <c r="Y16" s="3801"/>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801"/>
      <c r="Q17" s="1347"/>
      <c r="R17" s="705"/>
      <c r="S17" s="706"/>
      <c r="T17" s="705"/>
      <c r="U17" s="706"/>
      <c r="V17" s="705"/>
      <c r="W17" s="706"/>
      <c r="X17" s="1350"/>
      <c r="Y17" s="3801"/>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801"/>
      <c r="Q18" s="1347" t="str">
        <f>B18</f>
        <v>基础设施水平</v>
      </c>
      <c r="R18" s="705" t="s">
        <v>14</v>
      </c>
      <c r="S18" s="706">
        <f>F18</f>
        <v>100</v>
      </c>
      <c r="T18" s="705" t="s">
        <v>14</v>
      </c>
      <c r="U18" s="706">
        <f>H18</f>
        <v>100</v>
      </c>
      <c r="V18" s="705" t="s">
        <v>14</v>
      </c>
      <c r="W18" s="706">
        <f>J18</f>
        <v>100</v>
      </c>
      <c r="X18" s="1350"/>
      <c r="Y18" s="3801"/>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5"/>
      <c r="L19" s="2716"/>
      <c r="M19" s="2710"/>
      <c r="N19" s="2710"/>
      <c r="O19" s="2710"/>
      <c r="P19" s="3801"/>
      <c r="Q19" s="1347"/>
      <c r="R19" s="705"/>
      <c r="S19" s="706"/>
      <c r="T19" s="705"/>
      <c r="U19" s="706"/>
      <c r="V19" s="705"/>
      <c r="W19" s="706"/>
      <c r="X19" s="1350"/>
      <c r="Y19" s="3801"/>
      <c r="Z19" s="1351"/>
      <c r="AA19" s="1348">
        <v>1</v>
      </c>
      <c r="AB19" s="1348">
        <v>1</v>
      </c>
      <c r="AC19" s="1348">
        <v>1</v>
      </c>
    </row>
    <row r="20" spans="1:29" ht="57">
      <c r="A20" s="358"/>
      <c r="B20" s="579" t="s">
        <v>1834</v>
      </c>
      <c r="C20" s="1895"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801"/>
      <c r="Q20" s="1347" t="str">
        <f>B20</f>
        <v>自然及人文环境</v>
      </c>
      <c r="R20" s="705" t="s">
        <v>14</v>
      </c>
      <c r="S20" s="706">
        <f>F20</f>
        <v>100</v>
      </c>
      <c r="T20" s="705" t="s">
        <v>14</v>
      </c>
      <c r="U20" s="706">
        <f>H20</f>
        <v>100</v>
      </c>
      <c r="V20" s="705" t="s">
        <v>14</v>
      </c>
      <c r="W20" s="706">
        <f>J20</f>
        <v>100</v>
      </c>
      <c r="X20" s="1350"/>
      <c r="Y20" s="3801"/>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801"/>
      <c r="Q21" s="1347"/>
      <c r="R21" s="705"/>
      <c r="S21" s="706"/>
      <c r="T21" s="705"/>
      <c r="U21" s="706"/>
      <c r="V21" s="705"/>
      <c r="W21" s="706"/>
      <c r="X21" s="1350"/>
      <c r="Y21" s="3801"/>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801"/>
      <c r="Q22" s="1347" t="str">
        <f>B22</f>
        <v>楼层</v>
      </c>
      <c r="R22" s="705" t="s">
        <v>14</v>
      </c>
      <c r="S22" s="706">
        <f>F22</f>
        <v>100</v>
      </c>
      <c r="T22" s="705" t="s">
        <v>14</v>
      </c>
      <c r="U22" s="706">
        <f>H22</f>
        <v>100</v>
      </c>
      <c r="V22" s="705" t="s">
        <v>14</v>
      </c>
      <c r="W22" s="706">
        <f>J22</f>
        <v>100</v>
      </c>
      <c r="X22" s="1350"/>
      <c r="Y22" s="3801"/>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801"/>
      <c r="Q23" s="1347">
        <f>B23</f>
        <v>111</v>
      </c>
      <c r="R23" s="705" t="s">
        <v>14</v>
      </c>
      <c r="S23" s="706">
        <f>F23</f>
        <v>100</v>
      </c>
      <c r="T23" s="705" t="s">
        <v>14</v>
      </c>
      <c r="U23" s="706">
        <f>H23</f>
        <v>100</v>
      </c>
      <c r="V23" s="705" t="s">
        <v>14</v>
      </c>
      <c r="W23" s="706">
        <f>J23</f>
        <v>100</v>
      </c>
      <c r="X23" s="1350"/>
      <c r="Y23" s="3801"/>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801"/>
      <c r="Q24" s="1347">
        <f t="shared" ref="Q24:Q36" si="11">B24</f>
        <v>111</v>
      </c>
      <c r="R24" s="705" t="s">
        <v>14</v>
      </c>
      <c r="S24" s="706">
        <f>F24</f>
        <v>100</v>
      </c>
      <c r="T24" s="705" t="s">
        <v>14</v>
      </c>
      <c r="U24" s="706">
        <f>H24</f>
        <v>100</v>
      </c>
      <c r="V24" s="705" t="s">
        <v>14</v>
      </c>
      <c r="W24" s="706">
        <f>J24</f>
        <v>100</v>
      </c>
      <c r="X24" s="1350"/>
      <c r="Y24" s="3801"/>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801"/>
      <c r="Q25" s="1338">
        <f t="shared" si="11"/>
        <v>111</v>
      </c>
      <c r="R25" s="701" t="s">
        <v>14</v>
      </c>
      <c r="S25" s="702">
        <f>F25</f>
        <v>100</v>
      </c>
      <c r="T25" s="701" t="s">
        <v>14</v>
      </c>
      <c r="U25" s="702">
        <f>H25</f>
        <v>100</v>
      </c>
      <c r="V25" s="701" t="s">
        <v>14</v>
      </c>
      <c r="W25" s="702">
        <f>J25</f>
        <v>100</v>
      </c>
      <c r="X25" s="703"/>
      <c r="Y25" s="3801"/>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24"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805"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805"/>
      <c r="Q27" s="707" t="str">
        <f t="shared" si="11"/>
        <v>项目停车位配比</v>
      </c>
      <c r="R27" s="708" t="s">
        <v>14</v>
      </c>
      <c r="S27" s="709">
        <f t="shared" si="12"/>
        <v>100</v>
      </c>
      <c r="T27" s="708" t="s">
        <v>14</v>
      </c>
      <c r="U27" s="709">
        <f t="shared" si="13"/>
        <v>100</v>
      </c>
      <c r="V27" s="708" t="s">
        <v>14</v>
      </c>
      <c r="W27" s="709">
        <f t="shared" si="14"/>
        <v>100</v>
      </c>
      <c r="X27" s="710"/>
      <c r="Y27" s="3805"/>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05"/>
      <c r="Q28" s="1347" t="str">
        <f t="shared" si="11"/>
        <v>公共部分装修</v>
      </c>
      <c r="R28" s="705" t="s">
        <v>14</v>
      </c>
      <c r="S28" s="706">
        <f t="shared" si="12"/>
        <v>100</v>
      </c>
      <c r="T28" s="705" t="s">
        <v>14</v>
      </c>
      <c r="U28" s="706">
        <f t="shared" si="13"/>
        <v>100</v>
      </c>
      <c r="V28" s="705" t="s">
        <v>14</v>
      </c>
      <c r="W28" s="706">
        <f t="shared" si="14"/>
        <v>100</v>
      </c>
      <c r="X28" s="1350"/>
      <c r="Y28" s="3805"/>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05"/>
      <c r="Q29" s="1347" t="str">
        <f t="shared" si="11"/>
        <v>成新率</v>
      </c>
      <c r="R29" s="705" t="s">
        <v>14</v>
      </c>
      <c r="S29" s="706" t="e">
        <f t="shared" si="12"/>
        <v>#N/A</v>
      </c>
      <c r="T29" s="705" t="s">
        <v>14</v>
      </c>
      <c r="U29" s="706" t="e">
        <f t="shared" si="13"/>
        <v>#N/A</v>
      </c>
      <c r="V29" s="705" t="s">
        <v>14</v>
      </c>
      <c r="W29" s="706" t="e">
        <f t="shared" si="14"/>
        <v>#N/A</v>
      </c>
      <c r="X29" s="1350"/>
      <c r="Y29" s="3805"/>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805"/>
      <c r="Q30" s="1347" t="str">
        <f t="shared" si="11"/>
        <v>物业等级</v>
      </c>
      <c r="R30" s="705" t="s">
        <v>14</v>
      </c>
      <c r="S30" s="706">
        <f t="shared" si="12"/>
        <v>100</v>
      </c>
      <c r="T30" s="705" t="s">
        <v>14</v>
      </c>
      <c r="U30" s="706">
        <f t="shared" si="13"/>
        <v>100</v>
      </c>
      <c r="V30" s="705" t="s">
        <v>14</v>
      </c>
      <c r="W30" s="706">
        <f t="shared" si="14"/>
        <v>100</v>
      </c>
      <c r="X30" s="1350"/>
      <c r="Y30" s="3805"/>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05"/>
      <c r="Q31" s="1338" t="str">
        <f t="shared" si="11"/>
        <v>停车位面积</v>
      </c>
      <c r="R31" s="701" t="s">
        <v>14</v>
      </c>
      <c r="S31" s="702" t="e">
        <f t="shared" si="12"/>
        <v>#N/A</v>
      </c>
      <c r="T31" s="701" t="s">
        <v>14</v>
      </c>
      <c r="U31" s="702" t="e">
        <f t="shared" si="13"/>
        <v>#N/A</v>
      </c>
      <c r="V31" s="701" t="s">
        <v>14</v>
      </c>
      <c r="W31" s="702" t="e">
        <f t="shared" si="14"/>
        <v>#N/A</v>
      </c>
      <c r="X31" s="703"/>
      <c r="Y31" s="38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05" t="s">
        <v>1696</v>
      </c>
      <c r="Q32" s="1347" t="str">
        <f t="shared" si="11"/>
        <v>车位类型</v>
      </c>
      <c r="R32" s="705" t="s">
        <v>14</v>
      </c>
      <c r="S32" s="706">
        <f t="shared" si="12"/>
        <v>100</v>
      </c>
      <c r="T32" s="705" t="s">
        <v>14</v>
      </c>
      <c r="U32" s="706">
        <f t="shared" si="13"/>
        <v>100</v>
      </c>
      <c r="V32" s="705" t="s">
        <v>14</v>
      </c>
      <c r="W32" s="706">
        <f t="shared" si="14"/>
        <v>100</v>
      </c>
      <c r="X32" s="1350"/>
      <c r="Y32" s="3805"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05"/>
      <c r="Q33" s="1347" t="str">
        <f t="shared" si="11"/>
        <v>是否直接入户</v>
      </c>
      <c r="R33" s="705" t="s">
        <v>14</v>
      </c>
      <c r="S33" s="706">
        <f t="shared" si="12"/>
        <v>100</v>
      </c>
      <c r="T33" s="705" t="s">
        <v>14</v>
      </c>
      <c r="U33" s="706">
        <f t="shared" si="13"/>
        <v>100</v>
      </c>
      <c r="V33" s="705" t="s">
        <v>14</v>
      </c>
      <c r="W33" s="706">
        <f t="shared" si="14"/>
        <v>100</v>
      </c>
      <c r="X33" s="1350"/>
      <c r="Y33" s="3805"/>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05"/>
      <c r="Q34" s="1347">
        <f t="shared" si="11"/>
        <v>111</v>
      </c>
      <c r="R34" s="705" t="s">
        <v>14</v>
      </c>
      <c r="S34" s="706">
        <f t="shared" si="12"/>
        <v>100</v>
      </c>
      <c r="T34" s="705" t="s">
        <v>14</v>
      </c>
      <c r="U34" s="706">
        <f t="shared" si="13"/>
        <v>100</v>
      </c>
      <c r="V34" s="705" t="s">
        <v>14</v>
      </c>
      <c r="W34" s="706">
        <f t="shared" si="14"/>
        <v>100</v>
      </c>
      <c r="X34" s="1350"/>
      <c r="Y34" s="3805"/>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05"/>
      <c r="Q35" s="707">
        <f t="shared" si="11"/>
        <v>111</v>
      </c>
      <c r="R35" s="708" t="s">
        <v>14</v>
      </c>
      <c r="S35" s="709">
        <f t="shared" si="12"/>
        <v>100</v>
      </c>
      <c r="T35" s="708" t="s">
        <v>14</v>
      </c>
      <c r="U35" s="709">
        <f t="shared" si="13"/>
        <v>100</v>
      </c>
      <c r="V35" s="708" t="s">
        <v>14</v>
      </c>
      <c r="W35" s="709">
        <f t="shared" si="14"/>
        <v>100</v>
      </c>
      <c r="X35" s="710"/>
      <c r="Y35" s="3805"/>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05"/>
      <c r="Q36" s="1347">
        <f t="shared" si="11"/>
        <v>111</v>
      </c>
      <c r="R36" s="705" t="s">
        <v>14</v>
      </c>
      <c r="S36" s="706">
        <f t="shared" si="12"/>
        <v>100</v>
      </c>
      <c r="T36" s="705" t="s">
        <v>14</v>
      </c>
      <c r="U36" s="706">
        <f t="shared" si="13"/>
        <v>100</v>
      </c>
      <c r="V36" s="705" t="s">
        <v>14</v>
      </c>
      <c r="W36" s="706">
        <f t="shared" si="14"/>
        <v>100</v>
      </c>
      <c r="X36" s="1350"/>
      <c r="Y36" s="3805"/>
      <c r="Z36" s="1351">
        <f t="shared" si="15"/>
        <v>111</v>
      </c>
      <c r="AA36" s="1348">
        <f t="shared" si="3"/>
        <v>1</v>
      </c>
      <c r="AB36" s="1348">
        <f t="shared" si="4"/>
        <v>1</v>
      </c>
      <c r="AC36" s="1348">
        <f t="shared" si="5"/>
        <v>1</v>
      </c>
    </row>
    <row r="37" spans="1:29" ht="15">
      <c r="A37" s="430" t="s">
        <v>1844</v>
      </c>
      <c r="B37" s="1968" t="s">
        <v>3354</v>
      </c>
      <c r="C37" s="1149" t="s">
        <v>0</v>
      </c>
      <c r="D37" s="1150"/>
      <c r="E37" s="1151"/>
      <c r="F37" s="1152"/>
      <c r="G37" s="1153"/>
      <c r="H37" s="1154"/>
      <c r="I37" s="1151"/>
      <c r="J37" s="1154"/>
      <c r="K37" s="568"/>
      <c r="L37" s="2718"/>
      <c r="M37" s="2719"/>
      <c r="N37" s="2710"/>
      <c r="O37" s="2719"/>
      <c r="P37" s="3798" t="str">
        <f>A37</f>
        <v>成交单价</v>
      </c>
      <c r="Q37" s="3798"/>
      <c r="R37" s="3799">
        <f>E37</f>
        <v>0</v>
      </c>
      <c r="S37" s="3799"/>
      <c r="T37" s="3799">
        <f>G37</f>
        <v>0</v>
      </c>
      <c r="U37" s="3799"/>
      <c r="V37" s="3799">
        <f>I37</f>
        <v>0</v>
      </c>
      <c r="W37" s="3799"/>
      <c r="X37" s="690"/>
      <c r="Y37" s="712"/>
      <c r="Z37" s="690"/>
      <c r="AA37" s="690"/>
      <c r="AB37" s="690"/>
      <c r="AC37" s="690"/>
    </row>
    <row r="38" spans="1:29" ht="15.75" thickBot="1">
      <c r="A38" s="437" t="s">
        <v>1845</v>
      </c>
      <c r="B38" s="438" t="str">
        <f>B37</f>
        <v>元/平方米</v>
      </c>
      <c r="C38" s="1155" t="e">
        <f>R39</f>
        <v>#DIV/0!</v>
      </c>
      <c r="D38" s="2312" t="s">
        <v>2138</v>
      </c>
      <c r="E38" s="1156" t="e">
        <f>R38</f>
        <v>#DIV/0!</v>
      </c>
      <c r="F38" s="2313"/>
      <c r="G38" s="1155" t="e">
        <f>T38</f>
        <v>#DIV/0!</v>
      </c>
      <c r="H38" s="2313"/>
      <c r="I38" s="1156" t="e">
        <f>V38</f>
        <v>#DIV/0!</v>
      </c>
      <c r="J38" s="2313"/>
      <c r="K38" s="2315">
        <f>F38+H38+J38</f>
        <v>0</v>
      </c>
      <c r="L38" s="2718"/>
      <c r="M38" s="2719"/>
      <c r="N38" s="2719"/>
      <c r="O38" s="2719"/>
      <c r="P38" s="3798" t="str">
        <f>A38</f>
        <v>比较价值（元/平方米）</v>
      </c>
      <c r="Q38" s="3798"/>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8"/>
      <c r="M39" s="2719"/>
      <c r="N39" s="2719"/>
      <c r="O39" s="2719"/>
      <c r="P39" s="3795" t="str">
        <f>A39</f>
        <v>估价对象XX用房的比较价值（楼面单价，元/平方米）</v>
      </c>
      <c r="Q39" s="3796"/>
      <c r="R39" s="3825" t="e">
        <f>IF(F1="售价",ROUND(IF(D38="简单平均",AVERAGE(R38:W38),R38*F38+T38*H38+V38*J38),0),ROUND(IF(D38="简单平均",AVERAGE(R38:V38),R38*F38+T38*H38+V38*J38),1))</f>
        <v>#DIV/0!</v>
      </c>
      <c r="S39" s="3825"/>
      <c r="T39" s="3825"/>
      <c r="U39" s="3825"/>
      <c r="V39" s="3825"/>
      <c r="W39" s="3825"/>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1850</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3334</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45485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766" t="s">
        <v>1680</v>
      </c>
      <c r="Q7" s="3794"/>
      <c r="R7" s="701" t="s">
        <v>14</v>
      </c>
      <c r="S7" s="702">
        <f t="shared" ref="S7:S14" si="0">F7</f>
        <v>0</v>
      </c>
      <c r="T7" s="701" t="s">
        <v>14</v>
      </c>
      <c r="U7" s="702">
        <f t="shared" ref="U7:U14" si="1">H7</f>
        <v>0</v>
      </c>
      <c r="V7" s="701" t="s">
        <v>14</v>
      </c>
      <c r="W7" s="702">
        <f t="shared" ref="W7:W14"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66" t="s">
        <v>1683</v>
      </c>
      <c r="Q8" s="3767"/>
      <c r="R8" s="701" t="s">
        <v>14</v>
      </c>
      <c r="S8" s="702">
        <f t="shared" si="0"/>
        <v>100</v>
      </c>
      <c r="T8" s="701" t="s">
        <v>14</v>
      </c>
      <c r="U8" s="702">
        <f t="shared" si="1"/>
        <v>100</v>
      </c>
      <c r="V8" s="701" t="s">
        <v>14</v>
      </c>
      <c r="W8" s="702">
        <f t="shared" si="2"/>
        <v>100</v>
      </c>
      <c r="X8" s="703"/>
      <c r="Y8" s="3766" t="s">
        <v>1683</v>
      </c>
      <c r="Z8" s="37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98" t="s">
        <v>1686</v>
      </c>
      <c r="Q9" s="1338" t="str">
        <f t="shared" ref="Q9:Q14" si="6">B9</f>
        <v>用途</v>
      </c>
      <c r="R9" s="701" t="s">
        <v>14</v>
      </c>
      <c r="S9" s="702">
        <f t="shared" si="0"/>
        <v>100</v>
      </c>
      <c r="T9" s="701" t="s">
        <v>14</v>
      </c>
      <c r="U9" s="702">
        <f t="shared" si="1"/>
        <v>100</v>
      </c>
      <c r="V9" s="701" t="s">
        <v>14</v>
      </c>
      <c r="W9" s="702">
        <f t="shared" si="2"/>
        <v>100</v>
      </c>
      <c r="X9" s="703"/>
      <c r="Y9" s="3691"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798"/>
      <c r="Q10" s="1338" t="str">
        <f t="shared" si="6"/>
        <v>土地使用年限（年）</v>
      </c>
      <c r="R10" s="701" t="s">
        <v>14</v>
      </c>
      <c r="S10" s="702">
        <f t="shared" si="0"/>
        <v>100</v>
      </c>
      <c r="T10" s="701" t="s">
        <v>14</v>
      </c>
      <c r="U10" s="702">
        <f t="shared" si="1"/>
        <v>100</v>
      </c>
      <c r="V10" s="701" t="s">
        <v>14</v>
      </c>
      <c r="W10" s="702">
        <f t="shared" si="2"/>
        <v>100</v>
      </c>
      <c r="X10" s="703"/>
      <c r="Y10" s="3691"/>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98"/>
      <c r="Q11" s="1338">
        <f t="shared" si="6"/>
        <v>111</v>
      </c>
      <c r="R11" s="701" t="s">
        <v>14</v>
      </c>
      <c r="S11" s="702">
        <f t="shared" si="0"/>
        <v>100</v>
      </c>
      <c r="T11" s="701" t="s">
        <v>14</v>
      </c>
      <c r="U11" s="702">
        <f t="shared" si="1"/>
        <v>100</v>
      </c>
      <c r="V11" s="701" t="s">
        <v>14</v>
      </c>
      <c r="W11" s="702">
        <f t="shared" si="2"/>
        <v>100</v>
      </c>
      <c r="X11" s="703"/>
      <c r="Y11" s="3691"/>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800" t="s">
        <v>1691</v>
      </c>
      <c r="Q14" s="1347" t="str">
        <f t="shared" si="6"/>
        <v>交通便捷度</v>
      </c>
      <c r="R14" s="705" t="s">
        <v>14</v>
      </c>
      <c r="S14" s="706">
        <f t="shared" si="0"/>
        <v>100</v>
      </c>
      <c r="T14" s="705" t="s">
        <v>14</v>
      </c>
      <c r="U14" s="706">
        <f t="shared" si="1"/>
        <v>100</v>
      </c>
      <c r="V14" s="705" t="s">
        <v>14</v>
      </c>
      <c r="W14" s="706">
        <f t="shared" si="2"/>
        <v>100</v>
      </c>
      <c r="X14" s="1350"/>
      <c r="Y14" s="3800"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801"/>
      <c r="Q15" s="1347"/>
      <c r="R15" s="705"/>
      <c r="S15" s="706"/>
      <c r="T15" s="705"/>
      <c r="U15" s="706"/>
      <c r="V15" s="705"/>
      <c r="W15" s="706"/>
      <c r="X15" s="1350"/>
      <c r="Y15" s="3801"/>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801"/>
      <c r="Q16" s="1347" t="str">
        <f>B16</f>
        <v>公共配套设施</v>
      </c>
      <c r="R16" s="705" t="s">
        <v>14</v>
      </c>
      <c r="S16" s="706">
        <f>F16</f>
        <v>100</v>
      </c>
      <c r="T16" s="705" t="s">
        <v>14</v>
      </c>
      <c r="U16" s="706">
        <f>H16</f>
        <v>100</v>
      </c>
      <c r="V16" s="705" t="s">
        <v>14</v>
      </c>
      <c r="W16" s="706">
        <f>J16</f>
        <v>100</v>
      </c>
      <c r="X16" s="1350"/>
      <c r="Y16" s="3801"/>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801"/>
      <c r="Q17" s="1347"/>
      <c r="R17" s="705"/>
      <c r="S17" s="706"/>
      <c r="T17" s="705"/>
      <c r="U17" s="706"/>
      <c r="V17" s="705"/>
      <c r="W17" s="706"/>
      <c r="X17" s="1350"/>
      <c r="Y17" s="3801"/>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801"/>
      <c r="Q18" s="1347" t="str">
        <f>B18</f>
        <v>基础设施水平</v>
      </c>
      <c r="R18" s="705" t="s">
        <v>14</v>
      </c>
      <c r="S18" s="706">
        <f>F18</f>
        <v>100</v>
      </c>
      <c r="T18" s="705" t="s">
        <v>14</v>
      </c>
      <c r="U18" s="706">
        <f>H18</f>
        <v>100</v>
      </c>
      <c r="V18" s="705" t="s">
        <v>14</v>
      </c>
      <c r="W18" s="706">
        <f>J18</f>
        <v>100</v>
      </c>
      <c r="X18" s="1350"/>
      <c r="Y18" s="3801"/>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6"/>
      <c r="M19" s="2710"/>
      <c r="N19" s="2710"/>
      <c r="O19" s="2768"/>
      <c r="P19" s="3801"/>
      <c r="Q19" s="1347"/>
      <c r="R19" s="705"/>
      <c r="S19" s="706"/>
      <c r="T19" s="705"/>
      <c r="U19" s="706"/>
      <c r="V19" s="705"/>
      <c r="W19" s="706"/>
      <c r="X19" s="1350"/>
      <c r="Y19" s="3801"/>
      <c r="Z19" s="1351"/>
      <c r="AA19" s="1348">
        <v>1</v>
      </c>
      <c r="AB19" s="1348">
        <v>1</v>
      </c>
      <c r="AC19" s="1348">
        <v>1</v>
      </c>
    </row>
    <row r="20" spans="1:29" ht="57">
      <c r="A20" s="379"/>
      <c r="B20" s="402" t="s">
        <v>1834</v>
      </c>
      <c r="C20" s="1895"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801"/>
      <c r="Q20" s="1347" t="str">
        <f>B20</f>
        <v>自然及人文环境</v>
      </c>
      <c r="R20" s="705" t="s">
        <v>14</v>
      </c>
      <c r="S20" s="706">
        <f>F20</f>
        <v>100</v>
      </c>
      <c r="T20" s="705" t="s">
        <v>14</v>
      </c>
      <c r="U20" s="706">
        <f>H20</f>
        <v>100</v>
      </c>
      <c r="V20" s="705" t="s">
        <v>14</v>
      </c>
      <c r="W20" s="706">
        <f>J20</f>
        <v>100</v>
      </c>
      <c r="X20" s="1350"/>
      <c r="Y20" s="3801"/>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801"/>
      <c r="Q21" s="1347"/>
      <c r="R21" s="705"/>
      <c r="S21" s="706"/>
      <c r="T21" s="705"/>
      <c r="U21" s="706"/>
      <c r="V21" s="705"/>
      <c r="W21" s="706"/>
      <c r="X21" s="1350"/>
      <c r="Y21" s="3801"/>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801"/>
      <c r="Q22" s="1347" t="str">
        <f>B22</f>
        <v>楼层</v>
      </c>
      <c r="R22" s="705" t="s">
        <v>14</v>
      </c>
      <c r="S22" s="706">
        <f>F22</f>
        <v>100</v>
      </c>
      <c r="T22" s="705" t="s">
        <v>14</v>
      </c>
      <c r="U22" s="706">
        <f>H22</f>
        <v>100</v>
      </c>
      <c r="V22" s="705" t="s">
        <v>14</v>
      </c>
      <c r="W22" s="706">
        <f>J22</f>
        <v>100</v>
      </c>
      <c r="X22" s="1350"/>
      <c r="Y22" s="3801"/>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801"/>
      <c r="Q23" s="1347">
        <f>B23</f>
        <v>111</v>
      </c>
      <c r="R23" s="705" t="s">
        <v>14</v>
      </c>
      <c r="S23" s="706">
        <f>F23</f>
        <v>100</v>
      </c>
      <c r="T23" s="705" t="s">
        <v>14</v>
      </c>
      <c r="U23" s="706">
        <f>H23</f>
        <v>100</v>
      </c>
      <c r="V23" s="705" t="s">
        <v>14</v>
      </c>
      <c r="W23" s="706">
        <f>J23</f>
        <v>100</v>
      </c>
      <c r="X23" s="1350"/>
      <c r="Y23" s="3801"/>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801"/>
      <c r="Q24" s="1347">
        <f t="shared" ref="Q24:Q34" si="11">B24</f>
        <v>111</v>
      </c>
      <c r="R24" s="705" t="s">
        <v>14</v>
      </c>
      <c r="S24" s="706">
        <f>F24</f>
        <v>100</v>
      </c>
      <c r="T24" s="705" t="s">
        <v>14</v>
      </c>
      <c r="U24" s="706">
        <f>H24</f>
        <v>100</v>
      </c>
      <c r="V24" s="705" t="s">
        <v>14</v>
      </c>
      <c r="W24" s="706">
        <f>J24</f>
        <v>100</v>
      </c>
      <c r="X24" s="1350"/>
      <c r="Y24" s="3801"/>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801"/>
      <c r="Q25" s="1338">
        <f t="shared" si="11"/>
        <v>111</v>
      </c>
      <c r="R25" s="701" t="s">
        <v>14</v>
      </c>
      <c r="S25" s="702">
        <f>F25</f>
        <v>100</v>
      </c>
      <c r="T25" s="701" t="s">
        <v>14</v>
      </c>
      <c r="U25" s="702">
        <f>H25</f>
        <v>100</v>
      </c>
      <c r="V25" s="701" t="s">
        <v>14</v>
      </c>
      <c r="W25" s="702">
        <f>J25</f>
        <v>100</v>
      </c>
      <c r="X25" s="703"/>
      <c r="Y25" s="3801"/>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824"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805"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05"/>
      <c r="Q27" s="707" t="str">
        <f t="shared" si="11"/>
        <v>成新率</v>
      </c>
      <c r="R27" s="708" t="s">
        <v>14</v>
      </c>
      <c r="S27" s="709" t="e">
        <f t="shared" si="12"/>
        <v>#N/A</v>
      </c>
      <c r="T27" s="708" t="s">
        <v>14</v>
      </c>
      <c r="U27" s="709" t="e">
        <f t="shared" si="13"/>
        <v>#N/A</v>
      </c>
      <c r="V27" s="708" t="s">
        <v>14</v>
      </c>
      <c r="W27" s="709" t="e">
        <f t="shared" si="14"/>
        <v>#N/A</v>
      </c>
      <c r="X27" s="710"/>
      <c r="Y27" s="3805"/>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05"/>
      <c r="Q28" s="1347" t="str">
        <f t="shared" si="11"/>
        <v>物业等级</v>
      </c>
      <c r="R28" s="705" t="s">
        <v>14</v>
      </c>
      <c r="S28" s="706">
        <f t="shared" si="12"/>
        <v>100</v>
      </c>
      <c r="T28" s="705" t="s">
        <v>14</v>
      </c>
      <c r="U28" s="706">
        <f t="shared" si="13"/>
        <v>100</v>
      </c>
      <c r="V28" s="705" t="s">
        <v>14</v>
      </c>
      <c r="W28" s="706">
        <f t="shared" si="14"/>
        <v>100</v>
      </c>
      <c r="X28" s="1350"/>
      <c r="Y28" s="3805"/>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805"/>
      <c r="Q29" s="1347" t="str">
        <f t="shared" si="11"/>
        <v>有无电梯</v>
      </c>
      <c r="R29" s="705" t="s">
        <v>14</v>
      </c>
      <c r="S29" s="706">
        <f t="shared" si="12"/>
        <v>100</v>
      </c>
      <c r="T29" s="705" t="s">
        <v>14</v>
      </c>
      <c r="U29" s="706">
        <f t="shared" si="13"/>
        <v>100</v>
      </c>
      <c r="V29" s="705" t="s">
        <v>14</v>
      </c>
      <c r="W29" s="706">
        <f t="shared" si="14"/>
        <v>100</v>
      </c>
      <c r="X29" s="1350"/>
      <c r="Y29" s="3805"/>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05"/>
      <c r="Q30" s="1347" t="str">
        <f t="shared" si="11"/>
        <v>建筑面积</v>
      </c>
      <c r="R30" s="705" t="s">
        <v>14</v>
      </c>
      <c r="S30" s="706" t="e">
        <f t="shared" si="12"/>
        <v>#N/A</v>
      </c>
      <c r="T30" s="705" t="s">
        <v>14</v>
      </c>
      <c r="U30" s="706" t="e">
        <f t="shared" si="13"/>
        <v>#N/A</v>
      </c>
      <c r="V30" s="705" t="s">
        <v>14</v>
      </c>
      <c r="W30" s="706" t="e">
        <f t="shared" si="14"/>
        <v>#N/A</v>
      </c>
      <c r="X30" s="1350"/>
      <c r="Y30" s="3805"/>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805"/>
      <c r="Q31" s="1338" t="str">
        <f t="shared" si="11"/>
        <v>是否封闭</v>
      </c>
      <c r="R31" s="701" t="s">
        <v>14</v>
      </c>
      <c r="S31" s="702">
        <f t="shared" si="12"/>
        <v>100</v>
      </c>
      <c r="T31" s="701" t="s">
        <v>14</v>
      </c>
      <c r="U31" s="702">
        <f t="shared" si="13"/>
        <v>100</v>
      </c>
      <c r="V31" s="701" t="s">
        <v>14</v>
      </c>
      <c r="W31" s="702">
        <f t="shared" si="14"/>
        <v>100</v>
      </c>
      <c r="X31" s="703"/>
      <c r="Y31" s="3805"/>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05" t="s">
        <v>1696</v>
      </c>
      <c r="Q32" s="1347">
        <f t="shared" si="11"/>
        <v>111</v>
      </c>
      <c r="R32" s="705" t="s">
        <v>14</v>
      </c>
      <c r="S32" s="706">
        <f t="shared" si="12"/>
        <v>100</v>
      </c>
      <c r="T32" s="705" t="s">
        <v>14</v>
      </c>
      <c r="U32" s="706">
        <f t="shared" si="13"/>
        <v>100</v>
      </c>
      <c r="V32" s="705" t="s">
        <v>14</v>
      </c>
      <c r="W32" s="706">
        <f t="shared" si="14"/>
        <v>100</v>
      </c>
      <c r="X32" s="1350"/>
      <c r="Y32" s="3805"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05"/>
      <c r="Q33" s="1347">
        <f t="shared" si="11"/>
        <v>111</v>
      </c>
      <c r="R33" s="705" t="s">
        <v>14</v>
      </c>
      <c r="S33" s="706">
        <f t="shared" si="12"/>
        <v>100</v>
      </c>
      <c r="T33" s="705" t="s">
        <v>14</v>
      </c>
      <c r="U33" s="706">
        <f t="shared" si="13"/>
        <v>100</v>
      </c>
      <c r="V33" s="705" t="s">
        <v>14</v>
      </c>
      <c r="W33" s="706">
        <f t="shared" si="14"/>
        <v>100</v>
      </c>
      <c r="X33" s="1350"/>
      <c r="Y33" s="3805"/>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805"/>
      <c r="Q34" s="1347">
        <f t="shared" si="11"/>
        <v>111</v>
      </c>
      <c r="R34" s="705" t="s">
        <v>14</v>
      </c>
      <c r="S34" s="706">
        <f t="shared" si="12"/>
        <v>100</v>
      </c>
      <c r="T34" s="705" t="s">
        <v>14</v>
      </c>
      <c r="U34" s="706">
        <f t="shared" si="13"/>
        <v>100</v>
      </c>
      <c r="V34" s="705" t="s">
        <v>14</v>
      </c>
      <c r="W34" s="706">
        <f t="shared" si="14"/>
        <v>100</v>
      </c>
      <c r="X34" s="1350"/>
      <c r="Y34" s="3805"/>
      <c r="Z34" s="1351">
        <f t="shared" si="15"/>
        <v>111</v>
      </c>
      <c r="AA34" s="1348">
        <f t="shared" si="3"/>
        <v>1</v>
      </c>
      <c r="AB34" s="1348">
        <f t="shared" si="4"/>
        <v>1</v>
      </c>
      <c r="AC34" s="1348">
        <f t="shared" si="5"/>
        <v>1</v>
      </c>
    </row>
    <row r="35" spans="1:30" ht="15">
      <c r="A35" s="430" t="s">
        <v>1708</v>
      </c>
      <c r="B35" s="431"/>
      <c r="C35" s="1149" t="s">
        <v>0</v>
      </c>
      <c r="D35" s="1150"/>
      <c r="E35" s="1151"/>
      <c r="F35" s="1152"/>
      <c r="G35" s="1153"/>
      <c r="H35" s="1154"/>
      <c r="I35" s="1151"/>
      <c r="J35" s="1154"/>
      <c r="K35" s="714"/>
      <c r="L35" s="2718"/>
      <c r="M35" s="2719"/>
      <c r="N35" s="2710"/>
      <c r="O35" s="2719"/>
      <c r="P35" s="3798" t="str">
        <f>A35</f>
        <v>成交单价（元/平方米）</v>
      </c>
      <c r="Q35" s="3798"/>
      <c r="R35" s="3799">
        <f>E35</f>
        <v>0</v>
      </c>
      <c r="S35" s="3799"/>
      <c r="T35" s="3799">
        <f>G35</f>
        <v>0</v>
      </c>
      <c r="U35" s="3799"/>
      <c r="V35" s="3799">
        <f>I35</f>
        <v>0</v>
      </c>
      <c r="W35" s="3799"/>
      <c r="X35" s="690"/>
      <c r="Y35" s="712"/>
      <c r="Z35" s="690"/>
      <c r="AA35" s="690"/>
      <c r="AB35" s="690"/>
      <c r="AC35" s="690"/>
    </row>
    <row r="36" spans="1:30" ht="15.75" thickBot="1">
      <c r="A36" s="437" t="s">
        <v>1793</v>
      </c>
      <c r="B36" s="438"/>
      <c r="C36" s="1155" t="e">
        <f>R37</f>
        <v>#DIV/0!</v>
      </c>
      <c r="D36" s="2312" t="s">
        <v>2138</v>
      </c>
      <c r="E36" s="1156" t="e">
        <f>R36</f>
        <v>#DIV/0!</v>
      </c>
      <c r="F36" s="2313"/>
      <c r="G36" s="1155" t="e">
        <f>T36</f>
        <v>#DIV/0!</v>
      </c>
      <c r="H36" s="2313"/>
      <c r="I36" s="1156" t="e">
        <f>V36</f>
        <v>#DIV/0!</v>
      </c>
      <c r="J36" s="2313"/>
      <c r="K36" s="2315">
        <f>F36+H36+J36</f>
        <v>0</v>
      </c>
      <c r="L36" s="2718"/>
      <c r="M36" s="2719"/>
      <c r="N36" s="2710"/>
      <c r="O36" s="2719"/>
      <c r="P36" s="3798" t="str">
        <f>A36</f>
        <v>比较价值（元/平方米）</v>
      </c>
      <c r="Q36" s="3798"/>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8"/>
      <c r="M37" s="2719"/>
      <c r="N37" s="2719"/>
      <c r="O37" s="2719"/>
      <c r="P37" s="3795" t="str">
        <f>A37</f>
        <v>估价对象XX用房的比较价值（楼面单价，元/平方米）</v>
      </c>
      <c r="Q37" s="3796"/>
      <c r="R37" s="3825" t="e">
        <f>IF(F1="售价",ROUND(IF(D36="简单平均",AVERAGE(R36:W36),R36*F36+T36*H36+V36*J36),0),ROUND(IF(D36="简单平均",AVERAGE(R36:V36),R36*F36+T36*H36+V36*J36),1))</f>
        <v>#DIV/0!</v>
      </c>
      <c r="S37" s="3825"/>
      <c r="T37" s="3825"/>
      <c r="U37" s="3825"/>
      <c r="V37" s="3825"/>
      <c r="W37" s="3825"/>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2"/>
      <c r="D2" s="902"/>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30"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30"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30" ht="15.75" thickBot="1">
      <c r="A6" s="360"/>
      <c r="B6" s="361"/>
      <c r="C6" s="3776" t="s">
        <v>1677</v>
      </c>
      <c r="D6" s="3777"/>
      <c r="E6" s="3778" t="s">
        <v>1677</v>
      </c>
      <c r="F6" s="3779"/>
      <c r="G6" s="3776" t="s">
        <v>1677</v>
      </c>
      <c r="H6" s="3777"/>
      <c r="I6" s="3776" t="s">
        <v>1677</v>
      </c>
      <c r="J6" s="3777"/>
      <c r="K6" s="559" t="s">
        <v>1678</v>
      </c>
      <c r="L6" s="2709"/>
      <c r="M6" s="2710"/>
      <c r="N6" s="2710"/>
      <c r="O6" s="2710"/>
      <c r="P6" s="3789"/>
      <c r="Q6" s="3790"/>
      <c r="R6" s="3770"/>
      <c r="S6" s="3771"/>
      <c r="T6" s="3791"/>
      <c r="U6" s="3792"/>
      <c r="V6" s="3793"/>
      <c r="W6" s="3793"/>
      <c r="X6" s="1350"/>
      <c r="Y6" s="3791"/>
      <c r="Z6" s="3792"/>
      <c r="AA6" s="3765"/>
      <c r="AB6" s="3765"/>
      <c r="AC6" s="3765"/>
    </row>
    <row r="7" spans="1:30" s="108" customFormat="1" ht="15.75" thickBot="1">
      <c r="A7" s="362" t="s">
        <v>1679</v>
      </c>
      <c r="B7" s="363"/>
      <c r="C7" s="364">
        <f>'数据-取费表'!B2</f>
        <v>45485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66" t="s">
        <v>1683</v>
      </c>
      <c r="Q8" s="3767"/>
      <c r="R8" s="701" t="s">
        <v>14</v>
      </c>
      <c r="S8" s="702">
        <f t="shared" si="0"/>
        <v>0</v>
      </c>
      <c r="T8" s="701" t="s">
        <v>14</v>
      </c>
      <c r="U8" s="702">
        <f t="shared" si="1"/>
        <v>0</v>
      </c>
      <c r="V8" s="701" t="s">
        <v>14</v>
      </c>
      <c r="W8" s="702">
        <f t="shared" si="2"/>
        <v>0</v>
      </c>
      <c r="X8" s="703"/>
      <c r="Y8" s="3766" t="s">
        <v>1683</v>
      </c>
      <c r="Z8" s="3767"/>
      <c r="AA8" s="704" t="e">
        <f t="shared" ref="AA8:AA45" si="3">D8/F8</f>
        <v>#DIV/0!</v>
      </c>
      <c r="AB8" s="704" t="e">
        <f t="shared" ref="AB8:AB45" si="4">D8/H8</f>
        <v>#DIV/0!</v>
      </c>
      <c r="AC8" s="704"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98"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3"/>
      <c r="M10" s="2714"/>
      <c r="N10" s="2714"/>
      <c r="O10" s="2767"/>
      <c r="P10" s="3798"/>
      <c r="Q10" s="1338" t="str">
        <f t="shared" si="6"/>
        <v>土地使用年限（年）</v>
      </c>
      <c r="R10" s="701" t="s">
        <v>14</v>
      </c>
      <c r="S10" s="702">
        <f t="shared" si="0"/>
        <v>150</v>
      </c>
      <c r="T10" s="701" t="s">
        <v>14</v>
      </c>
      <c r="U10" s="702">
        <f t="shared" si="1"/>
        <v>150</v>
      </c>
      <c r="V10" s="701" t="s">
        <v>14</v>
      </c>
      <c r="W10" s="702">
        <f t="shared" si="2"/>
        <v>150</v>
      </c>
      <c r="X10" s="703"/>
      <c r="Y10" s="3691"/>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98"/>
      <c r="Q11" s="1338"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98"/>
      <c r="Q12" s="1338" t="str">
        <f t="shared" si="6"/>
        <v>配建</v>
      </c>
      <c r="R12" s="701" t="s">
        <v>14</v>
      </c>
      <c r="S12" s="702">
        <f t="shared" si="0"/>
        <v>100</v>
      </c>
      <c r="T12" s="701" t="s">
        <v>14</v>
      </c>
      <c r="U12" s="702">
        <f t="shared" si="1"/>
        <v>100</v>
      </c>
      <c r="V12" s="701" t="s">
        <v>14</v>
      </c>
      <c r="W12" s="702">
        <f t="shared" si="2"/>
        <v>100</v>
      </c>
      <c r="X12" s="703"/>
      <c r="Y12" s="3691"/>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98"/>
      <c r="Q14" s="1338">
        <f t="shared" si="6"/>
        <v>111</v>
      </c>
      <c r="R14" s="701" t="s">
        <v>14</v>
      </c>
      <c r="S14" s="702">
        <f t="shared" si="0"/>
        <v>100</v>
      </c>
      <c r="T14" s="701" t="s">
        <v>14</v>
      </c>
      <c r="U14" s="702">
        <f t="shared" si="1"/>
        <v>100</v>
      </c>
      <c r="V14" s="701" t="s">
        <v>14</v>
      </c>
      <c r="W14" s="702">
        <f t="shared" si="2"/>
        <v>100</v>
      </c>
      <c r="X14" s="703"/>
      <c r="Y14" s="3691"/>
      <c r="Z14" s="52">
        <f t="shared" si="7"/>
        <v>111</v>
      </c>
      <c r="AA14" s="704">
        <f>D14/F14</f>
        <v>1</v>
      </c>
      <c r="AB14" s="704">
        <f>D14/H14</f>
        <v>1</v>
      </c>
      <c r="AC14" s="704">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800" t="s">
        <v>1691</v>
      </c>
      <c r="Q15" s="1347" t="str">
        <f t="shared" si="6"/>
        <v>居住社区成熟度</v>
      </c>
      <c r="R15" s="705" t="s">
        <v>14</v>
      </c>
      <c r="S15" s="706">
        <f t="shared" si="0"/>
        <v>100</v>
      </c>
      <c r="T15" s="705" t="s">
        <v>14</v>
      </c>
      <c r="U15" s="706">
        <f t="shared" si="1"/>
        <v>100</v>
      </c>
      <c r="V15" s="705" t="s">
        <v>14</v>
      </c>
      <c r="W15" s="706">
        <f t="shared" si="2"/>
        <v>100</v>
      </c>
      <c r="X15" s="1350"/>
      <c r="Y15" s="3800"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801"/>
      <c r="Q16" s="1347"/>
      <c r="R16" s="705"/>
      <c r="S16" s="706"/>
      <c r="T16" s="705"/>
      <c r="U16" s="706"/>
      <c r="V16" s="705"/>
      <c r="W16" s="706"/>
      <c r="X16" s="1350"/>
      <c r="Y16" s="3801"/>
      <c r="Z16" s="1351"/>
      <c r="AA16" s="1348">
        <v>1</v>
      </c>
      <c r="AB16" s="1348">
        <v>1</v>
      </c>
      <c r="AC16" s="1348">
        <v>1</v>
      </c>
    </row>
    <row r="17" spans="1:29" ht="71.25">
      <c r="A17" s="379"/>
      <c r="B17" s="402" t="s">
        <v>1777</v>
      </c>
      <c r="C17" s="1950" t="str">
        <f>估价对象房地状况!C16</f>
        <v>估价对象位于XX商圈，周边商业氛围成熟，人流量大，商业繁华度较好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801"/>
      <c r="Q17" s="1347" t="str">
        <f>B17</f>
        <v>商业繁华度</v>
      </c>
      <c r="R17" s="705" t="s">
        <v>14</v>
      </c>
      <c r="S17" s="706">
        <f>F17</f>
        <v>100</v>
      </c>
      <c r="T17" s="705" t="s">
        <v>14</v>
      </c>
      <c r="U17" s="706">
        <f>H17</f>
        <v>100</v>
      </c>
      <c r="V17" s="705" t="s">
        <v>14</v>
      </c>
      <c r="W17" s="706">
        <f>J17</f>
        <v>100</v>
      </c>
      <c r="X17" s="1350"/>
      <c r="Y17" s="380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801"/>
      <c r="Q18" s="1347"/>
      <c r="R18" s="705"/>
      <c r="S18" s="706"/>
      <c r="T18" s="705"/>
      <c r="U18" s="706"/>
      <c r="V18" s="705"/>
      <c r="W18" s="706"/>
      <c r="X18" s="1350"/>
      <c r="Y18" s="3801"/>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801"/>
      <c r="Q19" s="1347" t="str">
        <f>B19</f>
        <v>办公集聚程度</v>
      </c>
      <c r="R19" s="705" t="s">
        <v>14</v>
      </c>
      <c r="S19" s="706">
        <f>F19</f>
        <v>100</v>
      </c>
      <c r="T19" s="705" t="s">
        <v>14</v>
      </c>
      <c r="U19" s="706">
        <f>H19</f>
        <v>100</v>
      </c>
      <c r="V19" s="705" t="s">
        <v>14</v>
      </c>
      <c r="W19" s="706">
        <f>J19</f>
        <v>100</v>
      </c>
      <c r="X19" s="1350"/>
      <c r="Y19" s="380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801"/>
      <c r="Q20" s="1347"/>
      <c r="R20" s="705"/>
      <c r="S20" s="706"/>
      <c r="T20" s="705"/>
      <c r="U20" s="706"/>
      <c r="V20" s="705"/>
      <c r="W20" s="706"/>
      <c r="X20" s="1350"/>
      <c r="Y20" s="3801"/>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801"/>
      <c r="Q21" s="1347" t="str">
        <f>B21</f>
        <v>交通便捷度</v>
      </c>
      <c r="R21" s="705" t="s">
        <v>14</v>
      </c>
      <c r="S21" s="706">
        <f>F21</f>
        <v>100</v>
      </c>
      <c r="T21" s="705" t="s">
        <v>14</v>
      </c>
      <c r="U21" s="706">
        <f>H21</f>
        <v>100</v>
      </c>
      <c r="V21" s="705" t="s">
        <v>14</v>
      </c>
      <c r="W21" s="706">
        <f>J21</f>
        <v>100</v>
      </c>
      <c r="X21" s="1350"/>
      <c r="Y21" s="3801"/>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6"/>
      <c r="M22" s="2710"/>
      <c r="N22" s="2710"/>
      <c r="O22" s="2768"/>
      <c r="P22" s="3801"/>
      <c r="Q22" s="1347"/>
      <c r="R22" s="705"/>
      <c r="S22" s="706"/>
      <c r="T22" s="705"/>
      <c r="U22" s="706"/>
      <c r="V22" s="705"/>
      <c r="W22" s="706"/>
      <c r="X22" s="1350"/>
      <c r="Y22" s="3801"/>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801"/>
      <c r="Q23" s="1347" t="str">
        <f t="shared" ref="Q23:Q37" si="8">B23</f>
        <v>区域土地利用方向</v>
      </c>
      <c r="R23" s="705" t="s">
        <v>14</v>
      </c>
      <c r="S23" s="706">
        <f>F23</f>
        <v>100</v>
      </c>
      <c r="T23" s="705" t="s">
        <v>14</v>
      </c>
      <c r="U23" s="706">
        <f>H23</f>
        <v>100</v>
      </c>
      <c r="V23" s="705" t="s">
        <v>14</v>
      </c>
      <c r="W23" s="706">
        <f>J23</f>
        <v>100</v>
      </c>
      <c r="X23" s="1350"/>
      <c r="Y23" s="3801"/>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6"/>
      <c r="M24" s="2710"/>
      <c r="N24" s="2710"/>
      <c r="O24" s="2768"/>
      <c r="P24" s="3801"/>
      <c r="Q24" s="1347"/>
      <c r="R24" s="705"/>
      <c r="S24" s="706"/>
      <c r="T24" s="705"/>
      <c r="U24" s="706"/>
      <c r="V24" s="705"/>
      <c r="W24" s="706"/>
      <c r="X24" s="1350"/>
      <c r="Y24" s="3801"/>
      <c r="Z24" s="1351"/>
      <c r="AA24" s="1348"/>
      <c r="AB24" s="1348"/>
      <c r="AC24" s="1348"/>
    </row>
    <row r="25" spans="1:29" ht="57">
      <c r="A25" s="358"/>
      <c r="B25" s="1126" t="s">
        <v>1872</v>
      </c>
      <c r="C25" s="1950"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801"/>
      <c r="Q25" s="1347" t="str">
        <f t="shared" si="8"/>
        <v>自然及人文环境状况</v>
      </c>
      <c r="R25" s="705" t="s">
        <v>14</v>
      </c>
      <c r="S25" s="706">
        <f>F25</f>
        <v>100</v>
      </c>
      <c r="T25" s="705" t="s">
        <v>14</v>
      </c>
      <c r="U25" s="706">
        <f>H25</f>
        <v>100</v>
      </c>
      <c r="V25" s="705" t="s">
        <v>14</v>
      </c>
      <c r="W25" s="706">
        <f>J25</f>
        <v>100</v>
      </c>
      <c r="X25" s="1350"/>
      <c r="Y25" s="380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801"/>
      <c r="Q26" s="1347"/>
      <c r="R26" s="705"/>
      <c r="S26" s="706"/>
      <c r="T26" s="705"/>
      <c r="U26" s="706"/>
      <c r="V26" s="705"/>
      <c r="W26" s="706"/>
      <c r="X26" s="1350"/>
      <c r="Y26" s="3801"/>
      <c r="Z26" s="1351"/>
      <c r="AA26" s="1348">
        <v>1</v>
      </c>
      <c r="AB26" s="1348">
        <v>1</v>
      </c>
      <c r="AC26" s="1348">
        <v>1</v>
      </c>
    </row>
    <row r="27" spans="1:29" s="108" customFormat="1" ht="42.75">
      <c r="A27" s="597"/>
      <c r="B27" s="1126" t="s">
        <v>1778</v>
      </c>
      <c r="C27" s="1895"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801"/>
      <c r="Q27" s="1338" t="str">
        <f t="shared" si="8"/>
        <v>公共配套设施</v>
      </c>
      <c r="R27" s="701" t="s">
        <v>14</v>
      </c>
      <c r="S27" s="702">
        <f>F27</f>
        <v>100</v>
      </c>
      <c r="T27" s="701" t="s">
        <v>14</v>
      </c>
      <c r="U27" s="702">
        <f>H27</f>
        <v>100</v>
      </c>
      <c r="V27" s="701" t="s">
        <v>14</v>
      </c>
      <c r="W27" s="702">
        <f>J27</f>
        <v>100</v>
      </c>
      <c r="X27" s="703"/>
      <c r="Y27" s="3801"/>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801"/>
      <c r="Q28" s="1338"/>
      <c r="R28" s="701"/>
      <c r="S28" s="702"/>
      <c r="T28" s="701"/>
      <c r="U28" s="702"/>
      <c r="V28" s="701"/>
      <c r="W28" s="702"/>
      <c r="X28" s="703"/>
      <c r="Y28" s="3801"/>
      <c r="Z28" s="52"/>
      <c r="AA28" s="1348">
        <v>1</v>
      </c>
      <c r="AB28" s="1348">
        <v>1</v>
      </c>
      <c r="AC28" s="1348">
        <v>1</v>
      </c>
    </row>
    <row r="29" spans="1:29" s="108" customFormat="1" ht="28.5">
      <c r="A29" s="597"/>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801"/>
      <c r="Q29" s="1338" t="str">
        <f t="shared" ref="Q29" si="9">B29</f>
        <v>基础设施水平</v>
      </c>
      <c r="R29" s="701" t="s">
        <v>14</v>
      </c>
      <c r="S29" s="702">
        <f>F29</f>
        <v>100</v>
      </c>
      <c r="T29" s="701" t="s">
        <v>14</v>
      </c>
      <c r="U29" s="702">
        <f>H29</f>
        <v>100</v>
      </c>
      <c r="V29" s="701" t="s">
        <v>14</v>
      </c>
      <c r="W29" s="702">
        <f>J29</f>
        <v>100</v>
      </c>
      <c r="X29" s="703"/>
      <c r="Y29" s="3801"/>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801"/>
      <c r="Q30" s="1338"/>
      <c r="R30" s="701"/>
      <c r="S30" s="702"/>
      <c r="T30" s="701"/>
      <c r="U30" s="702"/>
      <c r="V30" s="701"/>
      <c r="W30" s="702"/>
      <c r="X30" s="703"/>
      <c r="Y30" s="3801"/>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801"/>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801"/>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801"/>
      <c r="Q32" s="1347" t="str">
        <f t="shared" si="8"/>
        <v>毗邻道路的类型与等级</v>
      </c>
      <c r="R32" s="705" t="s">
        <v>14</v>
      </c>
      <c r="S32" s="706">
        <f t="shared" si="10"/>
        <v>100</v>
      </c>
      <c r="T32" s="705" t="s">
        <v>14</v>
      </c>
      <c r="U32" s="706">
        <f t="shared" si="11"/>
        <v>100</v>
      </c>
      <c r="V32" s="705" t="s">
        <v>14</v>
      </c>
      <c r="W32" s="706">
        <f t="shared" si="12"/>
        <v>100</v>
      </c>
      <c r="X32" s="1350"/>
      <c r="Y32" s="380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801"/>
      <c r="Q33" s="1347"/>
      <c r="R33" s="705"/>
      <c r="S33" s="706"/>
      <c r="T33" s="705"/>
      <c r="U33" s="706"/>
      <c r="V33" s="705"/>
      <c r="W33" s="706"/>
      <c r="X33" s="1350"/>
      <c r="Y33" s="3801"/>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801"/>
      <c r="Q34" s="1347" t="str">
        <f t="shared" si="8"/>
        <v>土地级别</v>
      </c>
      <c r="R34" s="705" t="s">
        <v>14</v>
      </c>
      <c r="S34" s="706">
        <f t="shared" si="10"/>
        <v>100</v>
      </c>
      <c r="T34" s="705" t="s">
        <v>14</v>
      </c>
      <c r="U34" s="706">
        <f t="shared" si="11"/>
        <v>100</v>
      </c>
      <c r="V34" s="705" t="s">
        <v>14</v>
      </c>
      <c r="W34" s="706">
        <f t="shared" si="12"/>
        <v>100</v>
      </c>
      <c r="X34" s="1350"/>
      <c r="Y34" s="3801"/>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801"/>
      <c r="Q35" s="1347">
        <f t="shared" si="8"/>
        <v>111</v>
      </c>
      <c r="R35" s="705" t="s">
        <v>14</v>
      </c>
      <c r="S35" s="706">
        <f t="shared" si="10"/>
        <v>100</v>
      </c>
      <c r="T35" s="705" t="s">
        <v>14</v>
      </c>
      <c r="U35" s="706">
        <f t="shared" si="11"/>
        <v>100</v>
      </c>
      <c r="V35" s="705" t="s">
        <v>14</v>
      </c>
      <c r="W35" s="706">
        <f t="shared" si="12"/>
        <v>100</v>
      </c>
      <c r="X35" s="1350"/>
      <c r="Y35" s="3801"/>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24" t="s">
        <v>1696</v>
      </c>
      <c r="Q36" s="1347">
        <f t="shared" si="8"/>
        <v>111</v>
      </c>
      <c r="R36" s="705" t="s">
        <v>14</v>
      </c>
      <c r="S36" s="706">
        <f t="shared" si="10"/>
        <v>100</v>
      </c>
      <c r="T36" s="705" t="s">
        <v>14</v>
      </c>
      <c r="U36" s="706">
        <f t="shared" si="11"/>
        <v>100</v>
      </c>
      <c r="V36" s="705" t="s">
        <v>14</v>
      </c>
      <c r="W36" s="706">
        <f t="shared" si="12"/>
        <v>100</v>
      </c>
      <c r="X36" s="1350"/>
      <c r="Y36" s="3805" t="s">
        <v>1696</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805"/>
      <c r="Q37" s="1347">
        <f t="shared" si="8"/>
        <v>111</v>
      </c>
      <c r="R37" s="708" t="s">
        <v>14</v>
      </c>
      <c r="S37" s="709">
        <f t="shared" si="10"/>
        <v>100</v>
      </c>
      <c r="T37" s="708" t="s">
        <v>14</v>
      </c>
      <c r="U37" s="709">
        <f t="shared" si="11"/>
        <v>100</v>
      </c>
      <c r="V37" s="708" t="s">
        <v>14</v>
      </c>
      <c r="W37" s="709">
        <f t="shared" si="12"/>
        <v>100</v>
      </c>
      <c r="X37" s="710"/>
      <c r="Y37" s="3805"/>
      <c r="Z37" s="711">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805"/>
      <c r="Q38" s="1347" t="str">
        <f>B38</f>
        <v>宗地面积</v>
      </c>
      <c r="R38" s="705" t="s">
        <v>14</v>
      </c>
      <c r="S38" s="706" t="e">
        <f t="shared" si="10"/>
        <v>#N/A</v>
      </c>
      <c r="T38" s="705" t="s">
        <v>14</v>
      </c>
      <c r="U38" s="706" t="e">
        <f t="shared" si="11"/>
        <v>#N/A</v>
      </c>
      <c r="V38" s="705" t="s">
        <v>14</v>
      </c>
      <c r="W38" s="706" t="e">
        <f t="shared" si="12"/>
        <v>#N/A</v>
      </c>
      <c r="X38" s="1350"/>
      <c r="Y38" s="3805"/>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805"/>
      <c r="Q39" s="1347" t="str">
        <f t="shared" ref="Q39:Q45" si="14">B39</f>
        <v>宗地形状</v>
      </c>
      <c r="R39" s="705" t="s">
        <v>14</v>
      </c>
      <c r="S39" s="706">
        <f t="shared" si="10"/>
        <v>100</v>
      </c>
      <c r="T39" s="705" t="s">
        <v>14</v>
      </c>
      <c r="U39" s="706">
        <f t="shared" si="11"/>
        <v>100</v>
      </c>
      <c r="V39" s="705" t="s">
        <v>14</v>
      </c>
      <c r="W39" s="706">
        <f t="shared" si="12"/>
        <v>100</v>
      </c>
      <c r="X39" s="1350"/>
      <c r="Y39" s="3805"/>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805"/>
      <c r="Q40" s="1347" t="str">
        <f t="shared" si="14"/>
        <v>临街宽度及深度</v>
      </c>
      <c r="R40" s="705" t="s">
        <v>14</v>
      </c>
      <c r="S40" s="706">
        <f t="shared" si="10"/>
        <v>100</v>
      </c>
      <c r="T40" s="705" t="s">
        <v>14</v>
      </c>
      <c r="U40" s="706">
        <f t="shared" si="11"/>
        <v>100</v>
      </c>
      <c r="V40" s="705" t="s">
        <v>14</v>
      </c>
      <c r="W40" s="706">
        <f t="shared" si="12"/>
        <v>100</v>
      </c>
      <c r="X40" s="1350"/>
      <c r="Y40" s="3805"/>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805"/>
      <c r="Q41" s="1347" t="str">
        <f t="shared" si="14"/>
        <v>宗地开发程度</v>
      </c>
      <c r="R41" s="701" t="s">
        <v>14</v>
      </c>
      <c r="S41" s="702">
        <f t="shared" si="10"/>
        <v>100</v>
      </c>
      <c r="T41" s="701" t="s">
        <v>14</v>
      </c>
      <c r="U41" s="702">
        <f t="shared" si="11"/>
        <v>100</v>
      </c>
      <c r="V41" s="701" t="s">
        <v>14</v>
      </c>
      <c r="W41" s="702">
        <f t="shared" si="12"/>
        <v>100</v>
      </c>
      <c r="X41" s="703"/>
      <c r="Y41" s="3805"/>
      <c r="Z41" s="52" t="str">
        <f t="shared" si="13"/>
        <v>宗地开发程度</v>
      </c>
      <c r="AA41" s="704">
        <f t="shared" si="3"/>
        <v>1</v>
      </c>
      <c r="AB41" s="704">
        <f t="shared" si="4"/>
        <v>1</v>
      </c>
      <c r="AC41" s="704">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805" t="s">
        <v>1696</v>
      </c>
      <c r="Q42" s="1347" t="str">
        <f t="shared" si="14"/>
        <v>工程地质条件</v>
      </c>
      <c r="R42" s="705" t="s">
        <v>14</v>
      </c>
      <c r="S42" s="706">
        <f t="shared" si="10"/>
        <v>100</v>
      </c>
      <c r="T42" s="705" t="s">
        <v>14</v>
      </c>
      <c r="U42" s="706">
        <f t="shared" si="11"/>
        <v>100</v>
      </c>
      <c r="V42" s="705" t="s">
        <v>14</v>
      </c>
      <c r="W42" s="706">
        <f t="shared" si="12"/>
        <v>100</v>
      </c>
      <c r="X42" s="1350"/>
      <c r="Y42" s="3805" t="s">
        <v>1696</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805"/>
      <c r="Q43" s="1347">
        <f t="shared" si="14"/>
        <v>111</v>
      </c>
      <c r="R43" s="705" t="s">
        <v>14</v>
      </c>
      <c r="S43" s="706">
        <f t="shared" si="10"/>
        <v>100</v>
      </c>
      <c r="T43" s="705" t="s">
        <v>14</v>
      </c>
      <c r="U43" s="706">
        <f t="shared" si="11"/>
        <v>100</v>
      </c>
      <c r="V43" s="705" t="s">
        <v>14</v>
      </c>
      <c r="W43" s="706">
        <f t="shared" si="12"/>
        <v>100</v>
      </c>
      <c r="X43" s="1350"/>
      <c r="Y43" s="3805"/>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805"/>
      <c r="Q44" s="1347">
        <f t="shared" si="14"/>
        <v>111</v>
      </c>
      <c r="R44" s="705" t="s">
        <v>14</v>
      </c>
      <c r="S44" s="706">
        <f t="shared" si="10"/>
        <v>100</v>
      </c>
      <c r="T44" s="705" t="s">
        <v>14</v>
      </c>
      <c r="U44" s="706">
        <f t="shared" si="11"/>
        <v>100</v>
      </c>
      <c r="V44" s="705" t="s">
        <v>14</v>
      </c>
      <c r="W44" s="706">
        <f t="shared" si="12"/>
        <v>100</v>
      </c>
      <c r="X44" s="1350"/>
      <c r="Y44" s="3805"/>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805"/>
      <c r="Q45" s="1347">
        <f t="shared" si="14"/>
        <v>111</v>
      </c>
      <c r="R45" s="708" t="s">
        <v>14</v>
      </c>
      <c r="S45" s="709">
        <f t="shared" si="10"/>
        <v>100</v>
      </c>
      <c r="T45" s="708" t="s">
        <v>14</v>
      </c>
      <c r="U45" s="709">
        <f t="shared" si="11"/>
        <v>100</v>
      </c>
      <c r="V45" s="708" t="s">
        <v>14</v>
      </c>
      <c r="W45" s="709">
        <f t="shared" si="12"/>
        <v>100</v>
      </c>
      <c r="X45" s="710"/>
      <c r="Y45" s="3805"/>
      <c r="Z45" s="711">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4"/>
      <c r="L46" s="2718"/>
      <c r="M46" s="2719"/>
      <c r="N46" s="2710"/>
      <c r="O46" s="2719"/>
      <c r="P46" s="3798" t="str">
        <f>A46</f>
        <v>成交单价</v>
      </c>
      <c r="Q46" s="3798"/>
      <c r="R46" s="3793">
        <f>E46</f>
        <v>0</v>
      </c>
      <c r="S46" s="3793"/>
      <c r="T46" s="3793">
        <f>G46</f>
        <v>0</v>
      </c>
      <c r="U46" s="3793"/>
      <c r="V46" s="3793">
        <f>I46</f>
        <v>0</v>
      </c>
      <c r="W46" s="3793"/>
      <c r="X46" s="690"/>
      <c r="Y46" s="712"/>
      <c r="Z46" s="690"/>
      <c r="AA46" s="690"/>
      <c r="AB46" s="690"/>
      <c r="AC46" s="690"/>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98" t="str">
        <f>A47</f>
        <v>比较价值（元/平方米）</v>
      </c>
      <c r="Q47" s="3798"/>
      <c r="R47" s="3826" t="e">
        <f>ROUND(PRODUCT(R46,AA7:AA45),0)</f>
        <v>#DIV/0!</v>
      </c>
      <c r="S47" s="3826"/>
      <c r="T47" s="3826" t="e">
        <f>ROUND(PRODUCT(T46,AB7:AB45),0)</f>
        <v>#DIV/0!</v>
      </c>
      <c r="U47" s="3826"/>
      <c r="V47" s="3826" t="e">
        <f>ROUND(PRODUCT(V46,AC7:AC45),0)</f>
        <v>#DIV/0!</v>
      </c>
      <c r="W47" s="38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95" t="str">
        <f>A48</f>
        <v>估价对象XX用房的比较价值（楼面单价，元/平方米）</v>
      </c>
      <c r="Q48" s="3796"/>
      <c r="R48" s="3827" t="e">
        <f>ROUND(IF(D47="简单平均",AVERAGE(R47:W47),R47*F47+T47*H47+V47*J47),0)</f>
        <v>#DIV/0!</v>
      </c>
      <c r="S48" s="3827"/>
      <c r="T48" s="3827"/>
      <c r="U48" s="3827"/>
      <c r="V48" s="3827"/>
      <c r="W48" s="3827"/>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5" t="s">
        <v>1886</v>
      </c>
      <c r="G55" s="3781" t="s">
        <v>1887</v>
      </c>
      <c r="H55" s="3828"/>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9">
        <v>1</v>
      </c>
      <c r="E56" s="638">
        <f>'数据-汇总表'!E8+'数据-汇总表'!E9</f>
        <v>16589.39</v>
      </c>
      <c r="F56" s="881" t="e">
        <f t="shared" ref="F56:F64" si="15">ROUND(B56*E56/10000,0)</f>
        <v>#DIV/0!</v>
      </c>
      <c r="G56" s="3780"/>
      <c r="H56" s="3798"/>
      <c r="I56" s="886">
        <v>1</v>
      </c>
      <c r="J56" s="889">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0">
        <v>0.25</v>
      </c>
      <c r="E57" s="642"/>
      <c r="F57" s="881" t="e">
        <f t="shared" si="15"/>
        <v>#DIV/0!</v>
      </c>
      <c r="G57" s="3000" t="s">
        <v>1892</v>
      </c>
      <c r="H57" s="882" t="str">
        <f>项目基本情况!B37</f>
        <v>一级</v>
      </c>
      <c r="I57" s="886">
        <f>SUMIF(修正!A57:A68,H57,修正!B57:B68)</f>
        <v>0.7</v>
      </c>
      <c r="J57" s="890"/>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0">
        <v>0.25</v>
      </c>
      <c r="E58" s="642"/>
      <c r="F58" s="881" t="e">
        <f t="shared" si="15"/>
        <v>#DIV/0!</v>
      </c>
      <c r="G58" s="3001"/>
      <c r="H58" s="882" t="str">
        <f>项目基本情况!B37</f>
        <v>一级</v>
      </c>
      <c r="I58" s="886">
        <f>SUMIF(修正!A57:A68,H58,修正!C57:C68)</f>
        <v>0.4</v>
      </c>
      <c r="J58" s="890"/>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0">
        <v>0.25</v>
      </c>
      <c r="E59" s="642"/>
      <c r="F59" s="881" t="e">
        <f t="shared" si="15"/>
        <v>#DIV/0!</v>
      </c>
      <c r="G59" s="3001"/>
      <c r="H59" s="882" t="str">
        <f>项目基本情况!B37</f>
        <v>一级</v>
      </c>
      <c r="I59" s="886">
        <f>SUMIF(修正!A57:A68,H59,修正!D57:D68)</f>
        <v>0.3</v>
      </c>
      <c r="J59" s="890"/>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0">
        <v>0.25</v>
      </c>
      <c r="E60" s="217">
        <f>'数据-汇总表'!E11</f>
        <v>0</v>
      </c>
      <c r="F60" s="881" t="e">
        <f t="shared" si="15"/>
        <v>#DIV/0!</v>
      </c>
      <c r="G60" s="1982" t="s">
        <v>1896</v>
      </c>
      <c r="H60" s="882" t="str">
        <f>项目基本情况!C37</f>
        <v>一级</v>
      </c>
      <c r="I60" s="886">
        <f>SUMIF(修正!A57:A68,H60,修正!E57:E68)</f>
        <v>0.3</v>
      </c>
      <c r="J60" s="890"/>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0">
        <v>0.25</v>
      </c>
      <c r="E61" s="217">
        <f>'数据-汇总表'!E12</f>
        <v>0</v>
      </c>
      <c r="F61" s="881" t="e">
        <f t="shared" si="15"/>
        <v>#DIV/0!</v>
      </c>
      <c r="G61" s="887" t="s">
        <v>1898</v>
      </c>
      <c r="H61" s="882" t="str">
        <f>IF(G61="商业",项目基本情况!B37,IF(G61="办公",项目基本情况!C37,IF(G61="住宅",项目基本情况!D37,项目基本情况!E37)))</f>
        <v>一级</v>
      </c>
      <c r="I61" s="886">
        <f>SUMIF(修正!A57:A68,H61,修正!F57:F68)</f>
        <v>0.3</v>
      </c>
      <c r="J61" s="890"/>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0">
        <v>0.25</v>
      </c>
      <c r="E63" s="217">
        <f>'数据-汇总表'!E14</f>
        <v>0</v>
      </c>
      <c r="F63" s="881" t="e">
        <f t="shared" si="15"/>
        <v>#DIV/0!</v>
      </c>
      <c r="G63" s="1982" t="s">
        <v>1892</v>
      </c>
      <c r="H63" s="882" t="str">
        <f>项目基本情况!B37</f>
        <v>一级</v>
      </c>
      <c r="I63" s="886">
        <f>SUMIF(修正!A57:A68,H63,修正!G57:G68)</f>
        <v>0.2</v>
      </c>
      <c r="J63" s="890"/>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0">
        <v>0.25</v>
      </c>
      <c r="E64" s="217">
        <f>'数据-汇总表'!E15</f>
        <v>0</v>
      </c>
      <c r="F64" s="881" t="e">
        <f t="shared" si="15"/>
        <v>#DIV/0!</v>
      </c>
      <c r="G64" s="1983" t="s">
        <v>1896</v>
      </c>
      <c r="H64" s="892" t="str">
        <f>项目基本情况!C37</f>
        <v>一级</v>
      </c>
      <c r="I64" s="888">
        <f>SUMIF(修正!A57:A68,H64,修正!G57:G68)</f>
        <v>0.2</v>
      </c>
      <c r="J64" s="891"/>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16589.39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2"/>
      <c r="K66" s="883"/>
      <c r="L66" s="884"/>
      <c r="M66" s="922"/>
      <c r="N66" s="922"/>
      <c r="O66" s="922"/>
      <c r="P66" s="2719"/>
      <c r="Q66" s="2719"/>
      <c r="R66" s="2719"/>
      <c r="S66" s="2719"/>
      <c r="T66" s="2719"/>
      <c r="U66" s="2719"/>
      <c r="V66" s="2719"/>
      <c r="W66" s="2719"/>
      <c r="X66" s="2719"/>
      <c r="Y66" s="2719"/>
      <c r="Z66" s="2719"/>
      <c r="AA66" s="2719"/>
      <c r="AB66" s="2719"/>
      <c r="AC66" s="2719"/>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4"/>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81" t="s">
        <v>1770</v>
      </c>
      <c r="D4" s="3782"/>
      <c r="E4" s="3783" t="s">
        <v>1771</v>
      </c>
      <c r="F4" s="3784"/>
      <c r="G4" s="3781" t="s">
        <v>1772</v>
      </c>
      <c r="H4" s="3782"/>
      <c r="I4" s="3781" t="s">
        <v>1773</v>
      </c>
      <c r="J4" s="3782"/>
      <c r="K4" s="559" t="s">
        <v>1774</v>
      </c>
      <c r="L4" s="2709"/>
      <c r="M4" s="2710"/>
      <c r="N4" s="2710"/>
      <c r="O4" s="2710"/>
      <c r="P4" s="3785" t="s">
        <v>1775</v>
      </c>
      <c r="Q4" s="3786"/>
      <c r="R4" s="3768" t="s">
        <v>1771</v>
      </c>
      <c r="S4" s="3769"/>
      <c r="T4" s="3768" t="s">
        <v>1772</v>
      </c>
      <c r="U4" s="3769"/>
      <c r="V4" s="3793" t="s">
        <v>1773</v>
      </c>
      <c r="W4" s="3793"/>
      <c r="X4" s="1350"/>
      <c r="Y4" s="3768" t="s">
        <v>1775</v>
      </c>
      <c r="Z4" s="3769"/>
      <c r="AA4" s="3763" t="s">
        <v>1771</v>
      </c>
      <c r="AB4" s="3764" t="s">
        <v>1772</v>
      </c>
      <c r="AC4" s="3763" t="s">
        <v>1773</v>
      </c>
    </row>
    <row r="5" spans="1:29" ht="15">
      <c r="A5" s="358"/>
      <c r="B5" s="359"/>
      <c r="C5" s="3774" t="s">
        <v>1673</v>
      </c>
      <c r="D5" s="3775"/>
      <c r="E5" s="3772" t="s">
        <v>1674</v>
      </c>
      <c r="F5" s="3773"/>
      <c r="G5" s="3774" t="s">
        <v>1675</v>
      </c>
      <c r="H5" s="3775"/>
      <c r="I5" s="3774" t="s">
        <v>1676</v>
      </c>
      <c r="J5" s="3775"/>
      <c r="K5" s="559"/>
      <c r="L5" s="2709"/>
      <c r="M5" s="2710"/>
      <c r="N5" s="2710"/>
      <c r="O5" s="2710"/>
      <c r="P5" s="3787"/>
      <c r="Q5" s="3788"/>
      <c r="R5" s="3770"/>
      <c r="S5" s="3771"/>
      <c r="T5" s="3770"/>
      <c r="U5" s="3771"/>
      <c r="V5" s="3793"/>
      <c r="W5" s="3793"/>
      <c r="X5" s="1350"/>
      <c r="Y5" s="3770"/>
      <c r="Z5" s="3771"/>
      <c r="AA5" s="3764"/>
      <c r="AB5" s="3764"/>
      <c r="AC5" s="3764"/>
    </row>
    <row r="6" spans="1:29" ht="15.75" thickBot="1">
      <c r="A6" s="360"/>
      <c r="B6" s="361"/>
      <c r="C6" s="3829" t="s">
        <v>1919</v>
      </c>
      <c r="D6" s="3830"/>
      <c r="E6" s="3831" t="s">
        <v>1919</v>
      </c>
      <c r="F6" s="3832"/>
      <c r="G6" s="3829" t="s">
        <v>1919</v>
      </c>
      <c r="H6" s="3830"/>
      <c r="I6" s="3829" t="s">
        <v>1919</v>
      </c>
      <c r="J6" s="3830"/>
      <c r="K6" s="559" t="s">
        <v>1678</v>
      </c>
      <c r="L6" s="2709"/>
      <c r="M6" s="2710"/>
      <c r="N6" s="2710"/>
      <c r="O6" s="2710"/>
      <c r="P6" s="3789"/>
      <c r="Q6" s="3790"/>
      <c r="R6" s="3770"/>
      <c r="S6" s="3771"/>
      <c r="T6" s="3791"/>
      <c r="U6" s="3792"/>
      <c r="V6" s="3793"/>
      <c r="W6" s="3793"/>
      <c r="X6" s="1350"/>
      <c r="Y6" s="3791"/>
      <c r="Z6" s="3792"/>
      <c r="AA6" s="3765"/>
      <c r="AB6" s="3765"/>
      <c r="AC6" s="3765"/>
    </row>
    <row r="7" spans="1:29" s="108" customFormat="1" ht="15.75" thickBot="1">
      <c r="A7" s="362" t="s">
        <v>1679</v>
      </c>
      <c r="B7" s="363"/>
      <c r="C7" s="364">
        <f>'数据-取费表'!B2</f>
        <v>45485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766" t="s">
        <v>1680</v>
      </c>
      <c r="Q7" s="3794"/>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66" t="s">
        <v>1683</v>
      </c>
      <c r="Q8" s="3767"/>
      <c r="R8" s="701" t="s">
        <v>14</v>
      </c>
      <c r="S8" s="702">
        <f t="shared" si="0"/>
        <v>0</v>
      </c>
      <c r="T8" s="701" t="s">
        <v>14</v>
      </c>
      <c r="U8" s="702">
        <f t="shared" si="1"/>
        <v>0</v>
      </c>
      <c r="V8" s="701" t="s">
        <v>14</v>
      </c>
      <c r="W8" s="702">
        <f t="shared" si="2"/>
        <v>0</v>
      </c>
      <c r="X8" s="703"/>
      <c r="Y8" s="3766" t="s">
        <v>1683</v>
      </c>
      <c r="Z8" s="3767"/>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98" t="s">
        <v>1686</v>
      </c>
      <c r="Q9" s="1338" t="str">
        <f t="shared" ref="Q9:Q15" si="6">B9</f>
        <v>用途</v>
      </c>
      <c r="R9" s="701" t="s">
        <v>14</v>
      </c>
      <c r="S9" s="702">
        <f t="shared" si="0"/>
        <v>100</v>
      </c>
      <c r="T9" s="701" t="s">
        <v>14</v>
      </c>
      <c r="U9" s="702">
        <f t="shared" si="1"/>
        <v>100</v>
      </c>
      <c r="V9" s="701" t="s">
        <v>14</v>
      </c>
      <c r="W9" s="702">
        <f t="shared" si="2"/>
        <v>100</v>
      </c>
      <c r="X9" s="703"/>
      <c r="Y9" s="369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3"/>
      <c r="M10" s="2714"/>
      <c r="N10" s="2714"/>
      <c r="O10" s="2767"/>
      <c r="P10" s="3798"/>
      <c r="Q10" s="1338" t="str">
        <f t="shared" si="6"/>
        <v>土地使用年限（年）</v>
      </c>
      <c r="R10" s="701" t="s">
        <v>14</v>
      </c>
      <c r="S10" s="702">
        <f t="shared" si="0"/>
        <v>150</v>
      </c>
      <c r="T10" s="701" t="s">
        <v>14</v>
      </c>
      <c r="U10" s="702">
        <f t="shared" si="1"/>
        <v>150</v>
      </c>
      <c r="V10" s="701" t="s">
        <v>14</v>
      </c>
      <c r="W10" s="702">
        <f t="shared" si="2"/>
        <v>150</v>
      </c>
      <c r="X10" s="703"/>
      <c r="Y10" s="3691"/>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98"/>
      <c r="Q11" s="1338" t="str">
        <f t="shared" si="6"/>
        <v>容积率</v>
      </c>
      <c r="R11" s="701" t="s">
        <v>14</v>
      </c>
      <c r="S11" s="702" t="e">
        <f t="shared" si="0"/>
        <v>#N/A</v>
      </c>
      <c r="T11" s="701" t="s">
        <v>14</v>
      </c>
      <c r="U11" s="702" t="e">
        <f t="shared" si="1"/>
        <v>#N/A</v>
      </c>
      <c r="V11" s="701" t="s">
        <v>14</v>
      </c>
      <c r="W11" s="702" t="e">
        <f t="shared" si="2"/>
        <v>#N/A</v>
      </c>
      <c r="X11" s="703"/>
      <c r="Y11" s="3691"/>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98"/>
      <c r="Q12" s="1338">
        <f t="shared" si="6"/>
        <v>111</v>
      </c>
      <c r="R12" s="701" t="s">
        <v>14</v>
      </c>
      <c r="S12" s="702">
        <f t="shared" si="0"/>
        <v>100</v>
      </c>
      <c r="T12" s="701" t="s">
        <v>14</v>
      </c>
      <c r="U12" s="702">
        <f t="shared" si="1"/>
        <v>100</v>
      </c>
      <c r="V12" s="701" t="s">
        <v>14</v>
      </c>
      <c r="W12" s="702">
        <f t="shared" si="2"/>
        <v>100</v>
      </c>
      <c r="X12" s="703"/>
      <c r="Y12" s="3691"/>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98"/>
      <c r="Q13" s="1338">
        <f t="shared" si="6"/>
        <v>111</v>
      </c>
      <c r="R13" s="701" t="s">
        <v>14</v>
      </c>
      <c r="S13" s="702">
        <f t="shared" si="0"/>
        <v>100</v>
      </c>
      <c r="T13" s="701" t="s">
        <v>14</v>
      </c>
      <c r="U13" s="702">
        <f t="shared" si="1"/>
        <v>100</v>
      </c>
      <c r="V13" s="701" t="s">
        <v>14</v>
      </c>
      <c r="W13" s="702">
        <f t="shared" si="2"/>
        <v>100</v>
      </c>
      <c r="X13" s="703"/>
      <c r="Y13" s="3691"/>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98"/>
      <c r="Q14" s="1338">
        <f t="shared" si="6"/>
        <v>111</v>
      </c>
      <c r="R14" s="701" t="s">
        <v>14</v>
      </c>
      <c r="S14" s="702">
        <f t="shared" si="0"/>
        <v>100</v>
      </c>
      <c r="T14" s="701" t="s">
        <v>14</v>
      </c>
      <c r="U14" s="702">
        <f t="shared" si="1"/>
        <v>100</v>
      </c>
      <c r="V14" s="701" t="s">
        <v>14</v>
      </c>
      <c r="W14" s="702">
        <f t="shared" si="2"/>
        <v>100</v>
      </c>
      <c r="X14" s="703"/>
      <c r="Y14" s="3691"/>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800" t="s">
        <v>1691</v>
      </c>
      <c r="Q15" s="1347" t="str">
        <f t="shared" si="6"/>
        <v>产业集聚程度</v>
      </c>
      <c r="R15" s="705" t="s">
        <v>14</v>
      </c>
      <c r="S15" s="706">
        <f t="shared" si="0"/>
        <v>100</v>
      </c>
      <c r="T15" s="705" t="s">
        <v>14</v>
      </c>
      <c r="U15" s="706">
        <f t="shared" si="1"/>
        <v>100</v>
      </c>
      <c r="V15" s="705" t="s">
        <v>14</v>
      </c>
      <c r="W15" s="706">
        <f t="shared" si="2"/>
        <v>100</v>
      </c>
      <c r="X15" s="1350"/>
      <c r="Y15" s="3800"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6"/>
      <c r="M16" s="2710"/>
      <c r="N16" s="2710"/>
      <c r="O16" s="2768"/>
      <c r="P16" s="3801"/>
      <c r="Q16" s="1347"/>
      <c r="R16" s="705"/>
      <c r="S16" s="706"/>
      <c r="T16" s="705"/>
      <c r="U16" s="706"/>
      <c r="V16" s="705"/>
      <c r="W16" s="706"/>
      <c r="X16" s="1350"/>
      <c r="Y16" s="3801"/>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801"/>
      <c r="Q17" s="1347" t="str">
        <f>B17</f>
        <v>交通便捷度</v>
      </c>
      <c r="R17" s="705" t="s">
        <v>14</v>
      </c>
      <c r="S17" s="706">
        <f>F17</f>
        <v>100</v>
      </c>
      <c r="T17" s="705" t="s">
        <v>14</v>
      </c>
      <c r="U17" s="706">
        <f>H17</f>
        <v>100</v>
      </c>
      <c r="V17" s="705" t="s">
        <v>14</v>
      </c>
      <c r="W17" s="706">
        <f>J17</f>
        <v>100</v>
      </c>
      <c r="X17" s="1350"/>
      <c r="Y17" s="3801"/>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6"/>
      <c r="M18" s="2710"/>
      <c r="N18" s="2710"/>
      <c r="O18" s="2768"/>
      <c r="P18" s="3801"/>
      <c r="Q18" s="1347"/>
      <c r="R18" s="705"/>
      <c r="S18" s="706"/>
      <c r="T18" s="705"/>
      <c r="U18" s="706"/>
      <c r="V18" s="705"/>
      <c r="W18" s="706"/>
      <c r="X18" s="1350"/>
      <c r="Y18" s="3801"/>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801"/>
      <c r="Q19" s="1347" t="str">
        <f t="shared" ref="Q19:Q33" si="8">B19</f>
        <v>区域土地利用方向</v>
      </c>
      <c r="R19" s="705" t="s">
        <v>14</v>
      </c>
      <c r="S19" s="706">
        <f>F19</f>
        <v>100</v>
      </c>
      <c r="T19" s="705" t="s">
        <v>14</v>
      </c>
      <c r="U19" s="706">
        <f>H19</f>
        <v>100</v>
      </c>
      <c r="V19" s="705" t="s">
        <v>14</v>
      </c>
      <c r="W19" s="706">
        <f>J19</f>
        <v>100</v>
      </c>
      <c r="X19" s="1350"/>
      <c r="Y19" s="3801"/>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5"/>
      <c r="L20" s="2716"/>
      <c r="M20" s="2710"/>
      <c r="N20" s="2710"/>
      <c r="O20" s="2768"/>
      <c r="P20" s="3801"/>
      <c r="Q20" s="1347"/>
      <c r="R20" s="705"/>
      <c r="S20" s="706"/>
      <c r="T20" s="705"/>
      <c r="U20" s="706"/>
      <c r="V20" s="705"/>
      <c r="W20" s="706"/>
      <c r="X20" s="1350"/>
      <c r="Y20" s="3801"/>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801"/>
      <c r="Q21" s="1347" t="str">
        <f t="shared" si="8"/>
        <v>环境状况</v>
      </c>
      <c r="R21" s="705" t="s">
        <v>14</v>
      </c>
      <c r="S21" s="706">
        <f>F21</f>
        <v>100</v>
      </c>
      <c r="T21" s="705" t="s">
        <v>14</v>
      </c>
      <c r="U21" s="706">
        <f>H21</f>
        <v>100</v>
      </c>
      <c r="V21" s="705" t="s">
        <v>14</v>
      </c>
      <c r="W21" s="706">
        <f>J21</f>
        <v>100</v>
      </c>
      <c r="X21" s="1350"/>
      <c r="Y21" s="3801"/>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6"/>
      <c r="M22" s="2710"/>
      <c r="N22" s="2710"/>
      <c r="O22" s="2768"/>
      <c r="P22" s="3801"/>
      <c r="Q22" s="1347"/>
      <c r="R22" s="705"/>
      <c r="S22" s="706"/>
      <c r="T22" s="705"/>
      <c r="U22" s="706"/>
      <c r="V22" s="705"/>
      <c r="W22" s="706"/>
      <c r="X22" s="1350"/>
      <c r="Y22" s="3801"/>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801"/>
      <c r="Q23" s="1338" t="str">
        <f t="shared" si="8"/>
        <v>公共配套设施</v>
      </c>
      <c r="R23" s="701" t="s">
        <v>14</v>
      </c>
      <c r="S23" s="702">
        <f>F23</f>
        <v>100</v>
      </c>
      <c r="T23" s="701" t="s">
        <v>14</v>
      </c>
      <c r="U23" s="702">
        <f>H23</f>
        <v>100</v>
      </c>
      <c r="V23" s="701" t="s">
        <v>14</v>
      </c>
      <c r="W23" s="702">
        <f>J23</f>
        <v>100</v>
      </c>
      <c r="X23" s="703"/>
      <c r="Y23" s="3801"/>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1"/>
      <c r="M24" s="2712"/>
      <c r="N24" s="2712"/>
      <c r="O24" s="2766"/>
      <c r="P24" s="3801"/>
      <c r="Q24" s="1338"/>
      <c r="R24" s="701"/>
      <c r="S24" s="702"/>
      <c r="T24" s="701"/>
      <c r="U24" s="702"/>
      <c r="V24" s="701"/>
      <c r="W24" s="702"/>
      <c r="X24" s="703"/>
      <c r="Y24" s="3801"/>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801"/>
      <c r="Q25" s="1338" t="str">
        <f t="shared" ref="Q25" si="9">B25</f>
        <v>基础设施水平</v>
      </c>
      <c r="R25" s="701" t="s">
        <v>14</v>
      </c>
      <c r="S25" s="702">
        <f>F25</f>
        <v>100</v>
      </c>
      <c r="T25" s="701" t="s">
        <v>14</v>
      </c>
      <c r="U25" s="702">
        <f>H25</f>
        <v>100</v>
      </c>
      <c r="V25" s="701" t="s">
        <v>14</v>
      </c>
      <c r="W25" s="702">
        <f>J25</f>
        <v>100</v>
      </c>
      <c r="X25" s="703"/>
      <c r="Y25" s="3801"/>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1"/>
      <c r="M26" s="2712"/>
      <c r="N26" s="2712"/>
      <c r="O26" s="2766"/>
      <c r="P26" s="3801"/>
      <c r="Q26" s="1338"/>
      <c r="R26" s="701"/>
      <c r="S26" s="702"/>
      <c r="T26" s="701"/>
      <c r="U26" s="702"/>
      <c r="V26" s="701"/>
      <c r="W26" s="702"/>
      <c r="X26" s="703"/>
      <c r="Y26" s="38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801"/>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801"/>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801"/>
      <c r="Q28" s="1347" t="str">
        <f t="shared" si="8"/>
        <v>毗邻道路的类型与等级</v>
      </c>
      <c r="R28" s="705" t="s">
        <v>14</v>
      </c>
      <c r="S28" s="706">
        <f t="shared" si="10"/>
        <v>100</v>
      </c>
      <c r="T28" s="705" t="s">
        <v>14</v>
      </c>
      <c r="U28" s="706">
        <f t="shared" si="11"/>
        <v>100</v>
      </c>
      <c r="V28" s="705" t="s">
        <v>14</v>
      </c>
      <c r="W28" s="706">
        <f t="shared" si="12"/>
        <v>100</v>
      </c>
      <c r="X28" s="1350"/>
      <c r="Y28" s="3801"/>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801"/>
      <c r="Q29" s="1347"/>
      <c r="R29" s="705"/>
      <c r="S29" s="706"/>
      <c r="T29" s="705"/>
      <c r="U29" s="706"/>
      <c r="V29" s="705"/>
      <c r="W29" s="706"/>
      <c r="X29" s="1350"/>
      <c r="Y29" s="3801"/>
      <c r="Z29" s="1351"/>
      <c r="AA29" s="1348">
        <v>1</v>
      </c>
      <c r="AB29" s="1348">
        <v>1</v>
      </c>
      <c r="AC29" s="1348">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801"/>
      <c r="Q30" s="1347" t="str">
        <f t="shared" si="8"/>
        <v>土地级别</v>
      </c>
      <c r="R30" s="705" t="s">
        <v>14</v>
      </c>
      <c r="S30" s="706">
        <f t="shared" si="10"/>
        <v>100</v>
      </c>
      <c r="T30" s="705" t="s">
        <v>14</v>
      </c>
      <c r="U30" s="706">
        <f t="shared" si="11"/>
        <v>100</v>
      </c>
      <c r="V30" s="705" t="s">
        <v>14</v>
      </c>
      <c r="W30" s="706">
        <f t="shared" si="12"/>
        <v>100</v>
      </c>
      <c r="X30" s="1350"/>
      <c r="Y30" s="3801"/>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801"/>
      <c r="Q31" s="1347">
        <f t="shared" si="8"/>
        <v>111</v>
      </c>
      <c r="R31" s="705" t="s">
        <v>14</v>
      </c>
      <c r="S31" s="706">
        <f t="shared" si="10"/>
        <v>100</v>
      </c>
      <c r="T31" s="705" t="s">
        <v>14</v>
      </c>
      <c r="U31" s="706">
        <f t="shared" si="11"/>
        <v>100</v>
      </c>
      <c r="V31" s="705" t="s">
        <v>14</v>
      </c>
      <c r="W31" s="706">
        <f t="shared" si="12"/>
        <v>100</v>
      </c>
      <c r="X31" s="1350"/>
      <c r="Y31" s="3801"/>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24" t="s">
        <v>1696</v>
      </c>
      <c r="Q32" s="1347">
        <f t="shared" si="8"/>
        <v>111</v>
      </c>
      <c r="R32" s="705" t="s">
        <v>14</v>
      </c>
      <c r="S32" s="706">
        <f t="shared" si="10"/>
        <v>100</v>
      </c>
      <c r="T32" s="705" t="s">
        <v>14</v>
      </c>
      <c r="U32" s="706">
        <f t="shared" si="11"/>
        <v>100</v>
      </c>
      <c r="V32" s="705" t="s">
        <v>14</v>
      </c>
      <c r="W32" s="706">
        <f t="shared" si="12"/>
        <v>100</v>
      </c>
      <c r="X32" s="1350"/>
      <c r="Y32" s="3805"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805"/>
      <c r="Q33" s="1347">
        <f t="shared" si="8"/>
        <v>111</v>
      </c>
      <c r="R33" s="708" t="s">
        <v>14</v>
      </c>
      <c r="S33" s="709">
        <f t="shared" si="10"/>
        <v>100</v>
      </c>
      <c r="T33" s="708" t="s">
        <v>14</v>
      </c>
      <c r="U33" s="709">
        <f t="shared" si="11"/>
        <v>100</v>
      </c>
      <c r="V33" s="708" t="s">
        <v>14</v>
      </c>
      <c r="W33" s="709">
        <f t="shared" si="12"/>
        <v>100</v>
      </c>
      <c r="X33" s="710"/>
      <c r="Y33" s="3805"/>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805"/>
      <c r="Q34" s="1347" t="str">
        <f>B34</f>
        <v>宗地面积</v>
      </c>
      <c r="R34" s="705" t="s">
        <v>14</v>
      </c>
      <c r="S34" s="706" t="e">
        <f t="shared" si="10"/>
        <v>#N/A</v>
      </c>
      <c r="T34" s="705" t="s">
        <v>14</v>
      </c>
      <c r="U34" s="706" t="e">
        <f t="shared" si="11"/>
        <v>#N/A</v>
      </c>
      <c r="V34" s="705" t="s">
        <v>14</v>
      </c>
      <c r="W34" s="706" t="e">
        <f t="shared" si="12"/>
        <v>#N/A</v>
      </c>
      <c r="X34" s="1350"/>
      <c r="Y34" s="3805"/>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6"/>
      <c r="M35" s="2710"/>
      <c r="N35" s="2710"/>
      <c r="O35" s="2768"/>
      <c r="P35" s="3805"/>
      <c r="Q35" s="1347" t="str">
        <f t="shared" ref="Q35:Q40" si="14">B35</f>
        <v>宗地形状</v>
      </c>
      <c r="R35" s="705" t="s">
        <v>14</v>
      </c>
      <c r="S35" s="706">
        <f t="shared" si="10"/>
        <v>100</v>
      </c>
      <c r="T35" s="705" t="s">
        <v>14</v>
      </c>
      <c r="U35" s="706">
        <f t="shared" si="11"/>
        <v>100</v>
      </c>
      <c r="V35" s="705" t="s">
        <v>14</v>
      </c>
      <c r="W35" s="706">
        <f t="shared" si="12"/>
        <v>100</v>
      </c>
      <c r="X35" s="1350"/>
      <c r="Y35" s="3805"/>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805"/>
      <c r="Q36" s="1347" t="str">
        <f t="shared" si="14"/>
        <v>宗地开发程度</v>
      </c>
      <c r="R36" s="701" t="s">
        <v>14</v>
      </c>
      <c r="S36" s="702">
        <f t="shared" si="10"/>
        <v>100</v>
      </c>
      <c r="T36" s="701" t="s">
        <v>14</v>
      </c>
      <c r="U36" s="702">
        <f t="shared" si="11"/>
        <v>100</v>
      </c>
      <c r="V36" s="701" t="s">
        <v>14</v>
      </c>
      <c r="W36" s="702">
        <f t="shared" si="12"/>
        <v>100</v>
      </c>
      <c r="X36" s="703"/>
      <c r="Y36" s="3805"/>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6"/>
      <c r="M37" s="2710"/>
      <c r="N37" s="2710"/>
      <c r="O37" s="2768"/>
      <c r="P37" s="3805" t="s">
        <v>1696</v>
      </c>
      <c r="Q37" s="1347" t="str">
        <f t="shared" si="14"/>
        <v>工程地质条件</v>
      </c>
      <c r="R37" s="705" t="s">
        <v>14</v>
      </c>
      <c r="S37" s="706">
        <f t="shared" si="10"/>
        <v>100</v>
      </c>
      <c r="T37" s="705" t="s">
        <v>14</v>
      </c>
      <c r="U37" s="706">
        <f t="shared" si="11"/>
        <v>100</v>
      </c>
      <c r="V37" s="705" t="s">
        <v>14</v>
      </c>
      <c r="W37" s="706">
        <f t="shared" si="12"/>
        <v>100</v>
      </c>
      <c r="X37" s="1350"/>
      <c r="Y37" s="3805" t="s">
        <v>1696</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805"/>
      <c r="Q38" s="1347">
        <f t="shared" si="14"/>
        <v>111</v>
      </c>
      <c r="R38" s="705" t="s">
        <v>14</v>
      </c>
      <c r="S38" s="706">
        <f t="shared" si="10"/>
        <v>100</v>
      </c>
      <c r="T38" s="705" t="s">
        <v>14</v>
      </c>
      <c r="U38" s="706">
        <f t="shared" si="11"/>
        <v>100</v>
      </c>
      <c r="V38" s="705" t="s">
        <v>14</v>
      </c>
      <c r="W38" s="706">
        <f t="shared" si="12"/>
        <v>100</v>
      </c>
      <c r="X38" s="1350"/>
      <c r="Y38" s="3805"/>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805"/>
      <c r="Q39" s="1347">
        <f t="shared" si="14"/>
        <v>111</v>
      </c>
      <c r="R39" s="705" t="s">
        <v>14</v>
      </c>
      <c r="S39" s="706">
        <f t="shared" si="10"/>
        <v>100</v>
      </c>
      <c r="T39" s="705" t="s">
        <v>14</v>
      </c>
      <c r="U39" s="706">
        <f t="shared" si="11"/>
        <v>100</v>
      </c>
      <c r="V39" s="705" t="s">
        <v>14</v>
      </c>
      <c r="W39" s="706">
        <f t="shared" si="12"/>
        <v>100</v>
      </c>
      <c r="X39" s="1350"/>
      <c r="Y39" s="3805"/>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805"/>
      <c r="Q40" s="1347">
        <f t="shared" si="14"/>
        <v>111</v>
      </c>
      <c r="R40" s="708" t="s">
        <v>14</v>
      </c>
      <c r="S40" s="709">
        <f t="shared" si="10"/>
        <v>100</v>
      </c>
      <c r="T40" s="708" t="s">
        <v>14</v>
      </c>
      <c r="U40" s="709">
        <f t="shared" si="11"/>
        <v>100</v>
      </c>
      <c r="V40" s="708" t="s">
        <v>14</v>
      </c>
      <c r="W40" s="709">
        <f t="shared" si="12"/>
        <v>100</v>
      </c>
      <c r="X40" s="710"/>
      <c r="Y40" s="3805"/>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8"/>
      <c r="M41" s="2710"/>
      <c r="N41" s="2710"/>
      <c r="O41" s="2719"/>
      <c r="P41" s="3798" t="str">
        <f>A41</f>
        <v>成交单价</v>
      </c>
      <c r="Q41" s="3798"/>
      <c r="R41" s="3793">
        <f>E41</f>
        <v>0</v>
      </c>
      <c r="S41" s="3793"/>
      <c r="T41" s="3793">
        <f>G41</f>
        <v>0</v>
      </c>
      <c r="U41" s="3793"/>
      <c r="V41" s="3793">
        <f>I41</f>
        <v>0</v>
      </c>
      <c r="W41" s="3793"/>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98" t="str">
        <f>A42</f>
        <v>比较价值（元/平方米）</v>
      </c>
      <c r="Q42" s="3798"/>
      <c r="R42" s="3826" t="e">
        <f>ROUND(PRODUCT(R41,AA7:AA40),0)</f>
        <v>#DIV/0!</v>
      </c>
      <c r="S42" s="3826"/>
      <c r="T42" s="3826" t="e">
        <f>ROUND(PRODUCT(T41,AB7:AB40),0)</f>
        <v>#DIV/0!</v>
      </c>
      <c r="U42" s="3826"/>
      <c r="V42" s="3826" t="e">
        <f>ROUND(PRODUCT(V41,AC7:AC40),0)</f>
        <v>#DIV/0!</v>
      </c>
      <c r="W42" s="38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95" t="str">
        <f>A43</f>
        <v>估价对象XX用房的比较价值（楼面单价，元/平方米）</v>
      </c>
      <c r="Q43" s="3796"/>
      <c r="R43" s="3827" t="e">
        <f>ROUND(IF(D42="简单平均",AVERAGE(R42:W42),R42*F42+T42*H42+V42*J42),0)</f>
        <v>#DIV/0!</v>
      </c>
      <c r="S43" s="3827"/>
      <c r="T43" s="3827"/>
      <c r="U43" s="3827"/>
      <c r="V43" s="3827"/>
      <c r="W43" s="3827"/>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781" t="s">
        <v>1887</v>
      </c>
      <c r="H50" s="3828"/>
      <c r="I50" s="1351" t="s">
        <v>1923</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9">
        <v>1</v>
      </c>
      <c r="E51" s="638">
        <f>'数据-汇总表'!E8+'数据-汇总表'!E9</f>
        <v>16589.39</v>
      </c>
      <c r="F51" s="639" t="e">
        <f t="shared" ref="F51:F60" si="15">ROUND(B51*E51/10000,0)</f>
        <v>#DIV/0!</v>
      </c>
      <c r="G51" s="3780"/>
      <c r="H51" s="3798"/>
      <c r="I51" s="768">
        <v>1</v>
      </c>
      <c r="J51" s="768">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0">
        <v>0.25</v>
      </c>
      <c r="E52" s="642"/>
      <c r="F52" s="639" t="e">
        <f t="shared" si="15"/>
        <v>#DIV/0!</v>
      </c>
      <c r="G52" s="3000" t="s">
        <v>1892</v>
      </c>
      <c r="H52" s="882" t="str">
        <f>项目基本情况!B37</f>
        <v>一级</v>
      </c>
      <c r="I52" s="768">
        <f>SUMIF(修正!A57:A68,H52,修正!B57:B68)</f>
        <v>0.7</v>
      </c>
      <c r="J52" s="769"/>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0">
        <v>0.25</v>
      </c>
      <c r="E53" s="642"/>
      <c r="F53" s="639" t="e">
        <f t="shared" si="15"/>
        <v>#DIV/0!</v>
      </c>
      <c r="G53" s="3001"/>
      <c r="H53" s="882" t="str">
        <f>项目基本情况!B37</f>
        <v>一级</v>
      </c>
      <c r="I53" s="768">
        <f>SUMIF(修正!A57:A68,H53,修正!C57:C68)</f>
        <v>0.4</v>
      </c>
      <c r="J53" s="769"/>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0">
        <v>0.25</v>
      </c>
      <c r="E54" s="642"/>
      <c r="F54" s="639" t="e">
        <f t="shared" si="15"/>
        <v>#DIV/0!</v>
      </c>
      <c r="G54" s="3001"/>
      <c r="H54" s="882" t="str">
        <f>项目基本情况!B37</f>
        <v>一级</v>
      </c>
      <c r="I54" s="768">
        <f>SUMIF(修正!A57:A68,H54,修正!D57:D68)</f>
        <v>0.3</v>
      </c>
      <c r="J54" s="769"/>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2"/>
      <c r="I55" s="768"/>
      <c r="J55" s="769"/>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0">
        <v>0.25</v>
      </c>
      <c r="E56" s="217">
        <f>'数据-汇总表'!E11</f>
        <v>0</v>
      </c>
      <c r="F56" s="639" t="e">
        <f t="shared" si="15"/>
        <v>#DIV/0!</v>
      </c>
      <c r="G56" s="1982" t="s">
        <v>1896</v>
      </c>
      <c r="H56" s="882" t="str">
        <f>项目基本情况!C37</f>
        <v>一级</v>
      </c>
      <c r="I56" s="768">
        <f>SUMIF(修正!A57:A68,H56,修正!E57:E68)</f>
        <v>0.3</v>
      </c>
      <c r="J56" s="769"/>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0">
        <v>0.25</v>
      </c>
      <c r="E57" s="217">
        <f>'数据-汇总表'!E12</f>
        <v>0</v>
      </c>
      <c r="F57" s="639" t="e">
        <f t="shared" si="15"/>
        <v>#DIV/0!</v>
      </c>
      <c r="G57" s="887" t="s">
        <v>1898</v>
      </c>
      <c r="H57" s="882" t="str">
        <f>IF(G57="商业",项目基本情况!B37,IF(G57="办公",项目基本情况!C37,IF(G57="住宅",项目基本情况!D37,项目基本情况!E37)))</f>
        <v>一级</v>
      </c>
      <c r="I57" s="768">
        <f>SUMIF(修正!A57:A68,H57,修正!F57:F68)</f>
        <v>0.3</v>
      </c>
      <c r="J57" s="769"/>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0">
        <v>0.25</v>
      </c>
      <c r="E58" s="217">
        <f>'数据-汇总表'!E13</f>
        <v>0</v>
      </c>
      <c r="F58" s="639" t="e">
        <f t="shared" si="15"/>
        <v>#DIV/0!</v>
      </c>
      <c r="G58" s="887" t="s">
        <v>1900</v>
      </c>
      <c r="H58" s="882">
        <f>IF(G58="商业",项目基本情况!B37,IF(G58="办公",项目基本情况!C37,IF(G58="住宅",项目基本情况!D37,项目基本情况!E37)))</f>
        <v>0</v>
      </c>
      <c r="I58" s="768">
        <f>SUMIF(修正!A57:A68,H58,修正!G57:G68)</f>
        <v>0</v>
      </c>
      <c r="J58" s="769"/>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0">
        <v>0.25</v>
      </c>
      <c r="E59" s="217">
        <f>'数据-汇总表'!E14</f>
        <v>0</v>
      </c>
      <c r="F59" s="639" t="e">
        <f t="shared" si="15"/>
        <v>#DIV/0!</v>
      </c>
      <c r="G59" s="1982" t="s">
        <v>1892</v>
      </c>
      <c r="H59" s="882" t="str">
        <f>项目基本情况!B37</f>
        <v>一级</v>
      </c>
      <c r="I59" s="768">
        <f>SUMIF(修正!A57:A68,H59,修正!G57:G68)</f>
        <v>0.2</v>
      </c>
      <c r="J59" s="769"/>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0">
        <v>0.25</v>
      </c>
      <c r="E60" s="217">
        <f>'数据-汇总表'!E15</f>
        <v>0</v>
      </c>
      <c r="F60" s="639" t="e">
        <f t="shared" si="15"/>
        <v>#DIV/0!</v>
      </c>
      <c r="G60" s="1983" t="s">
        <v>1896</v>
      </c>
      <c r="H60" s="892" t="str">
        <f>项目基本情况!C37</f>
        <v>一级</v>
      </c>
      <c r="I60" s="768">
        <f>SUMIF(修正!A57:A68,H60,修正!G57:G68)</f>
        <v>0.2</v>
      </c>
      <c r="J60" s="769"/>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3"/>
      <c r="L62" s="884"/>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4"/>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7"/>
      <c r="C2" s="3537"/>
      <c r="D2" s="3537"/>
      <c r="E2" s="3537"/>
    </row>
    <row r="3" spans="1:5" ht="18">
      <c r="A3" s="3538" t="str">
        <f>IF(项目基本情况!B9="房地产市场价值","估价结果一览表（市场价值不需“结果表-1”）","估价结果一览表")</f>
        <v>估价结果一览表</v>
      </c>
      <c r="B3" s="3538"/>
      <c r="C3" s="3538"/>
      <c r="D3" s="3538"/>
      <c r="E3" s="3538"/>
    </row>
    <row r="4" spans="1:5" ht="19.5" thickBot="1">
      <c r="A4" s="1488"/>
      <c r="B4" s="3536" t="s">
        <v>917</v>
      </c>
      <c r="C4" s="3536"/>
      <c r="D4" s="3536"/>
      <c r="E4" s="1488"/>
    </row>
    <row r="5" spans="1:5" ht="16.5" thickTop="1">
      <c r="A5" s="1486"/>
      <c r="B5" s="3534" t="s">
        <v>909</v>
      </c>
      <c r="C5" s="1489" t="s">
        <v>910</v>
      </c>
      <c r="D5" s="845">
        <f ca="1">结果表!H101</f>
        <v>86312</v>
      </c>
      <c r="E5" s="1486"/>
    </row>
    <row r="6" spans="1:5" ht="15.75">
      <c r="A6" s="1486"/>
      <c r="B6" s="3534"/>
      <c r="C6" s="1489" t="s">
        <v>911</v>
      </c>
      <c r="D6" s="845" t="str">
        <f ca="1">NUMBERSTRING(INT(D5*10000),2)&amp;"元整"</f>
        <v>捌亿陆仟叁佰壹拾贰万元整</v>
      </c>
      <c r="E6" s="1486"/>
    </row>
    <row r="7" spans="1:5" ht="15.75">
      <c r="A7" s="1486"/>
      <c r="B7" s="3539"/>
      <c r="C7" s="1490" t="s">
        <v>912</v>
      </c>
      <c r="D7" s="846">
        <f ca="1">结果表!H102</f>
        <v>29938</v>
      </c>
      <c r="E7" s="1486"/>
    </row>
    <row r="8" spans="1:5" ht="15.75">
      <c r="A8" s="1486"/>
      <c r="B8" s="3540" t="str">
        <f>结果表!E103</f>
        <v>2.估价师知悉的法定优先受偿款</v>
      </c>
      <c r="C8" s="1491" t="s">
        <v>913</v>
      </c>
      <c r="D8" s="846">
        <f>结果表!H103</f>
        <v>0</v>
      </c>
      <c r="E8" s="1486"/>
    </row>
    <row r="9" spans="1:5" ht="15.75">
      <c r="A9" s="1486"/>
      <c r="B9" s="3542"/>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33" t="str">
        <f>结果表!E107</f>
        <v>——</v>
      </c>
      <c r="C13" s="1494" t="s">
        <v>910</v>
      </c>
      <c r="D13" s="848" t="str">
        <f>结果表!H107</f>
        <v>——</v>
      </c>
      <c r="E13" s="1486"/>
    </row>
    <row r="14" spans="1:5" ht="15.75">
      <c r="A14" s="1486"/>
      <c r="B14" s="3534"/>
      <c r="C14" s="1489" t="s">
        <v>911</v>
      </c>
      <c r="D14" s="845" t="e">
        <f>NUMBERSTRING(INT(D13*10000),2)&amp;"元整"</f>
        <v>#VALUE!</v>
      </c>
      <c r="E14" s="1486"/>
    </row>
    <row r="15" spans="1:5" ht="15">
      <c r="A15" s="1486"/>
      <c r="B15" s="3539"/>
      <c r="C15" s="1490" t="s">
        <v>921</v>
      </c>
      <c r="D15" s="854" t="e">
        <f ca="1">结果表!H108</f>
        <v>#VALUE!</v>
      </c>
      <c r="E15" s="1486"/>
    </row>
    <row r="16" spans="1:5" ht="15">
      <c r="A16" s="1486"/>
      <c r="B16" s="3540" t="str">
        <f>结果表!E109</f>
        <v>3.抵押担保权已注销时的房地产抵押价值</v>
      </c>
      <c r="C16" s="1494" t="s">
        <v>922</v>
      </c>
      <c r="D16" s="1495">
        <f ca="1">结果表!H109</f>
        <v>86312</v>
      </c>
      <c r="E16" s="1486"/>
    </row>
    <row r="17" spans="1:5" ht="15.75">
      <c r="A17" s="1486"/>
      <c r="B17" s="3541"/>
      <c r="C17" s="1489" t="s">
        <v>923</v>
      </c>
      <c r="D17" s="845" t="str">
        <f ca="1">NUMBERSTRING(INT(D16*10000),2)&amp;"元整"</f>
        <v>捌亿陆仟叁佰壹拾贰万元整</v>
      </c>
      <c r="E17" s="1486"/>
    </row>
    <row r="18" spans="1:5" ht="15">
      <c r="A18" s="1486"/>
      <c r="B18" s="3542"/>
      <c r="C18" s="1490" t="s">
        <v>912</v>
      </c>
      <c r="D18" s="854">
        <f ca="1">结果表!H110</f>
        <v>29938</v>
      </c>
      <c r="E18" s="1486"/>
    </row>
    <row r="19" spans="1:5" ht="15.75">
      <c r="A19" s="1486"/>
      <c r="B19" s="3533" t="str">
        <f>结果表!E111</f>
        <v>——</v>
      </c>
      <c r="C19" s="1494" t="s">
        <v>910</v>
      </c>
      <c r="D19" s="846" t="str">
        <f>结果表!H111</f>
        <v>——</v>
      </c>
      <c r="E19" s="1486"/>
    </row>
    <row r="20" spans="1:5" ht="15.75">
      <c r="A20" s="1486"/>
      <c r="B20" s="3534"/>
      <c r="C20" s="1489" t="s">
        <v>923</v>
      </c>
      <c r="D20" s="845" t="e">
        <f>NUMBERSTRING(INT(D19*10000),2)&amp;"元整"</f>
        <v>#VALUE!</v>
      </c>
      <c r="E20" s="1486"/>
    </row>
    <row r="21" spans="1:5" ht="15.75" thickBot="1">
      <c r="A21" s="1486"/>
      <c r="B21" s="3535"/>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36" t="s">
        <v>2084</v>
      </c>
      <c r="D1" s="3837"/>
      <c r="E1" s="3837"/>
      <c r="F1" s="3837"/>
      <c r="G1" s="3837"/>
      <c r="H1" s="3837"/>
      <c r="I1" s="3837"/>
      <c r="J1" s="3837"/>
      <c r="K1" s="3837"/>
      <c r="L1" s="3837"/>
      <c r="M1" s="3837"/>
      <c r="N1" s="3837"/>
      <c r="O1" s="3837"/>
      <c r="P1" s="3837"/>
      <c r="Q1" s="3837"/>
      <c r="R1" s="3837"/>
      <c r="S1" s="3838"/>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4"/>
      <c r="G4" s="1304"/>
      <c r="H4" s="1304"/>
      <c r="I4" s="1304"/>
      <c r="J4" s="1304"/>
      <c r="K4" s="1304"/>
      <c r="L4" s="1304"/>
      <c r="M4" s="1305"/>
      <c r="N4" s="1305"/>
      <c r="O4" s="1304"/>
      <c r="P4" s="1304"/>
      <c r="Q4" s="1304"/>
      <c r="R4" s="1304"/>
      <c r="S4" s="1306"/>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1" t="s">
        <v>2087</v>
      </c>
      <c r="C5" s="990"/>
      <c r="D5" s="991"/>
      <c r="E5" s="991"/>
      <c r="F5" s="1307"/>
      <c r="G5" s="1307"/>
      <c r="H5" s="1307"/>
      <c r="I5" s="1307"/>
      <c r="J5" s="1307"/>
      <c r="K5" s="1307"/>
      <c r="L5" s="1308"/>
      <c r="M5" s="1309"/>
      <c r="N5" s="1309"/>
      <c r="O5" s="1307"/>
      <c r="P5" s="1307"/>
      <c r="Q5" s="1307"/>
      <c r="R5" s="1307"/>
      <c r="S5" s="1310"/>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2" t="s">
        <v>2088</v>
      </c>
      <c r="C7" s="899"/>
      <c r="D7" s="893"/>
      <c r="E7" s="893"/>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2" t="s">
        <v>2089</v>
      </c>
      <c r="C9" s="899"/>
      <c r="D9" s="893"/>
      <c r="E9" s="893"/>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2095</v>
      </c>
      <c r="E19" s="1335"/>
      <c r="F19" s="1335"/>
      <c r="G19" s="1335"/>
      <c r="H19" s="1054"/>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8" t="e">
        <f ca="1">SUMIF(INDIRECT("'"&amp;H20&amp;"'"&amp;"!A:A"),"承租人权益价值",INDIRECT("'"&amp;H20&amp;"'"&amp;"!c:c"))</f>
        <v>#REF!</v>
      </c>
      <c r="G20" s="978"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33" t="s">
        <v>27</v>
      </c>
      <c r="D22" s="3834"/>
      <c r="E22" s="3834"/>
      <c r="F22" s="3834"/>
      <c r="G22" s="3834"/>
      <c r="H22" s="3834"/>
      <c r="I22" s="3834"/>
      <c r="J22" s="3834"/>
      <c r="K22" s="3834"/>
      <c r="L22" s="3834"/>
      <c r="M22" s="3834"/>
      <c r="N22" s="3834"/>
      <c r="O22" s="3834"/>
      <c r="P22" s="3834"/>
      <c r="Q22" s="38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46" t="s">
        <v>2607</v>
      </c>
      <c r="B20" s="3839" t="s">
        <v>2628</v>
      </c>
      <c r="C20" s="3097" t="s">
        <v>2439</v>
      </c>
      <c r="D20" s="3098"/>
      <c r="E20" s="3099">
        <v>1</v>
      </c>
      <c r="F20" s="3100" t="s">
        <v>2440</v>
      </c>
      <c r="G20" s="3100"/>
    </row>
    <row r="21" spans="1:13" ht="19.5" customHeight="1">
      <c r="A21" s="3847"/>
      <c r="B21" s="3840"/>
      <c r="C21" s="3101" t="s">
        <v>2441</v>
      </c>
      <c r="D21" s="3102"/>
      <c r="E21" s="3103">
        <v>1</v>
      </c>
      <c r="F21" s="3100" t="s">
        <v>2442</v>
      </c>
      <c r="G21" s="3100"/>
    </row>
    <row r="22" spans="1:13" ht="19.5" customHeight="1">
      <c r="A22" s="3847"/>
      <c r="B22" s="3840"/>
      <c r="C22" s="3101" t="s">
        <v>2443</v>
      </c>
      <c r="D22" s="3102"/>
      <c r="E22" s="3103">
        <v>0.9</v>
      </c>
      <c r="F22" s="3100" t="s">
        <v>2444</v>
      </c>
      <c r="G22" s="3100"/>
    </row>
    <row r="23" spans="1:13" ht="19.5" customHeight="1">
      <c r="A23" s="3847"/>
      <c r="B23" s="3840"/>
      <c r="C23" s="3101" t="s">
        <v>2445</v>
      </c>
      <c r="D23" s="3102"/>
      <c r="E23" s="3103">
        <v>0.9</v>
      </c>
      <c r="F23" s="3100" t="s">
        <v>2446</v>
      </c>
      <c r="G23" s="3100"/>
    </row>
    <row r="24" spans="1:13" ht="19.5" customHeight="1">
      <c r="A24" s="3847"/>
      <c r="B24" s="3840"/>
      <c r="C24" s="3101" t="s">
        <v>2447</v>
      </c>
      <c r="D24" s="3102"/>
      <c r="E24" s="3103">
        <v>0.8</v>
      </c>
      <c r="F24" s="3100" t="s">
        <v>2448</v>
      </c>
      <c r="G24" s="3100"/>
    </row>
    <row r="25" spans="1:13" ht="19.5" customHeight="1" thickBot="1">
      <c r="A25" s="3848"/>
      <c r="B25" s="3841"/>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842" t="s">
        <v>2631</v>
      </c>
      <c r="B27" s="3839" t="s">
        <v>2612</v>
      </c>
      <c r="C27" s="3097" t="s">
        <v>2452</v>
      </c>
      <c r="D27" s="3098"/>
      <c r="E27" s="3099">
        <v>1</v>
      </c>
      <c r="F27" s="3100" t="s">
        <v>2453</v>
      </c>
      <c r="G27" s="3100"/>
    </row>
    <row r="28" spans="1:13" ht="19.5" customHeight="1">
      <c r="A28" s="3843"/>
      <c r="B28" s="3840"/>
      <c r="C28" s="3101" t="s">
        <v>2454</v>
      </c>
      <c r="D28" s="3102"/>
      <c r="E28" s="3103">
        <v>1</v>
      </c>
      <c r="F28" s="3100" t="s">
        <v>2455</v>
      </c>
      <c r="G28" s="3100"/>
    </row>
    <row r="29" spans="1:13" ht="19.5" customHeight="1">
      <c r="A29" s="3843"/>
      <c r="B29" s="3840"/>
      <c r="C29" s="3101" t="s">
        <v>2456</v>
      </c>
      <c r="D29" s="3102"/>
      <c r="E29" s="3103">
        <v>0.8</v>
      </c>
      <c r="F29" s="3100" t="s">
        <v>2457</v>
      </c>
      <c r="G29" s="3100"/>
    </row>
    <row r="30" spans="1:13" ht="19.5" customHeight="1">
      <c r="A30" s="3843"/>
      <c r="B30" s="3840"/>
      <c r="C30" s="3101" t="s">
        <v>2458</v>
      </c>
      <c r="D30" s="3102"/>
      <c r="E30" s="3103">
        <v>0.8</v>
      </c>
      <c r="F30" s="3100" t="s">
        <v>2459</v>
      </c>
      <c r="G30" s="3100"/>
    </row>
    <row r="31" spans="1:13" ht="19.5" customHeight="1">
      <c r="A31" s="3843"/>
      <c r="B31" s="3840"/>
      <c r="C31" s="3101" t="s">
        <v>2460</v>
      </c>
      <c r="D31" s="3102"/>
      <c r="E31" s="3103">
        <v>0.8</v>
      </c>
      <c r="F31" s="3100" t="s">
        <v>2461</v>
      </c>
      <c r="G31" s="3100"/>
    </row>
    <row r="32" spans="1:13" ht="19.5" customHeight="1">
      <c r="A32" s="3843"/>
      <c r="B32" s="3840"/>
      <c r="C32" s="3101" t="s">
        <v>2462</v>
      </c>
      <c r="D32" s="3102"/>
      <c r="E32" s="3103">
        <v>0.7</v>
      </c>
      <c r="F32" s="3100" t="s">
        <v>2463</v>
      </c>
      <c r="G32" s="3100"/>
    </row>
    <row r="33" spans="1:7" ht="19.5" customHeight="1">
      <c r="A33" s="3843"/>
      <c r="B33" s="3840"/>
      <c r="C33" s="3101" t="s">
        <v>2464</v>
      </c>
      <c r="D33" s="3102"/>
      <c r="E33" s="3103">
        <v>0.8</v>
      </c>
      <c r="F33" s="3100" t="s">
        <v>2465</v>
      </c>
      <c r="G33" s="3100"/>
    </row>
    <row r="34" spans="1:7" ht="19.5" customHeight="1">
      <c r="A34" s="3843"/>
      <c r="B34" s="3840"/>
      <c r="C34" s="3101" t="s">
        <v>2466</v>
      </c>
      <c r="D34" s="3102"/>
      <c r="E34" s="3103">
        <v>0.6</v>
      </c>
      <c r="F34" s="3100" t="s">
        <v>2467</v>
      </c>
      <c r="G34" s="3100"/>
    </row>
    <row r="35" spans="1:7" ht="19.5" customHeight="1">
      <c r="A35" s="3843"/>
      <c r="B35" s="3840"/>
      <c r="C35" s="3101" t="s">
        <v>2468</v>
      </c>
      <c r="D35" s="3102"/>
      <c r="E35" s="3103">
        <v>0.2</v>
      </c>
      <c r="F35" s="3100" t="s">
        <v>2469</v>
      </c>
      <c r="G35" s="3100"/>
    </row>
    <row r="36" spans="1:7" ht="19.5" customHeight="1">
      <c r="A36" s="3843"/>
      <c r="B36" s="3840"/>
      <c r="C36" s="3101" t="s">
        <v>2470</v>
      </c>
      <c r="D36" s="3102"/>
      <c r="E36" s="3103">
        <v>0.2</v>
      </c>
      <c r="F36" s="3100" t="s">
        <v>2471</v>
      </c>
      <c r="G36" s="3100"/>
    </row>
    <row r="37" spans="1:7" ht="19.5" customHeight="1">
      <c r="A37" s="3843"/>
      <c r="B37" s="3845" t="s">
        <v>2632</v>
      </c>
      <c r="C37" s="3101" t="s">
        <v>2472</v>
      </c>
      <c r="D37" s="3102"/>
      <c r="E37" s="3103">
        <v>0.6</v>
      </c>
      <c r="F37" s="3100" t="s">
        <v>2473</v>
      </c>
      <c r="G37" s="3100"/>
    </row>
    <row r="38" spans="1:7" ht="19.5" customHeight="1">
      <c r="A38" s="3843"/>
      <c r="B38" s="3840"/>
      <c r="C38" s="3101" t="s">
        <v>2474</v>
      </c>
      <c r="D38" s="3102"/>
      <c r="E38" s="3103">
        <v>0.6</v>
      </c>
      <c r="F38" s="3100" t="s">
        <v>2475</v>
      </c>
      <c r="G38" s="3100"/>
    </row>
    <row r="39" spans="1:7" ht="19.5" customHeight="1" thickBot="1">
      <c r="A39" s="3844"/>
      <c r="B39" s="3841"/>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846" t="s">
        <v>2610</v>
      </c>
      <c r="B41" s="3839" t="s">
        <v>2634</v>
      </c>
      <c r="C41" s="3097" t="s">
        <v>2479</v>
      </c>
      <c r="D41" s="3098"/>
      <c r="E41" s="3099">
        <v>1</v>
      </c>
      <c r="F41" s="3100" t="s">
        <v>2480</v>
      </c>
      <c r="G41" s="3100"/>
    </row>
    <row r="42" spans="1:7" ht="19.5" customHeight="1">
      <c r="A42" s="3847"/>
      <c r="B42" s="3840"/>
      <c r="C42" s="3101" t="s">
        <v>2481</v>
      </c>
      <c r="D42" s="3102"/>
      <c r="E42" s="3103">
        <v>1</v>
      </c>
      <c r="F42" s="3100" t="s">
        <v>2482</v>
      </c>
      <c r="G42" s="3100"/>
    </row>
    <row r="43" spans="1:7" ht="19.5" customHeight="1">
      <c r="A43" s="3847"/>
      <c r="B43" s="3849"/>
      <c r="C43" s="3101" t="s">
        <v>2483</v>
      </c>
      <c r="D43" s="3102"/>
      <c r="E43" s="3103">
        <v>1.5</v>
      </c>
      <c r="F43" s="3100" t="s">
        <v>2484</v>
      </c>
      <c r="G43" s="3100"/>
    </row>
    <row r="44" spans="1:7" ht="19.5" customHeight="1">
      <c r="A44" s="3847"/>
      <c r="B44" s="3112" t="s">
        <v>2635</v>
      </c>
      <c r="C44" s="3101" t="s">
        <v>2636</v>
      </c>
      <c r="D44" s="3102"/>
      <c r="E44" s="3103">
        <v>2</v>
      </c>
      <c r="F44" s="3100" t="s">
        <v>2485</v>
      </c>
      <c r="G44" s="3100"/>
    </row>
    <row r="45" spans="1:7" ht="19.5" customHeight="1">
      <c r="A45" s="3847"/>
      <c r="B45" s="3845" t="s">
        <v>2637</v>
      </c>
      <c r="C45" s="3101" t="s">
        <v>2486</v>
      </c>
      <c r="D45" s="3102"/>
      <c r="E45" s="3103">
        <v>1</v>
      </c>
      <c r="F45" s="3100" t="s">
        <v>2487</v>
      </c>
      <c r="G45" s="3100"/>
    </row>
    <row r="46" spans="1:7" ht="19.5" customHeight="1">
      <c r="A46" s="3847"/>
      <c r="B46" s="3840"/>
      <c r="C46" s="3101" t="s">
        <v>2488</v>
      </c>
      <c r="D46" s="3102"/>
      <c r="E46" s="3103">
        <v>1</v>
      </c>
      <c r="F46" s="3100" t="s">
        <v>2489</v>
      </c>
      <c r="G46" s="3100"/>
    </row>
    <row r="47" spans="1:7" ht="19.5" customHeight="1">
      <c r="A47" s="3847"/>
      <c r="B47" s="3840"/>
      <c r="C47" s="3101" t="s">
        <v>2490</v>
      </c>
      <c r="D47" s="3102"/>
      <c r="E47" s="3103">
        <v>1</v>
      </c>
      <c r="F47" s="3100" t="s">
        <v>2491</v>
      </c>
      <c r="G47" s="3100"/>
    </row>
    <row r="48" spans="1:7" ht="19.5" customHeight="1">
      <c r="A48" s="3847"/>
      <c r="B48" s="3840"/>
      <c r="C48" s="3101" t="s">
        <v>2492</v>
      </c>
      <c r="D48" s="3102"/>
      <c r="E48" s="3103">
        <v>1</v>
      </c>
      <c r="F48" s="3100" t="s">
        <v>2493</v>
      </c>
      <c r="G48" s="3100"/>
    </row>
    <row r="49" spans="1:7" ht="19.5" customHeight="1">
      <c r="A49" s="3847"/>
      <c r="B49" s="3840"/>
      <c r="C49" s="3101" t="s">
        <v>2494</v>
      </c>
      <c r="D49" s="3102"/>
      <c r="E49" s="3103">
        <v>1</v>
      </c>
      <c r="F49" s="3100" t="s">
        <v>2495</v>
      </c>
      <c r="G49" s="3100"/>
    </row>
    <row r="50" spans="1:7" ht="19.5" customHeight="1">
      <c r="A50" s="3847"/>
      <c r="B50" s="3840"/>
      <c r="C50" s="3101" t="s">
        <v>2496</v>
      </c>
      <c r="D50" s="3102"/>
      <c r="E50" s="3103">
        <v>1</v>
      </c>
      <c r="F50" s="3100" t="s">
        <v>2497</v>
      </c>
      <c r="G50" s="3100"/>
    </row>
    <row r="51" spans="1:7" ht="19.5" customHeight="1" thickBot="1">
      <c r="A51" s="3848"/>
      <c r="B51" s="3841"/>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845" t="s">
        <v>2651</v>
      </c>
      <c r="C73" s="3086" t="s">
        <v>2652</v>
      </c>
      <c r="D73" s="3086" t="s">
        <v>2653</v>
      </c>
      <c r="E73" s="3112">
        <v>0.2</v>
      </c>
      <c r="F73" s="3112">
        <v>25</v>
      </c>
    </row>
    <row r="74" spans="1:7" ht="24">
      <c r="A74" s="3112">
        <v>2</v>
      </c>
      <c r="B74" s="3840"/>
      <c r="C74" s="3086" t="s">
        <v>2654</v>
      </c>
      <c r="D74" s="3086" t="s">
        <v>2655</v>
      </c>
      <c r="E74" s="3112">
        <v>0.2</v>
      </c>
      <c r="F74" s="3112">
        <v>25</v>
      </c>
    </row>
    <row r="75" spans="1:7" ht="24">
      <c r="A75" s="3112">
        <v>3</v>
      </c>
      <c r="B75" s="3840"/>
      <c r="C75" s="3086" t="s">
        <v>2656</v>
      </c>
      <c r="D75" s="3086" t="s">
        <v>2657</v>
      </c>
      <c r="E75" s="3112">
        <v>0.2</v>
      </c>
      <c r="F75" s="3112">
        <v>25</v>
      </c>
    </row>
    <row r="76" spans="1:7" ht="13.5">
      <c r="A76" s="3112">
        <v>4</v>
      </c>
      <c r="B76" s="3840"/>
      <c r="C76" s="3086" t="s">
        <v>2658</v>
      </c>
      <c r="D76" s="3086" t="s">
        <v>2659</v>
      </c>
      <c r="E76" s="3112">
        <v>0.15</v>
      </c>
      <c r="F76" s="3112">
        <v>20</v>
      </c>
    </row>
    <row r="77" spans="1:7" ht="24">
      <c r="A77" s="3112">
        <v>5</v>
      </c>
      <c r="B77" s="3840"/>
      <c r="C77" s="3086" t="s">
        <v>2660</v>
      </c>
      <c r="D77" s="3086" t="s">
        <v>2661</v>
      </c>
      <c r="E77" s="3112">
        <v>0.15</v>
      </c>
      <c r="F77" s="3112">
        <v>20</v>
      </c>
    </row>
    <row r="78" spans="1:7" ht="24">
      <c r="A78" s="3112">
        <v>6</v>
      </c>
      <c r="B78" s="3840"/>
      <c r="C78" s="3086" t="s">
        <v>2662</v>
      </c>
      <c r="D78" s="3086" t="s">
        <v>2663</v>
      </c>
      <c r="E78" s="3112">
        <v>0.15</v>
      </c>
      <c r="F78" s="3112">
        <v>20</v>
      </c>
    </row>
    <row r="79" spans="1:7" ht="24">
      <c r="A79" s="3112">
        <v>7</v>
      </c>
      <c r="B79" s="3840"/>
      <c r="C79" s="3086" t="s">
        <v>2664</v>
      </c>
      <c r="D79" s="3086" t="s">
        <v>2665</v>
      </c>
      <c r="E79" s="3112">
        <v>0.15</v>
      </c>
      <c r="F79" s="3112">
        <v>20</v>
      </c>
    </row>
    <row r="80" spans="1:7" ht="24">
      <c r="A80" s="3112">
        <v>8</v>
      </c>
      <c r="B80" s="3840"/>
      <c r="C80" s="3086" t="s">
        <v>2666</v>
      </c>
      <c r="D80" s="3086" t="s">
        <v>2667</v>
      </c>
      <c r="E80" s="3112">
        <v>0.1</v>
      </c>
      <c r="F80" s="3112">
        <v>15</v>
      </c>
    </row>
    <row r="81" spans="1:6" ht="24">
      <c r="A81" s="3112">
        <v>9</v>
      </c>
      <c r="B81" s="3840"/>
      <c r="C81" s="3086" t="s">
        <v>2668</v>
      </c>
      <c r="D81" s="3086" t="s">
        <v>2669</v>
      </c>
      <c r="E81" s="3112">
        <v>0.1</v>
      </c>
      <c r="F81" s="3112">
        <v>15</v>
      </c>
    </row>
    <row r="82" spans="1:6" ht="24">
      <c r="A82" s="3112">
        <v>10</v>
      </c>
      <c r="B82" s="3840"/>
      <c r="C82" s="3086" t="s">
        <v>2670</v>
      </c>
      <c r="D82" s="3086" t="s">
        <v>2671</v>
      </c>
      <c r="E82" s="3112">
        <v>0.1</v>
      </c>
      <c r="F82" s="3112">
        <v>15</v>
      </c>
    </row>
    <row r="83" spans="1:6" ht="24">
      <c r="A83" s="3112">
        <v>11</v>
      </c>
      <c r="B83" s="3840"/>
      <c r="C83" s="3086" t="s">
        <v>2672</v>
      </c>
      <c r="D83" s="3086" t="s">
        <v>2673</v>
      </c>
      <c r="E83" s="3112">
        <v>0.1</v>
      </c>
      <c r="F83" s="3112">
        <v>15</v>
      </c>
    </row>
    <row r="84" spans="1:6" ht="24">
      <c r="A84" s="3112">
        <v>12</v>
      </c>
      <c r="B84" s="3840"/>
      <c r="C84" s="3086" t="s">
        <v>2674</v>
      </c>
      <c r="D84" s="3086" t="s">
        <v>2675</v>
      </c>
      <c r="E84" s="3112">
        <v>0.1</v>
      </c>
      <c r="F84" s="3112">
        <v>15</v>
      </c>
    </row>
    <row r="85" spans="1:6" ht="13.5">
      <c r="A85" s="3112">
        <v>13</v>
      </c>
      <c r="B85" s="3840"/>
      <c r="C85" s="3086" t="s">
        <v>2676</v>
      </c>
      <c r="D85" s="3086" t="s">
        <v>2677</v>
      </c>
      <c r="E85" s="3112">
        <v>0.1</v>
      </c>
      <c r="F85" s="3112">
        <v>15</v>
      </c>
    </row>
    <row r="86" spans="1:6" ht="13.5">
      <c r="A86" s="3112">
        <v>14</v>
      </c>
      <c r="B86" s="3840"/>
      <c r="C86" s="3086" t="s">
        <v>2678</v>
      </c>
      <c r="D86" s="3086" t="s">
        <v>2679</v>
      </c>
      <c r="E86" s="3112">
        <v>0.1</v>
      </c>
      <c r="F86" s="3112">
        <v>15</v>
      </c>
    </row>
    <row r="87" spans="1:6" ht="13.5">
      <c r="A87" s="3112">
        <v>15</v>
      </c>
      <c r="B87" s="3840"/>
      <c r="C87" s="3086" t="s">
        <v>2680</v>
      </c>
      <c r="D87" s="3086" t="s">
        <v>2681</v>
      </c>
      <c r="E87" s="3112">
        <v>0.1</v>
      </c>
      <c r="F87" s="3112">
        <v>15</v>
      </c>
    </row>
    <row r="88" spans="1:6" ht="24">
      <c r="A88" s="3112">
        <v>16</v>
      </c>
      <c r="B88" s="3840"/>
      <c r="C88" s="3086" t="s">
        <v>2682</v>
      </c>
      <c r="D88" s="3086" t="s">
        <v>2683</v>
      </c>
      <c r="E88" s="3112">
        <v>0.1</v>
      </c>
      <c r="F88" s="3112">
        <v>15</v>
      </c>
    </row>
    <row r="89" spans="1:6" ht="24">
      <c r="A89" s="3112">
        <v>17</v>
      </c>
      <c r="B89" s="3849"/>
      <c r="C89" s="3086" t="s">
        <v>2684</v>
      </c>
      <c r="D89" s="3086" t="s">
        <v>2685</v>
      </c>
      <c r="E89" s="3112">
        <v>0.1</v>
      </c>
      <c r="F89" s="3112">
        <v>15</v>
      </c>
    </row>
    <row r="90" spans="1:6" ht="13.5">
      <c r="A90" s="3112">
        <v>18</v>
      </c>
      <c r="B90" s="3845" t="s">
        <v>2686</v>
      </c>
      <c r="C90" s="3086" t="s">
        <v>2687</v>
      </c>
      <c r="D90" s="3086" t="s">
        <v>2688</v>
      </c>
      <c r="E90" s="3112">
        <v>0.2</v>
      </c>
      <c r="F90" s="3112">
        <v>25</v>
      </c>
    </row>
    <row r="91" spans="1:6" ht="24">
      <c r="A91" s="3112">
        <v>19</v>
      </c>
      <c r="B91" s="3840"/>
      <c r="C91" s="3086" t="s">
        <v>2689</v>
      </c>
      <c r="D91" s="3086" t="s">
        <v>2690</v>
      </c>
      <c r="E91" s="3112">
        <v>0.2</v>
      </c>
      <c r="F91" s="3112">
        <v>25</v>
      </c>
    </row>
    <row r="92" spans="1:6" ht="13.5">
      <c r="A92" s="3112">
        <v>20</v>
      </c>
      <c r="B92" s="3840"/>
      <c r="C92" s="3086" t="s">
        <v>2691</v>
      </c>
      <c r="D92" s="3086" t="s">
        <v>2692</v>
      </c>
      <c r="E92" s="3112">
        <v>0.15</v>
      </c>
      <c r="F92" s="3112">
        <v>20</v>
      </c>
    </row>
    <row r="93" spans="1:6" ht="13.5">
      <c r="A93" s="3112">
        <v>21</v>
      </c>
      <c r="B93" s="3840"/>
      <c r="C93" s="3086" t="s">
        <v>2693</v>
      </c>
      <c r="D93" s="3086" t="s">
        <v>2694</v>
      </c>
      <c r="E93" s="3112">
        <v>0.15</v>
      </c>
      <c r="F93" s="3112">
        <v>20</v>
      </c>
    </row>
    <row r="94" spans="1:6" ht="13.5">
      <c r="A94" s="3112">
        <v>22</v>
      </c>
      <c r="B94" s="3840"/>
      <c r="C94" s="3086" t="s">
        <v>2695</v>
      </c>
      <c r="D94" s="3086" t="s">
        <v>2696</v>
      </c>
      <c r="E94" s="3112">
        <v>0.15</v>
      </c>
      <c r="F94" s="3112">
        <v>20</v>
      </c>
    </row>
    <row r="95" spans="1:6" ht="36">
      <c r="A95" s="3112">
        <v>23</v>
      </c>
      <c r="B95" s="3840"/>
      <c r="C95" s="3086" t="s">
        <v>2697</v>
      </c>
      <c r="D95" s="3086" t="s">
        <v>2698</v>
      </c>
      <c r="E95" s="3112">
        <v>0.15</v>
      </c>
      <c r="F95" s="3112">
        <v>20</v>
      </c>
    </row>
    <row r="96" spans="1:6" ht="13.5">
      <c r="A96" s="3112">
        <v>24</v>
      </c>
      <c r="B96" s="3840"/>
      <c r="C96" s="3086" t="s">
        <v>2699</v>
      </c>
      <c r="D96" s="3086" t="s">
        <v>2700</v>
      </c>
      <c r="E96" s="3112">
        <v>0.1</v>
      </c>
      <c r="F96" s="3112">
        <v>15</v>
      </c>
    </row>
    <row r="97" spans="1:6" ht="13.5">
      <c r="A97" s="3112">
        <v>25</v>
      </c>
      <c r="B97" s="3840"/>
      <c r="C97" s="3086" t="s">
        <v>2701</v>
      </c>
      <c r="D97" s="3086" t="s">
        <v>2702</v>
      </c>
      <c r="E97" s="3112">
        <v>0.1</v>
      </c>
      <c r="F97" s="3112">
        <v>15</v>
      </c>
    </row>
    <row r="98" spans="1:6" ht="24">
      <c r="A98" s="3112">
        <v>26</v>
      </c>
      <c r="B98" s="3840"/>
      <c r="C98" s="3086" t="s">
        <v>2703</v>
      </c>
      <c r="D98" s="3086" t="s">
        <v>2704</v>
      </c>
      <c r="E98" s="3112">
        <v>0.1</v>
      </c>
      <c r="F98" s="3112">
        <v>15</v>
      </c>
    </row>
    <row r="99" spans="1:6" ht="24">
      <c r="A99" s="3112">
        <v>27</v>
      </c>
      <c r="B99" s="3840"/>
      <c r="C99" s="3086" t="s">
        <v>2705</v>
      </c>
      <c r="D99" s="3086" t="s">
        <v>2706</v>
      </c>
      <c r="E99" s="3112">
        <v>0.1</v>
      </c>
      <c r="F99" s="3112">
        <v>15</v>
      </c>
    </row>
    <row r="100" spans="1:6" ht="13.5">
      <c r="A100" s="3112">
        <v>28</v>
      </c>
      <c r="B100" s="3840"/>
      <c r="C100" s="3086" t="s">
        <v>2707</v>
      </c>
      <c r="D100" s="3086" t="s">
        <v>2708</v>
      </c>
      <c r="E100" s="3112">
        <v>0.1</v>
      </c>
      <c r="F100" s="3112">
        <v>15</v>
      </c>
    </row>
    <row r="101" spans="1:6" ht="13.5">
      <c r="A101" s="3112">
        <v>29</v>
      </c>
      <c r="B101" s="3840"/>
      <c r="C101" s="3086" t="s">
        <v>2709</v>
      </c>
      <c r="D101" s="3086" t="s">
        <v>2710</v>
      </c>
      <c r="E101" s="3112">
        <v>0.1</v>
      </c>
      <c r="F101" s="3112">
        <v>15</v>
      </c>
    </row>
    <row r="102" spans="1:6" ht="13.5">
      <c r="A102" s="3112">
        <v>30</v>
      </c>
      <c r="B102" s="3840"/>
      <c r="C102" s="3086" t="s">
        <v>2711</v>
      </c>
      <c r="D102" s="3086" t="s">
        <v>2712</v>
      </c>
      <c r="E102" s="3112">
        <v>0.1</v>
      </c>
      <c r="F102" s="3112">
        <v>15</v>
      </c>
    </row>
    <row r="103" spans="1:6" ht="24">
      <c r="A103" s="3112">
        <v>31</v>
      </c>
      <c r="B103" s="3840"/>
      <c r="C103" s="3086" t="s">
        <v>2713</v>
      </c>
      <c r="D103" s="3086" t="s">
        <v>2714</v>
      </c>
      <c r="E103" s="3112">
        <v>0.1</v>
      </c>
      <c r="F103" s="3112">
        <v>15</v>
      </c>
    </row>
    <row r="104" spans="1:6" ht="24">
      <c r="A104" s="3112">
        <v>32</v>
      </c>
      <c r="B104" s="3840"/>
      <c r="C104" s="3086" t="s">
        <v>2715</v>
      </c>
      <c r="D104" s="3086" t="s">
        <v>2716</v>
      </c>
      <c r="E104" s="3112">
        <v>0.1</v>
      </c>
      <c r="F104" s="3112">
        <v>15</v>
      </c>
    </row>
    <row r="105" spans="1:6" ht="24">
      <c r="A105" s="3112">
        <v>33</v>
      </c>
      <c r="B105" s="3840"/>
      <c r="C105" s="3086" t="s">
        <v>2717</v>
      </c>
      <c r="D105" s="3086" t="s">
        <v>2718</v>
      </c>
      <c r="E105" s="3112">
        <v>0.1</v>
      </c>
      <c r="F105" s="3112">
        <v>15</v>
      </c>
    </row>
    <row r="106" spans="1:6" ht="24">
      <c r="A106" s="3112">
        <v>34</v>
      </c>
      <c r="B106" s="3849"/>
      <c r="C106" s="3086" t="s">
        <v>2719</v>
      </c>
      <c r="D106" s="3086" t="s">
        <v>2720</v>
      </c>
      <c r="E106" s="3112">
        <v>0.1</v>
      </c>
      <c r="F106" s="3112">
        <v>15</v>
      </c>
    </row>
    <row r="107" spans="1:6" ht="24">
      <c r="A107" s="3112">
        <v>35</v>
      </c>
      <c r="B107" s="3845" t="s">
        <v>2721</v>
      </c>
      <c r="C107" s="3112" t="s">
        <v>2722</v>
      </c>
      <c r="D107" s="3086" t="s">
        <v>2723</v>
      </c>
      <c r="E107" s="3112">
        <v>0.15</v>
      </c>
      <c r="F107" s="3112">
        <v>20</v>
      </c>
    </row>
    <row r="108" spans="1:6" ht="13.5">
      <c r="A108" s="3112">
        <v>36</v>
      </c>
      <c r="B108" s="3840"/>
      <c r="C108" s="3112" t="s">
        <v>2724</v>
      </c>
      <c r="D108" s="3086" t="s">
        <v>2725</v>
      </c>
      <c r="E108" s="3112">
        <v>0.15</v>
      </c>
      <c r="F108" s="3112">
        <v>20</v>
      </c>
    </row>
    <row r="109" spans="1:6" ht="13.5">
      <c r="A109" s="3112">
        <v>37</v>
      </c>
      <c r="B109" s="3840"/>
      <c r="C109" s="3112" t="s">
        <v>2726</v>
      </c>
      <c r="D109" s="3086" t="s">
        <v>2727</v>
      </c>
      <c r="E109" s="3112">
        <v>0.15</v>
      </c>
      <c r="F109" s="3112">
        <v>20</v>
      </c>
    </row>
    <row r="110" spans="1:6" ht="13.5">
      <c r="A110" s="3112">
        <v>38</v>
      </c>
      <c r="B110" s="3840"/>
      <c r="C110" s="3112" t="s">
        <v>2728</v>
      </c>
      <c r="D110" s="3086" t="s">
        <v>2729</v>
      </c>
      <c r="E110" s="3112">
        <v>0.1</v>
      </c>
      <c r="F110" s="3112">
        <v>15</v>
      </c>
    </row>
    <row r="111" spans="1:6" ht="24">
      <c r="A111" s="3112">
        <v>39</v>
      </c>
      <c r="B111" s="3840"/>
      <c r="C111" s="3112" t="s">
        <v>2730</v>
      </c>
      <c r="D111" s="3086" t="s">
        <v>2731</v>
      </c>
      <c r="E111" s="3112">
        <v>0.1</v>
      </c>
      <c r="F111" s="3112">
        <v>15</v>
      </c>
    </row>
    <row r="112" spans="1:6" ht="24">
      <c r="A112" s="3112">
        <v>40</v>
      </c>
      <c r="B112" s="3849"/>
      <c r="C112" s="3112" t="s">
        <v>2732</v>
      </c>
      <c r="D112" s="3086" t="s">
        <v>2733</v>
      </c>
      <c r="E112" s="3112">
        <v>0.1</v>
      </c>
      <c r="F112" s="3112">
        <v>15</v>
      </c>
    </row>
    <row r="113" spans="1:6" ht="13.5">
      <c r="A113" s="3112">
        <v>41</v>
      </c>
      <c r="B113" s="3850" t="s">
        <v>2734</v>
      </c>
      <c r="C113" s="3112" t="s">
        <v>2735</v>
      </c>
      <c r="D113" s="3086" t="s">
        <v>2736</v>
      </c>
      <c r="E113" s="3112">
        <v>0.1</v>
      </c>
      <c r="F113" s="3112">
        <v>15</v>
      </c>
    </row>
    <row r="114" spans="1:6" ht="13.5">
      <c r="A114" s="3112">
        <v>42</v>
      </c>
      <c r="B114" s="3850"/>
      <c r="C114" s="3112" t="s">
        <v>2737</v>
      </c>
      <c r="D114" s="3086" t="s">
        <v>2738</v>
      </c>
      <c r="E114" s="3112">
        <v>0.1</v>
      </c>
      <c r="F114" s="3112">
        <v>15</v>
      </c>
    </row>
    <row r="115" spans="1:6" ht="24">
      <c r="A115" s="3112">
        <v>43</v>
      </c>
      <c r="B115" s="3850"/>
      <c r="C115" s="3112" t="s">
        <v>2739</v>
      </c>
      <c r="D115" s="3086" t="s">
        <v>2740</v>
      </c>
      <c r="E115" s="3112">
        <v>0.1</v>
      </c>
      <c r="F115" s="3112">
        <v>15</v>
      </c>
    </row>
    <row r="116" spans="1:6" ht="13.5">
      <c r="A116" s="3112">
        <v>44</v>
      </c>
      <c r="B116" s="3845" t="s">
        <v>2741</v>
      </c>
      <c r="C116" s="3112" t="s">
        <v>2742</v>
      </c>
      <c r="D116" s="3086" t="s">
        <v>2743</v>
      </c>
      <c r="E116" s="3112">
        <v>0.1</v>
      </c>
      <c r="F116" s="3112">
        <v>15</v>
      </c>
    </row>
    <row r="117" spans="1:6" ht="24">
      <c r="A117" s="3112">
        <v>45</v>
      </c>
      <c r="B117" s="3849"/>
      <c r="C117" s="3086" t="s">
        <v>2744</v>
      </c>
      <c r="D117" s="3086" t="s">
        <v>2745</v>
      </c>
      <c r="E117" s="3112">
        <v>0.1</v>
      </c>
      <c r="F117" s="3112">
        <v>15</v>
      </c>
    </row>
    <row r="118" spans="1:6" ht="24">
      <c r="A118" s="3112">
        <v>46</v>
      </c>
      <c r="B118" s="3845" t="s">
        <v>2746</v>
      </c>
      <c r="C118" s="3112" t="s">
        <v>2747</v>
      </c>
      <c r="D118" s="3086" t="s">
        <v>2748</v>
      </c>
      <c r="E118" s="3112">
        <v>0.1</v>
      </c>
      <c r="F118" s="3112">
        <v>15</v>
      </c>
    </row>
    <row r="119" spans="1:6" ht="24">
      <c r="A119" s="3112">
        <v>47</v>
      </c>
      <c r="B119" s="3849"/>
      <c r="C119" s="3112" t="s">
        <v>2749</v>
      </c>
      <c r="D119" s="3086" t="s">
        <v>2750</v>
      </c>
      <c r="E119" s="3112">
        <v>0.1</v>
      </c>
      <c r="F119" s="3112">
        <v>15</v>
      </c>
    </row>
    <row r="120" spans="1:6" ht="13.5">
      <c r="A120" s="3112">
        <v>48</v>
      </c>
      <c r="B120" s="3845" t="s">
        <v>2751</v>
      </c>
      <c r="C120" s="3112" t="s">
        <v>2752</v>
      </c>
      <c r="D120" s="3086" t="s">
        <v>2753</v>
      </c>
      <c r="E120" s="3112">
        <v>0.1</v>
      </c>
      <c r="F120" s="3112">
        <v>15</v>
      </c>
    </row>
    <row r="121" spans="1:6" ht="13.5">
      <c r="A121" s="3112">
        <v>49</v>
      </c>
      <c r="B121" s="3849"/>
      <c r="C121" s="3112" t="s">
        <v>2754</v>
      </c>
      <c r="D121" s="3086" t="s">
        <v>2755</v>
      </c>
      <c r="E121" s="3112">
        <v>0.1</v>
      </c>
      <c r="F121" s="3112">
        <v>15</v>
      </c>
    </row>
    <row r="122" spans="1:6" ht="24">
      <c r="A122" s="3112">
        <v>50</v>
      </c>
      <c r="B122" s="3850" t="s">
        <v>2756</v>
      </c>
      <c r="C122" s="3112" t="s">
        <v>2757</v>
      </c>
      <c r="D122" s="3086" t="s">
        <v>2758</v>
      </c>
      <c r="E122" s="3112">
        <v>0.1</v>
      </c>
      <c r="F122" s="3112">
        <v>15</v>
      </c>
    </row>
    <row r="123" spans="1:6" ht="24">
      <c r="A123" s="3112">
        <v>51</v>
      </c>
      <c r="B123" s="3850"/>
      <c r="C123" s="3112" t="s">
        <v>2759</v>
      </c>
      <c r="D123" s="3086" t="s">
        <v>2760</v>
      </c>
      <c r="E123" s="3112">
        <v>0.1</v>
      </c>
      <c r="F123" s="3112">
        <v>15</v>
      </c>
    </row>
    <row r="124" spans="1:6" ht="24">
      <c r="A124" s="3112">
        <v>52</v>
      </c>
      <c r="B124" s="3850" t="s">
        <v>2761</v>
      </c>
      <c r="C124" s="3112" t="s">
        <v>2762</v>
      </c>
      <c r="D124" s="3086" t="s">
        <v>2763</v>
      </c>
      <c r="E124" s="3112">
        <v>0.1</v>
      </c>
      <c r="F124" s="3112">
        <v>15</v>
      </c>
    </row>
    <row r="125" spans="1:6" ht="24">
      <c r="A125" s="3112">
        <v>53</v>
      </c>
      <c r="B125" s="3850"/>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850" t="s">
        <v>2769</v>
      </c>
      <c r="C127" s="3112" t="s">
        <v>2770</v>
      </c>
      <c r="D127" s="3086" t="s">
        <v>2771</v>
      </c>
      <c r="E127" s="3112">
        <v>0.1</v>
      </c>
      <c r="F127" s="3112">
        <v>15</v>
      </c>
    </row>
    <row r="128" spans="1:6" ht="13.5">
      <c r="A128" s="3112">
        <v>56</v>
      </c>
      <c r="B128" s="3850"/>
      <c r="C128" s="3112" t="s">
        <v>2772</v>
      </c>
      <c r="D128" s="3086" t="s">
        <v>2773</v>
      </c>
      <c r="E128" s="3112">
        <v>0.1</v>
      </c>
      <c r="F128" s="3112">
        <v>15</v>
      </c>
    </row>
    <row r="129" spans="1:6" ht="24">
      <c r="A129" s="3112">
        <v>57</v>
      </c>
      <c r="B129" s="3850"/>
      <c r="C129" s="3112" t="s">
        <v>2774</v>
      </c>
      <c r="D129" s="3086" t="s">
        <v>2775</v>
      </c>
      <c r="E129" s="3112">
        <v>0.1</v>
      </c>
      <c r="F129" s="3112">
        <v>15</v>
      </c>
    </row>
    <row r="130" spans="1:6" ht="24">
      <c r="A130" s="3112">
        <v>58</v>
      </c>
      <c r="B130" s="3850" t="s">
        <v>2776</v>
      </c>
      <c r="C130" s="3112" t="s">
        <v>2777</v>
      </c>
      <c r="D130" s="3086" t="s">
        <v>2778</v>
      </c>
      <c r="E130" s="3112">
        <v>0.1</v>
      </c>
      <c r="F130" s="3112">
        <v>15</v>
      </c>
    </row>
    <row r="131" spans="1:6" ht="13.5">
      <c r="A131" s="3112">
        <v>59</v>
      </c>
      <c r="B131" s="3850"/>
      <c r="C131" s="3112" t="s">
        <v>2779</v>
      </c>
      <c r="D131" s="3086" t="s">
        <v>2780</v>
      </c>
      <c r="E131" s="3112">
        <v>0.1</v>
      </c>
      <c r="F131" s="3112">
        <v>15</v>
      </c>
    </row>
    <row r="132" spans="1:6" ht="13.5">
      <c r="A132" s="3112">
        <v>60</v>
      </c>
      <c r="B132" s="3845" t="s">
        <v>2781</v>
      </c>
      <c r="C132" s="3112" t="s">
        <v>2782</v>
      </c>
      <c r="D132" s="3086" t="s">
        <v>2783</v>
      </c>
      <c r="E132" s="3112">
        <v>0.1</v>
      </c>
      <c r="F132" s="3112">
        <v>15</v>
      </c>
    </row>
    <row r="133" spans="1:6" ht="13.5">
      <c r="A133" s="3112">
        <v>61</v>
      </c>
      <c r="B133" s="3849"/>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850" t="s">
        <v>2789</v>
      </c>
      <c r="C135" s="3112" t="s">
        <v>2790</v>
      </c>
      <c r="D135" s="3086" t="s">
        <v>2791</v>
      </c>
      <c r="E135" s="3112">
        <v>0.1</v>
      </c>
      <c r="F135" s="3112">
        <v>15</v>
      </c>
    </row>
    <row r="136" spans="1:6" ht="13.5">
      <c r="A136" s="3112">
        <v>64</v>
      </c>
      <c r="B136" s="3850"/>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5"/>
  </cols>
  <sheetData>
    <row r="1" spans="1:20" ht="15" thickBot="1">
      <c r="A1" s="3121" t="s">
        <v>2798</v>
      </c>
      <c r="B1" s="3121"/>
      <c r="C1" s="3121"/>
      <c r="D1" s="3121"/>
      <c r="E1" s="3121"/>
      <c r="F1" s="3121"/>
      <c r="G1" s="3121"/>
      <c r="H1" s="3121"/>
      <c r="I1" s="3121"/>
      <c r="J1" s="3121"/>
      <c r="K1" s="3121"/>
      <c r="L1" s="3121"/>
      <c r="M1" s="3121"/>
      <c r="N1" s="744"/>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6"/>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6"/>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6"/>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5">
        <f>SUMPRODUCT((A95:A184=ROUNDDOWN(基准地价修正!G3,1))*(B94:M94=基准地价修正!G2)*(B95:M184))</f>
        <v>1.0558000000000001</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4"/>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4"/>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5">
        <f>SUMPRODUCT((A371:A460=ROUNDDOWN(基准地价修正!G3,1))*(B370:M370=基准地价修正!G2)*(B371:M460))</f>
        <v>1</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53937</v>
      </c>
      <c r="C2" s="2" t="s">
        <v>106</v>
      </c>
      <c r="D2" s="199"/>
      <c r="E2" s="199"/>
      <c r="F2" s="199"/>
      <c r="G2" s="199"/>
    </row>
    <row r="3" spans="1:7" s="200" customFormat="1" ht="18" customHeight="1" thickBot="1">
      <c r="A3" s="203" t="s">
        <v>58</v>
      </c>
      <c r="B3" s="204">
        <f ca="1">ROUND(B2*10000/'数据-汇总表'!E3,0)</f>
        <v>18708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577</v>
      </c>
      <c r="D10" s="840">
        <f>'数据-汇总表'!E6</f>
        <v>28830.28</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577</v>
      </c>
      <c r="D19" s="844">
        <f>'数据-汇总表'!E3</f>
        <v>28830.28</v>
      </c>
      <c r="E19" s="211">
        <f>'数据-取费表'!B31</f>
        <v>200</v>
      </c>
      <c r="F19" s="231"/>
      <c r="G19" s="1" t="s">
        <v>436</v>
      </c>
    </row>
    <row r="20" spans="1:7" s="214" customFormat="1" ht="13.5" customHeight="1">
      <c r="A20" s="772" t="s">
        <v>419</v>
      </c>
      <c r="B20" s="210" t="s">
        <v>77</v>
      </c>
      <c r="C20" s="232">
        <f>ROUND((C5+C19)*F20,0)</f>
        <v>530</v>
      </c>
      <c r="D20" s="232"/>
      <c r="E20" s="232"/>
      <c r="F20" s="233">
        <f>'数据-取费表'!B37</f>
        <v>2.5000000000000001E-2</v>
      </c>
      <c r="G20" s="1062" t="s">
        <v>430</v>
      </c>
    </row>
    <row r="21" spans="1:7" s="214" customFormat="1" ht="13.5" customHeight="1">
      <c r="A21" s="772" t="s">
        <v>421</v>
      </c>
      <c r="B21" s="210" t="s">
        <v>78</v>
      </c>
      <c r="C21" s="235">
        <f>F21</f>
        <v>2.5000000000000001E-2</v>
      </c>
      <c r="D21" s="236" t="s">
        <v>99</v>
      </c>
      <c r="E21" s="232"/>
      <c r="F21" s="233">
        <f>'数据-取费表'!B38</f>
        <v>2.5000000000000001E-2</v>
      </c>
      <c r="G21" s="234" t="s">
        <v>79</v>
      </c>
    </row>
    <row r="22" spans="1:7" s="214" customFormat="1" ht="13.5" customHeight="1">
      <c r="A22" s="772" t="s">
        <v>341</v>
      </c>
      <c r="B22" s="210" t="s">
        <v>80</v>
      </c>
      <c r="C22" s="1099">
        <f ca="1">ROUND(SUM(C23:C25),0)</f>
        <v>1898</v>
      </c>
      <c r="D22" s="235">
        <f ca="1">C26</f>
        <v>1.1000000000000001E-3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1824</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51</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1.1000000000000001E-3</v>
      </c>
      <c r="D26" s="238"/>
      <c r="E26" s="241"/>
      <c r="F26" s="239"/>
      <c r="G26" s="243"/>
    </row>
    <row r="27" spans="1:7" s="214" customFormat="1" ht="24.75">
      <c r="A27" s="772" t="s">
        <v>342</v>
      </c>
      <c r="B27" s="244" t="s">
        <v>85</v>
      </c>
      <c r="C27" s="245">
        <f>C28</f>
        <v>4343</v>
      </c>
      <c r="D27" s="235">
        <f>C29</f>
        <v>5.0000000000000001E-3</v>
      </c>
      <c r="E27" s="236" t="s">
        <v>99</v>
      </c>
      <c r="F27" s="246">
        <f>'数据-取费表'!Q16</f>
        <v>0.2</v>
      </c>
      <c r="G27" s="247" t="s">
        <v>431</v>
      </c>
    </row>
    <row r="28" spans="1:7" s="214" customFormat="1" ht="13.5" customHeight="1">
      <c r="A28" s="775" t="s">
        <v>349</v>
      </c>
      <c r="B28" s="248" t="s">
        <v>424</v>
      </c>
      <c r="C28" s="249">
        <f>ROUND((C5+C19+C20)*F27*'数据-取费表'!B21/'数据-取费表'!B20,0)</f>
        <v>4343</v>
      </c>
      <c r="D28" s="235"/>
      <c r="E28" s="236"/>
      <c r="F28" s="246"/>
      <c r="G28" s="247"/>
    </row>
    <row r="29" spans="1:7" s="214" customFormat="1" ht="13.5" customHeight="1">
      <c r="A29" s="775" t="s">
        <v>347</v>
      </c>
      <c r="B29" s="248" t="s">
        <v>425</v>
      </c>
      <c r="C29" s="238">
        <f>ROUND(C21*F27*'数据-取费表'!B21/'数据-取费表'!B20,4)</f>
        <v>5.0000000000000001E-3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21554</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19605</v>
      </c>
      <c r="D34" s="217"/>
      <c r="E34" s="220"/>
      <c r="F34" s="257">
        <f>IF('数据-取费表'!B24=0,1,'数据-取费表'!N16)</f>
        <v>1</v>
      </c>
      <c r="G34" s="219" t="s">
        <v>89</v>
      </c>
    </row>
    <row r="35" spans="1:7" ht="13.5" customHeight="1">
      <c r="A35" s="775" t="s">
        <v>351</v>
      </c>
      <c r="B35" s="215" t="s">
        <v>33</v>
      </c>
      <c r="C35" s="220">
        <f>ROUND(C34*F35,0)</f>
        <v>980</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577</v>
      </c>
      <c r="D37" s="217">
        <f>'数据-汇总表'!E3</f>
        <v>28830.28</v>
      </c>
      <c r="E37" s="249">
        <f>'数据-取费表'!B35</f>
        <v>200</v>
      </c>
      <c r="F37" s="259"/>
      <c r="G37" s="261" t="s">
        <v>92</v>
      </c>
    </row>
    <row r="38" spans="1:7" ht="13.5" customHeight="1">
      <c r="A38" s="775" t="s">
        <v>354</v>
      </c>
      <c r="B38" s="215" t="s">
        <v>36</v>
      </c>
      <c r="C38" s="220">
        <f>ROUND(C34*F38,0)</f>
        <v>392</v>
      </c>
      <c r="D38" s="220"/>
      <c r="E38" s="220"/>
      <c r="F38" s="259">
        <f>'数据-取费表'!B36</f>
        <v>0.02</v>
      </c>
      <c r="G38" s="219" t="s">
        <v>90</v>
      </c>
    </row>
    <row r="39" spans="1:7" s="214" customFormat="1" ht="13.5" customHeight="1">
      <c r="A39" s="772" t="s">
        <v>338</v>
      </c>
      <c r="B39" s="210" t="s">
        <v>77</v>
      </c>
      <c r="C39" s="232">
        <f>ROUND(C33*F20,0)</f>
        <v>539</v>
      </c>
      <c r="D39" s="232"/>
      <c r="E39" s="232"/>
      <c r="F39" s="233"/>
      <c r="G39" s="1062" t="s">
        <v>433</v>
      </c>
    </row>
    <row r="40" spans="1:7" s="214" customFormat="1" ht="13.5" customHeight="1">
      <c r="A40" s="772" t="s">
        <v>339</v>
      </c>
      <c r="B40" s="210" t="s">
        <v>78</v>
      </c>
      <c r="C40" s="262">
        <f>F21</f>
        <v>2.5000000000000001E-2</v>
      </c>
      <c r="D40" s="236" t="s">
        <v>102</v>
      </c>
      <c r="E40" s="232"/>
      <c r="F40" s="233"/>
      <c r="G40" s="234" t="s">
        <v>93</v>
      </c>
    </row>
    <row r="41" spans="1:7" s="214" customFormat="1" ht="13.5" customHeight="1">
      <c r="A41" s="772" t="s">
        <v>340</v>
      </c>
      <c r="B41" s="210" t="s">
        <v>80</v>
      </c>
      <c r="C41" s="232">
        <f ca="1">ROUND(SUM(C42:C43),0)</f>
        <v>956</v>
      </c>
      <c r="D41" s="235">
        <f ca="1">C44</f>
        <v>1.1000000000000001E-3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933</v>
      </c>
      <c r="D42" s="238"/>
      <c r="E42" s="238"/>
      <c r="F42" s="239"/>
      <c r="G42" s="3734" t="s">
        <v>94</v>
      </c>
    </row>
    <row r="43" spans="1:7" ht="13.5" customHeight="1">
      <c r="A43" s="775" t="s">
        <v>347</v>
      </c>
      <c r="B43" s="215" t="s">
        <v>426</v>
      </c>
      <c r="C43" s="238">
        <f ca="1">ROUND(IF('数据-取费表'!B22&lt;=1,C39*F22*'数据-取费表'!B21/2,C39*(POWER((1+F22),'数据-取费表'!B21/2)-1)),0)</f>
        <v>23</v>
      </c>
      <c r="D43" s="238"/>
      <c r="E43" s="238"/>
      <c r="F43" s="239"/>
      <c r="G43" s="3735"/>
    </row>
    <row r="44" spans="1:7" ht="13.5" customHeight="1">
      <c r="A44" s="775" t="s">
        <v>348</v>
      </c>
      <c r="B44" s="215" t="s">
        <v>428</v>
      </c>
      <c r="C44" s="238">
        <f ca="1">ROUND(IF('数据-取费表'!B22&lt;=1,C40*F22*'数据-取费表'!B21/2,C40*(POWER((1+F22),'数据-取费表'!B21/2)-1)),4)</f>
        <v>1.1000000000000001E-3</v>
      </c>
      <c r="D44" s="238"/>
      <c r="E44" s="238"/>
      <c r="F44" s="239"/>
      <c r="G44" s="3736"/>
    </row>
    <row r="45" spans="1:7" s="214" customFormat="1" ht="13.5" customHeight="1">
      <c r="A45" s="772" t="s">
        <v>341</v>
      </c>
      <c r="B45" s="244" t="s">
        <v>85</v>
      </c>
      <c r="C45" s="245">
        <f>C46</f>
        <v>4419</v>
      </c>
      <c r="D45" s="235">
        <f>C47</f>
        <v>5.0000000000000001E-3</v>
      </c>
      <c r="E45" s="236" t="s">
        <v>102</v>
      </c>
      <c r="F45" s="246"/>
      <c r="G45" s="247" t="s">
        <v>434</v>
      </c>
    </row>
    <row r="46" spans="1:7" s="214" customFormat="1" ht="13.5" customHeight="1">
      <c r="A46" s="775" t="s">
        <v>349</v>
      </c>
      <c r="B46" s="248" t="s">
        <v>427</v>
      </c>
      <c r="C46" s="249">
        <f>ROUND((C33+C39)*F27,0)</f>
        <v>4419</v>
      </c>
      <c r="D46" s="263"/>
      <c r="E46" s="236"/>
      <c r="F46" s="246"/>
      <c r="G46" s="247"/>
    </row>
    <row r="47" spans="1:7" s="214" customFormat="1" ht="13.5" customHeight="1">
      <c r="A47" s="775" t="s">
        <v>347</v>
      </c>
      <c r="B47" s="248" t="s">
        <v>429</v>
      </c>
      <c r="C47" s="238">
        <f>ROUND(C40*F27,4)</f>
        <v>5.0000000000000001E-3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30001</v>
      </c>
      <c r="D49" s="232"/>
      <c r="E49" s="232"/>
      <c r="F49" s="264"/>
      <c r="G49" s="234" t="s">
        <v>435</v>
      </c>
    </row>
    <row r="50" spans="1:7" s="258" customFormat="1" ht="24">
      <c r="A50" s="772" t="s">
        <v>344</v>
      </c>
      <c r="B50" s="210" t="s">
        <v>97</v>
      </c>
      <c r="C50" s="232"/>
      <c r="D50" s="232"/>
      <c r="E50" s="232"/>
      <c r="F50" s="264">
        <f>IF('数据-取费表'!B24=0,'数据-取费表'!N16,1)</f>
        <v>0.78</v>
      </c>
      <c r="G50" s="247" t="s">
        <v>98</v>
      </c>
    </row>
    <row r="51" spans="1:7" ht="16.5" customHeight="1">
      <c r="A51" s="772" t="s">
        <v>345</v>
      </c>
      <c r="B51" s="210" t="s">
        <v>105</v>
      </c>
      <c r="C51" s="232">
        <f ca="1">ROUND(C49*F50,0)</f>
        <v>23401</v>
      </c>
      <c r="D51" s="232"/>
      <c r="E51" s="232"/>
      <c r="F51" s="264"/>
      <c r="G51" s="234" t="s">
        <v>37</v>
      </c>
    </row>
    <row r="52" spans="1:7" s="208" customFormat="1" ht="16.5" thickBot="1">
      <c r="A52" s="265" t="s">
        <v>38</v>
      </c>
      <c r="B52" s="266"/>
      <c r="C52" s="267">
        <f ca="1">C31+C51</f>
        <v>53937</v>
      </c>
      <c r="D52" s="266"/>
      <c r="E52" s="266"/>
      <c r="F52" s="266"/>
      <c r="G52" s="268"/>
    </row>
    <row r="55" spans="1:7" ht="15">
      <c r="B55" s="270" t="s">
        <v>39</v>
      </c>
      <c r="C55" s="271"/>
    </row>
    <row r="56" spans="1:7">
      <c r="B56" s="273" t="s">
        <v>40</v>
      </c>
      <c r="C56" s="274">
        <f ca="1">ROUND(C51/C52,3)</f>
        <v>0.434</v>
      </c>
    </row>
    <row r="57" spans="1:7">
      <c r="B57" s="273" t="s">
        <v>41</v>
      </c>
      <c r="C57" s="275">
        <f ca="1">1-C56</f>
        <v>0.56600000000000006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3333</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2" t="s">
        <v>804</v>
      </c>
      <c r="B2" s="1381" t="e">
        <f ca="1">C40+J29+L46</f>
        <v>#N/A</v>
      </c>
      <c r="C2" s="1382" t="s">
        <v>805</v>
      </c>
      <c r="D2" s="1382"/>
      <c r="E2" s="1383"/>
      <c r="F2" s="1384"/>
      <c r="G2" s="2700"/>
      <c r="H2" s="2689"/>
      <c r="I2" s="2689"/>
      <c r="J2" s="2689"/>
      <c r="K2" s="2690"/>
      <c r="L2" s="2689"/>
      <c r="M2" s="2689"/>
    </row>
    <row r="3" spans="1:37" ht="18" customHeight="1" thickBot="1">
      <c r="A3" s="3523"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41" t="s">
        <v>694</v>
      </c>
      <c r="C6" s="1069" t="e">
        <f ca="1">ROUND(F6*F8*F7*(1-F9)/10000,0)</f>
        <v>#N/A</v>
      </c>
      <c r="D6" s="155" t="s">
        <v>2109</v>
      </c>
      <c r="E6" s="302" t="s">
        <v>696</v>
      </c>
      <c r="F6" s="303" t="e">
        <f ca="1">INDIRECT("'数据-取费表'!u"&amp;$G$1)</f>
        <v>#N/A</v>
      </c>
      <c r="G6" s="1379"/>
      <c r="H6" s="1064" t="s">
        <v>398</v>
      </c>
      <c r="I6" s="3741" t="s">
        <v>694</v>
      </c>
      <c r="J6" s="301" t="e">
        <f ca="1">ROUND(M6*M8*M7*(1-M9)/10000,0)</f>
        <v>#N/A</v>
      </c>
      <c r="K6" s="155" t="s">
        <v>2108</v>
      </c>
      <c r="L6" s="302" t="s">
        <v>696</v>
      </c>
      <c r="M6" s="303" t="e">
        <f ca="1">INDIRECT("'数据-取费表'!z"&amp;$G$1)</f>
        <v>#N/A</v>
      </c>
    </row>
    <row r="7" spans="1:37" ht="18" customHeight="1">
      <c r="A7" s="1068"/>
      <c r="B7" s="3742"/>
      <c r="C7" s="1070"/>
      <c r="D7" s="307"/>
      <c r="E7" s="3507" t="s">
        <v>697</v>
      </c>
      <c r="F7" s="303" t="e">
        <f ca="1">IF(INDIRECT("'数据-取费表'!ah"&amp;$G$1)="",INDIRECT("'数据-取费表'!k"&amp;$G$1),INDIRECT("'数据-取费表'!ah"&amp;$G$1))</f>
        <v>#N/A</v>
      </c>
      <c r="G7" s="1379"/>
      <c r="H7" s="304"/>
      <c r="I7" s="3742"/>
      <c r="J7" s="306"/>
      <c r="K7" s="307"/>
      <c r="L7" s="302" t="s">
        <v>697</v>
      </c>
      <c r="M7" s="303" t="e">
        <f ca="1">F7</f>
        <v>#N/A</v>
      </c>
    </row>
    <row r="8" spans="1:37" ht="18" customHeight="1">
      <c r="A8" s="304"/>
      <c r="B8" s="3742"/>
      <c r="C8" s="306"/>
      <c r="D8" s="307"/>
      <c r="E8" s="302" t="s">
        <v>698</v>
      </c>
      <c r="F8" s="303" t="e">
        <f ca="1">INDIRECT("'数据-取费表'!ai"&amp;$G$1)</f>
        <v>#N/A</v>
      </c>
      <c r="G8" s="1379"/>
      <c r="H8" s="304"/>
      <c r="I8" s="3742"/>
      <c r="J8" s="306"/>
      <c r="K8" s="307"/>
      <c r="L8" s="302" t="s">
        <v>698</v>
      </c>
      <c r="M8" s="303" t="e">
        <f ca="1">INDIRECT("'数据-取费表'!ai"&amp;$G$1)</f>
        <v>#N/A</v>
      </c>
    </row>
    <row r="9" spans="1:37" ht="18" customHeight="1">
      <c r="A9" s="304"/>
      <c r="B9" s="3743"/>
      <c r="C9" s="306"/>
      <c r="D9" s="307"/>
      <c r="E9" s="302" t="s">
        <v>699</v>
      </c>
      <c r="F9" s="312" t="e">
        <f ca="1">INDIRECT("'数据-取费表'!w"&amp;$G$1)</f>
        <v>#N/A</v>
      </c>
      <c r="G9" s="1379"/>
      <c r="H9" s="304"/>
      <c r="I9" s="3743"/>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2116</v>
      </c>
      <c r="E10" s="313" t="s">
        <v>701</v>
      </c>
      <c r="F10" s="1111" t="s">
        <v>3452</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504" t="s">
        <v>705</v>
      </c>
      <c r="E13" s="3504"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510" t="s">
        <v>708</v>
      </c>
      <c r="E14" s="3509"/>
      <c r="F14" s="319"/>
      <c r="G14" s="1379"/>
      <c r="H14" s="977" t="s">
        <v>398</v>
      </c>
      <c r="I14" s="302" t="s">
        <v>709</v>
      </c>
      <c r="J14" s="21" t="e">
        <f ca="1">C29</f>
        <v>#N/A</v>
      </c>
      <c r="K14" s="3506"/>
      <c r="L14" s="802"/>
      <c r="M14" s="803"/>
    </row>
    <row r="15" spans="1:37" s="1392" customFormat="1" ht="18" customHeight="1" thickBot="1">
      <c r="A15" s="977" t="s">
        <v>399</v>
      </c>
      <c r="B15" s="302" t="s">
        <v>710</v>
      </c>
      <c r="C15" s="21" t="e">
        <f ca="1">ROUND(C14*F15,0)</f>
        <v>#N/A</v>
      </c>
      <c r="D15" s="3505" t="s">
        <v>711</v>
      </c>
      <c r="E15" s="3505"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51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510" t="s">
        <v>720</v>
      </c>
      <c r="L17" s="3511"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51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514"/>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14"/>
      <c r="F22" s="23"/>
      <c r="G22" s="1379"/>
      <c r="H22" s="977" t="s">
        <v>402</v>
      </c>
      <c r="I22" s="302" t="s">
        <v>738</v>
      </c>
      <c r="J22" s="21" t="e">
        <f ca="1">ROUND(J14*M22,2)</f>
        <v>#N/A</v>
      </c>
      <c r="K22" s="351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51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712</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514"/>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505"/>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512"/>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510" t="s">
        <v>720</v>
      </c>
      <c r="E31" s="3511"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511"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511"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511" t="s">
        <v>743</v>
      </c>
      <c r="E37" s="302" t="s">
        <v>712</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712</v>
      </c>
      <c r="F38" s="1081" t="e">
        <f ca="1">INDIRECT("'数据-取费表'!Am"&amp;$G$1)</f>
        <v>#N/A</v>
      </c>
      <c r="G38" s="1379"/>
      <c r="H38" s="2694"/>
      <c r="I38" s="1393"/>
      <c r="J38" s="1394"/>
      <c r="K38" s="2698"/>
      <c r="L38" s="2694"/>
      <c r="M38" s="2694"/>
    </row>
    <row r="39" spans="1:18" ht="24.6" customHeight="1" thickTop="1">
      <c r="A39" s="1074" t="s">
        <v>394</v>
      </c>
      <c r="B39" s="1089" t="s">
        <v>752</v>
      </c>
      <c r="C39" s="310" t="e">
        <f ca="1">C5-C30</f>
        <v>#N/A</v>
      </c>
      <c r="D39" s="1090" t="s">
        <v>753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513"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39" t="s">
        <v>837</v>
      </c>
      <c r="L53" s="3740"/>
      <c r="O53" s="1413" t="s">
        <v>409</v>
      </c>
      <c r="P53" s="1414" t="s">
        <v>838</v>
      </c>
      <c r="Q53" s="1415" t="e">
        <f ca="1">Q47+Q48</f>
        <v>#N/A</v>
      </c>
      <c r="R53" s="1415" t="s">
        <v>410</v>
      </c>
    </row>
    <row r="54" spans="1:18" s="1379" customFormat="1" ht="13.5" thickBot="1">
      <c r="A54" s="1148"/>
      <c r="B54" s="1362" t="s">
        <v>679</v>
      </c>
      <c r="C54" s="954"/>
      <c r="D54" s="1361"/>
      <c r="E54" s="3508"/>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508"/>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727</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53" t="s">
        <v>2839</v>
      </c>
      <c r="B1" s="3853"/>
      <c r="C1" s="3853"/>
      <c r="D1" s="3853"/>
      <c r="E1" s="3853"/>
      <c r="F1" s="3853"/>
      <c r="G1" s="3854"/>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51"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52"/>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55" t="s">
        <v>3181</v>
      </c>
      <c r="B1" s="3855"/>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56" t="s">
        <v>3232</v>
      </c>
      <c r="B1" s="3856"/>
      <c r="C1" s="3856"/>
      <c r="D1" s="3856"/>
      <c r="E1" s="3856"/>
      <c r="F1" s="3857"/>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5">
        <f>基准地价修正!G23</f>
        <v>45485</v>
      </c>
      <c r="B1" s="3204" t="s">
        <v>3371</v>
      </c>
      <c r="C1" s="3205"/>
      <c r="D1" s="3205"/>
      <c r="E1" s="3205"/>
      <c r="F1" s="3205"/>
      <c r="G1" s="3205"/>
      <c r="H1" s="3205"/>
      <c r="I1" s="3205"/>
      <c r="J1" s="3159"/>
      <c r="K1" s="3205" t="s">
        <v>454</v>
      </c>
      <c r="L1" s="3205"/>
      <c r="M1" s="3205"/>
      <c r="N1" s="3205"/>
      <c r="O1" s="3205"/>
      <c r="P1" s="3205"/>
      <c r="Q1" s="3159"/>
      <c r="R1" s="3858" t="s">
        <v>456</v>
      </c>
      <c r="S1" s="3859"/>
      <c r="T1" s="3859"/>
      <c r="U1" s="3859"/>
      <c r="V1" s="3859"/>
      <c r="W1" s="3859"/>
      <c r="X1" s="3159"/>
      <c r="Y1" s="3858" t="s">
        <v>457</v>
      </c>
      <c r="Z1" s="3859"/>
      <c r="AA1" s="3859"/>
      <c r="AB1" s="3859"/>
      <c r="AC1" s="3859"/>
      <c r="AD1" s="3859"/>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ROUND(AVERAGEIF(D4:D19,"&lt;&gt;0"),2)</f>
        <v>0.68</v>
      </c>
      <c r="E3" s="3145">
        <f t="shared" ref="E3:H3" si="0">ROUND(AVERAGEIF(E4:E19,"&lt;&gt;0"),2)</f>
        <v>0.4</v>
      </c>
      <c r="F3" s="3145">
        <f t="shared" si="0"/>
        <v>0.17</v>
      </c>
      <c r="G3" s="3145">
        <f t="shared" si="0"/>
        <v>0.74</v>
      </c>
      <c r="H3" s="3145">
        <f t="shared" si="0"/>
        <v>0.62</v>
      </c>
      <c r="I3" s="3145">
        <f>F3</f>
        <v>0.17</v>
      </c>
      <c r="J3" s="3146"/>
      <c r="K3" s="3147">
        <f>ROUND(AVERAGEIF(K4:K19,"&lt;&gt;0"),4)</f>
        <v>6.7999999999999996E-3</v>
      </c>
      <c r="L3" s="3148">
        <f t="shared" ref="L3:O3" si="1">ROUND(AVERAGEIF(L4:L19,"&lt;&gt;0"),4)</f>
        <v>4.0000000000000001E-3</v>
      </c>
      <c r="M3" s="3148">
        <f t="shared" si="1"/>
        <v>1.6999999999999999E-3</v>
      </c>
      <c r="N3" s="3148">
        <f t="shared" si="1"/>
        <v>7.4000000000000003E-3</v>
      </c>
      <c r="O3" s="3148">
        <f t="shared" si="1"/>
        <v>6.1999999999999998E-3</v>
      </c>
      <c r="P3" s="3148">
        <f>M3</f>
        <v>1.6999999999999999E-3</v>
      </c>
      <c r="Q3" s="3146"/>
      <c r="R3" s="3149">
        <f>ROUND(SUMPRODUCT(PRODUCT(1+K4:K19)),4)</f>
        <v>1.0916999999999999</v>
      </c>
      <c r="S3" s="3150">
        <f t="shared" ref="S3:V3" si="2">ROUND(SUMPRODUCT(PRODUCT(1+L4:L19)),4)</f>
        <v>1.0537000000000001</v>
      </c>
      <c r="T3" s="3150">
        <f t="shared" si="2"/>
        <v>1.0224</v>
      </c>
      <c r="U3" s="3150">
        <f t="shared" si="2"/>
        <v>1.1008</v>
      </c>
      <c r="V3" s="3150">
        <f t="shared" si="2"/>
        <v>1.0843</v>
      </c>
      <c r="W3" s="3149">
        <f>T3</f>
        <v>1.0224</v>
      </c>
      <c r="X3" s="3146"/>
      <c r="Y3" s="3151">
        <f>ROUND(AVERAGEIF(Y6:Y19,"&lt;&gt;0"),4)</f>
        <v>8.6999999999999994E-3</v>
      </c>
      <c r="Z3" s="3152">
        <f t="shared" ref="Z3:AC3" si="3">ROUND(AVERAGEIF(Z6:Z19,"&lt;&gt;0"),4)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1.0811999999999999</v>
      </c>
      <c r="S5" s="3177">
        <f>ROUND(IF(项目基本情况!$B$8="出让",SUMPRODUCT(PRODUCT(1+L5:$L$19)),SUMPRODUCT(PRODUCT(1+L5:$L$18))),4)</f>
        <v>1.052</v>
      </c>
      <c r="T5" s="3177">
        <f>ROUND(IF(项目基本情况!$B$8="出让",SUMPRODUCT(PRODUCT(1+M5:$M$19)),SUMPRODUCT(PRODUCT(1+M5:$M$18))),4)</f>
        <v>1.0249999999999999</v>
      </c>
      <c r="U5" s="3177">
        <f>ROUND(IF(项目基本情况!$B$8="出让",SUMPRODUCT(PRODUCT(1+N5:$N$19)),SUMPRODUCT(PRODUCT(1+N5:$N$18))),4)</f>
        <v>1.0888</v>
      </c>
      <c r="V5" s="3177">
        <f>ROUND(IF(项目基本情况!$B$8="出让",SUMPRODUCT(PRODUCT(1+O5:$O$19)),SUMPRODUCT(PRODUCT(1+O5:$O$18))),4)</f>
        <v>1.0804</v>
      </c>
      <c r="W5" s="3177">
        <f>T5</f>
        <v>1.0249999999999999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79" customFormat="1" ht="12.75">
      <c r="A6" s="2200" t="s">
        <v>3374</v>
      </c>
      <c r="B6" s="3171">
        <v>2024</v>
      </c>
      <c r="C6" s="3172">
        <v>2</v>
      </c>
      <c r="D6" s="3173">
        <v>0</v>
      </c>
      <c r="E6" s="3173">
        <v>0</v>
      </c>
      <c r="F6" s="3173">
        <v>0</v>
      </c>
      <c r="G6" s="3173">
        <v>0</v>
      </c>
      <c r="H6" s="3173">
        <v>0</v>
      </c>
      <c r="I6" s="3174">
        <f t="shared" ref="I6:I19" si="15">F6</f>
        <v>0</v>
      </c>
      <c r="J6" s="3175"/>
      <c r="K6" s="3176">
        <f t="shared" ref="K6:O19" si="16">D6/100</f>
        <v>0</v>
      </c>
      <c r="L6" s="3166">
        <f t="shared" si="16"/>
        <v>0</v>
      </c>
      <c r="M6" s="3166">
        <f t="shared" si="16"/>
        <v>0</v>
      </c>
      <c r="N6" s="3166">
        <f t="shared" si="16"/>
        <v>0</v>
      </c>
      <c r="O6" s="3166">
        <f t="shared" si="16"/>
        <v>0</v>
      </c>
      <c r="P6" s="3166">
        <f>M6</f>
        <v>0</v>
      </c>
      <c r="Q6" s="3175"/>
      <c r="R6" s="3177">
        <f>ROUND(IF(项目基本情况!$B$8="出让",SUMPRODUCT(PRODUCT(1+K6:$K$19)),SUMPRODUCT(PRODUCT(1+K6:$K$18))),4)</f>
        <v>1.0811999999999999</v>
      </c>
      <c r="S6" s="3177">
        <f>ROUND(IF(项目基本情况!$B$8="出让",SUMPRODUCT(PRODUCT(1+L6:$L$19)),SUMPRODUCT(PRODUCT(1+L6:$L$18))),4)</f>
        <v>1.052</v>
      </c>
      <c r="T6" s="3177">
        <f>ROUND(IF(项目基本情况!$B$8="出让",SUMPRODUCT(PRODUCT(1+M6:$M$19)),SUMPRODUCT(PRODUCT(1+M6:$M$18))),4)</f>
        <v>1.0249999999999999</v>
      </c>
      <c r="U6" s="3177">
        <f>ROUND(IF(项目基本情况!$B$8="出让",SUMPRODUCT(PRODUCT(1+N6:$N$19)),SUMPRODUCT(PRODUCT(1+N6:$N$18))),4)</f>
        <v>1.0888</v>
      </c>
      <c r="V6" s="3177">
        <f>ROUND(IF(项目基本情况!$B$8="出让",SUMPRODUCT(PRODUCT(1+O6:$O$19)),SUMPRODUCT(PRODUCT(1+O6:$O$18))),4)</f>
        <v>1.0804</v>
      </c>
      <c r="W6" s="3177">
        <f>T6</f>
        <v>1.0249999999999999</v>
      </c>
      <c r="X6" s="3175"/>
      <c r="Y6" s="3178">
        <f>IF(D6=0,0,ROUND(AVERAGE(D6:D19)/100,4))</f>
        <v>0</v>
      </c>
      <c r="Z6" s="3178">
        <f t="shared" ref="Z6:AC6" si="17">IF(E6=0,0,ROUND(AVERAGE(E6:E19)/100,4))</f>
        <v>0</v>
      </c>
      <c r="AA6" s="3178">
        <f t="shared" si="17"/>
        <v>0</v>
      </c>
      <c r="AB6" s="3178">
        <f t="shared" si="17"/>
        <v>0</v>
      </c>
      <c r="AC6" s="3178">
        <f t="shared" si="17"/>
        <v>0</v>
      </c>
      <c r="AD6" s="3178">
        <f t="shared" ref="AD6:AD18" si="18">AA6</f>
        <v>0</v>
      </c>
    </row>
    <row r="7" spans="1:30" s="3189" customFormat="1" ht="12.75">
      <c r="A7" s="3180" t="s">
        <v>3376</v>
      </c>
      <c r="B7" s="3181">
        <v>2024</v>
      </c>
      <c r="C7" s="3182">
        <v>1</v>
      </c>
      <c r="D7" s="3183">
        <v>0.08</v>
      </c>
      <c r="E7" s="3183">
        <v>0.46</v>
      </c>
      <c r="F7" s="3183">
        <v>-0.16</v>
      </c>
      <c r="G7" s="3183">
        <v>0.26</v>
      </c>
      <c r="H7" s="3184">
        <v>0.59</v>
      </c>
      <c r="I7" s="3185">
        <v>0</v>
      </c>
      <c r="J7" s="3186"/>
      <c r="K7" s="3187">
        <f t="shared" ref="K7" si="19">D7/100</f>
        <v>8.0000000000000004E-4</v>
      </c>
      <c r="L7" s="3188">
        <f t="shared" ref="L7" si="20">E7/100</f>
        <v>4.5999999999999999E-3</v>
      </c>
      <c r="M7" s="3188">
        <f t="shared" ref="M7" si="21">F7/100</f>
        <v>-1.6000000000000001E-3</v>
      </c>
      <c r="N7" s="3188">
        <f t="shared" ref="N7" si="22">G7/100</f>
        <v>2.5999999999999999E-3</v>
      </c>
      <c r="O7" s="3188">
        <f t="shared" ref="O7" si="23">H7/100</f>
        <v>5.8999999999999999E-3</v>
      </c>
      <c r="P7" s="3188">
        <f t="shared" ref="P7" si="24">M7</f>
        <v>-1.6000000000000001E-3</v>
      </c>
      <c r="Q7" s="3186"/>
      <c r="R7" s="3186">
        <f>ROUND(IF(项目基本情况!$B$8="出让",SUMPRODUCT(PRODUCT(1+K7:$K$19)),SUMPRODUCT(PRODUCT(1+K7:$K$18))),4)</f>
        <v>1.0811999999999999</v>
      </c>
      <c r="S7" s="3186">
        <f>ROUND(IF(项目基本情况!$B$8="出让",SUMPRODUCT(PRODUCT(1+L7:$L$19)),SUMPRODUCT(PRODUCT(1+L7:$L$18))),4)</f>
        <v>1.052</v>
      </c>
      <c r="T7" s="3186">
        <f>ROUND(IF(项目基本情况!$B$8="出让",SUMPRODUCT(PRODUCT(1+M7:$M$19)),SUMPRODUCT(PRODUCT(1+M7:$M$18))),4)</f>
        <v>1.0249999999999999</v>
      </c>
      <c r="U7" s="3186">
        <f>ROUND(IF(项目基本情况!$B$8="出让",SUMPRODUCT(PRODUCT(1+N7:$N$19)),SUMPRODUCT(PRODUCT(1+N7:$N$18))),4)</f>
        <v>1.0888</v>
      </c>
      <c r="V7" s="3186">
        <f>ROUND(IF(项目基本情况!$B$8="出让",SUMPRODUCT(PRODUCT(1+O7:$O$19)),SUMPRODUCT(PRODUCT(1+O7:$O$18))),4)</f>
        <v>1.0804</v>
      </c>
      <c r="W7" s="3186">
        <f t="shared" ref="W7" si="25">T7</f>
        <v>1.0249999999999999</v>
      </c>
      <c r="X7" s="3186"/>
      <c r="Y7" s="3188"/>
      <c r="Z7" s="3188"/>
      <c r="AA7" s="3188"/>
      <c r="AB7" s="3188"/>
      <c r="AC7" s="3188"/>
      <c r="AD7" s="3188"/>
    </row>
    <row r="8" spans="1:30" s="3179" customFormat="1" ht="12.75">
      <c r="A8" s="3170" t="s">
        <v>3377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3370</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3369</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3368</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3364</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3355</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2820</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2821</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2822</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2823</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2824</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3366</v>
      </c>
    </row>
    <row r="22" spans="1:30" s="3003" customFormat="1">
      <c r="I22" s="3202" t="s">
        <v>2825</v>
      </c>
    </row>
    <row r="23" spans="1:30" s="3003" customFormat="1"/>
    <row r="24" spans="1:30" s="3203" customFormat="1" ht="12.75">
      <c r="B24" s="3204" t="s">
        <v>3372</v>
      </c>
      <c r="C24" s="3205"/>
      <c r="D24" s="3205"/>
      <c r="E24" s="3205"/>
      <c r="F24" s="3205"/>
      <c r="G24" s="3205"/>
      <c r="H24" s="3205"/>
      <c r="I24" s="3205"/>
      <c r="J24" s="3159"/>
      <c r="K24" s="3205" t="s">
        <v>2826</v>
      </c>
      <c r="L24" s="3205"/>
      <c r="M24" s="3205"/>
      <c r="N24" s="3205"/>
      <c r="O24" s="3205"/>
      <c r="P24" s="3205"/>
      <c r="Q24" s="3159"/>
      <c r="R24" s="3858" t="s">
        <v>2827</v>
      </c>
      <c r="S24" s="3859"/>
      <c r="T24" s="3859"/>
      <c r="U24" s="3859"/>
      <c r="V24" s="3859"/>
      <c r="W24" s="3859"/>
      <c r="X24" s="3159"/>
      <c r="Y24" s="3858" t="s">
        <v>2828</v>
      </c>
      <c r="Z24" s="3859"/>
      <c r="AA24" s="3859"/>
      <c r="AB24" s="3859"/>
      <c r="AC24" s="3859"/>
      <c r="AD24" s="3859"/>
    </row>
    <row r="25" spans="1:30" s="3137" customFormat="1" ht="14.25" thickBot="1">
      <c r="B25" s="3138"/>
      <c r="C25" s="3139"/>
      <c r="D25" s="3140" t="s">
        <v>2829</v>
      </c>
      <c r="E25" s="3141" t="s">
        <v>2830</v>
      </c>
      <c r="F25" s="3141" t="s">
        <v>2831</v>
      </c>
      <c r="G25" s="3141" t="s">
        <v>2832</v>
      </c>
      <c r="H25" s="3141"/>
      <c r="I25" s="3141" t="s">
        <v>2833</v>
      </c>
      <c r="J25" s="3142"/>
      <c r="K25" s="3140" t="s">
        <v>2829</v>
      </c>
      <c r="L25" s="3141" t="s">
        <v>2830</v>
      </c>
      <c r="M25" s="3141" t="s">
        <v>2831</v>
      </c>
      <c r="N25" s="3141" t="s">
        <v>2832</v>
      </c>
      <c r="O25" s="3141"/>
      <c r="P25" s="3141" t="s">
        <v>2833</v>
      </c>
      <c r="Q25" s="3142"/>
      <c r="R25" s="3140" t="s">
        <v>2829</v>
      </c>
      <c r="S25" s="3141" t="s">
        <v>2830</v>
      </c>
      <c r="T25" s="3141" t="s">
        <v>2831</v>
      </c>
      <c r="U25" s="3141" t="s">
        <v>2832</v>
      </c>
      <c r="V25" s="3141"/>
      <c r="W25" s="3141" t="s">
        <v>2833</v>
      </c>
      <c r="X25" s="3142"/>
      <c r="Y25" s="3140" t="s">
        <v>2829</v>
      </c>
      <c r="Z25" s="3141" t="s">
        <v>2830</v>
      </c>
      <c r="AA25" s="3141" t="s">
        <v>2831</v>
      </c>
      <c r="AB25" s="3141" t="s">
        <v>2832</v>
      </c>
      <c r="AC25" s="3141"/>
      <c r="AD25" s="3141" t="s">
        <v>2833</v>
      </c>
    </row>
    <row r="26" spans="1:30" s="3155" customFormat="1" ht="12.75">
      <c r="A26" s="3143" t="s">
        <v>2834</v>
      </c>
      <c r="B26" s="3144"/>
      <c r="C26" s="3145"/>
      <c r="D26" s="3145"/>
      <c r="E26" s="3145">
        <f t="shared" ref="E26:G26" si="43">ROUND(AVERAGEIF(E27:E42,"&lt;&gt;0"),2)</f>
        <v>0.38</v>
      </c>
      <c r="F26" s="3145">
        <f t="shared" si="43"/>
        <v>0.28999999999999998</v>
      </c>
      <c r="G26" s="3145">
        <f t="shared" si="43"/>
        <v>0.56999999999999995</v>
      </c>
      <c r="H26" s="3145"/>
      <c r="I26" s="3145">
        <f>F26</f>
        <v>0.28999999999999998</v>
      </c>
      <c r="J26" s="3146"/>
      <c r="K26" s="3147"/>
      <c r="L26" s="3148">
        <f t="shared" ref="L26:N26" si="44">ROUND(AVERAGEIF(L27:L42,"&lt;&gt;0"),4)</f>
        <v>3.8E-3</v>
      </c>
      <c r="M26" s="3148">
        <f t="shared" si="44"/>
        <v>2.8999999999999998E-3</v>
      </c>
      <c r="N26" s="3148">
        <f t="shared" si="44"/>
        <v>5.7000000000000002E-3</v>
      </c>
      <c r="O26" s="3148"/>
      <c r="P26" s="3148">
        <f>M26</f>
        <v>2.8999999999999998E-3</v>
      </c>
      <c r="Q26" s="3146"/>
      <c r="R26" s="3149"/>
      <c r="S26" s="3150">
        <f>ROUND(SUMPRODUCT(PRODUCT(1+L27:L42)),4)</f>
        <v>1.0502</v>
      </c>
      <c r="T26" s="3150">
        <f t="shared" ref="T26:U26" si="45">ROUND(SUMPRODUCT(PRODUCT(1+M27:M42)),4)</f>
        <v>1.0387999999999999</v>
      </c>
      <c r="U26" s="3150">
        <f t="shared" si="45"/>
        <v>1.0763</v>
      </c>
      <c r="V26" s="3150"/>
      <c r="W26" s="3149">
        <f>T26</f>
        <v>1.0387999999999999</v>
      </c>
      <c r="X26" s="3146"/>
      <c r="Y26" s="3151"/>
      <c r="Z26" s="3152">
        <f t="shared" ref="Z26:AB26" si="46">ROUND(AVERAGEIF(Z27:Z42,"&lt;&gt;0"),4)</f>
        <v>4.3E-3</v>
      </c>
      <c r="AA26" s="3153">
        <f t="shared" si="46"/>
        <v>3.5999999999999999E-3</v>
      </c>
      <c r="AB26" s="3151">
        <f t="shared" si="46"/>
        <v>8.8999999999999999E-3</v>
      </c>
      <c r="AC26" s="3154"/>
      <c r="AD26" s="3151">
        <f>AA26</f>
        <v>3.5999999999999999E-3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0" t="s">
        <v>3379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1.0465</v>
      </c>
      <c r="T28" s="3177">
        <f>ROUND(IF(项目基本情况!$B$8="出让",SUMPRODUCT(PRODUCT(1+M28:M$42)),SUMPRODUCT(PRODUCT(1+M28:M$41))),4)</f>
        <v>1.0338000000000001</v>
      </c>
      <c r="U28" s="3177">
        <f>ROUND(IF(项目基本情况!$B$8="出让",SUMPRODUCT(PRODUCT(1+N28:N$42)),SUMPRODUCT(PRODUCT(1+N28:N$41))),4)</f>
        <v>1.0659000000000001</v>
      </c>
      <c r="V28" s="3177"/>
      <c r="W28" s="3177">
        <f>T28</f>
        <v>1.0338000000000001</v>
      </c>
      <c r="X28" s="3175"/>
      <c r="Y28" s="3178"/>
      <c r="Z28" s="3206">
        <f t="shared" ref="Z28:AB29" si="51">IF(E28=0,0,ROUND(AVERAGE(E28:E41)/100,4))</f>
        <v>0</v>
      </c>
      <c r="AA28" s="3206">
        <f t="shared" si="51"/>
        <v>0</v>
      </c>
      <c r="AB28" s="3206">
        <f t="shared" si="51"/>
        <v>0</v>
      </c>
      <c r="AC28" s="3207"/>
      <c r="AD28" s="3178">
        <f>IF(I28=0,0,ROUND(AVERAGE(I28:I41)/100,4))</f>
        <v>0</v>
      </c>
    </row>
    <row r="29" spans="1:30" s="3179" customFormat="1" ht="12.75">
      <c r="A29" s="2200" t="s">
        <v>3374</v>
      </c>
      <c r="B29" s="3171">
        <v>2024</v>
      </c>
      <c r="C29" s="3172">
        <v>2</v>
      </c>
      <c r="D29" s="3173"/>
      <c r="E29" s="3173">
        <v>0</v>
      </c>
      <c r="F29" s="3173">
        <v>0</v>
      </c>
      <c r="G29" s="3173">
        <v>0</v>
      </c>
      <c r="H29" s="3173"/>
      <c r="I29" s="3174">
        <f t="shared" ref="I29:I42" si="52">F29</f>
        <v>0</v>
      </c>
      <c r="J29" s="3175"/>
      <c r="K29" s="3176"/>
      <c r="L29" s="3166">
        <f t="shared" ref="L29:N42" si="53">E29/100</f>
        <v>0</v>
      </c>
      <c r="M29" s="3166">
        <f t="shared" si="53"/>
        <v>0</v>
      </c>
      <c r="N29" s="3166">
        <f t="shared" si="53"/>
        <v>0</v>
      </c>
      <c r="O29" s="3166"/>
      <c r="P29" s="3166">
        <f>M29</f>
        <v>0</v>
      </c>
      <c r="Q29" s="3175"/>
      <c r="R29" s="3177"/>
      <c r="S29" s="3177">
        <f>ROUND(IF(项目基本情况!$B$8="出让",SUMPRODUCT(PRODUCT(1+L29:L$42)),SUMPRODUCT(PRODUCT(1+L29:L$41))),4)</f>
        <v>1.0465</v>
      </c>
      <c r="T29" s="3177">
        <f>ROUND(IF(项目基本情况!$B$8="出让",SUMPRODUCT(PRODUCT(1+M29:M$42)),SUMPRODUCT(PRODUCT(1+M29:M$41))),4)</f>
        <v>1.0338000000000001</v>
      </c>
      <c r="U29" s="3177">
        <f>ROUND(IF(项目基本情况!$B$8="出让",SUMPRODUCT(PRODUCT(1+N29:N$42)),SUMPRODUCT(PRODUCT(1+N29:N$41))),4)</f>
        <v>1.0659000000000001</v>
      </c>
      <c r="V29" s="3177"/>
      <c r="W29" s="3177">
        <f>T29</f>
        <v>1.0338000000000001</v>
      </c>
      <c r="X29" s="3175"/>
      <c r="Y29" s="3178"/>
      <c r="Z29" s="3206">
        <f t="shared" si="51"/>
        <v>0</v>
      </c>
      <c r="AA29" s="3206">
        <f t="shared" si="51"/>
        <v>0</v>
      </c>
      <c r="AB29" s="3206">
        <f t="shared" si="51"/>
        <v>0</v>
      </c>
      <c r="AC29" s="3207"/>
      <c r="AD29" s="3178">
        <f>IF(I29=0,0,ROUND(AVERAGE(I29:I42)/100,4))</f>
        <v>0</v>
      </c>
    </row>
    <row r="30" spans="1:30" s="3189" customFormat="1" ht="12.75">
      <c r="A30" s="3180" t="s">
        <v>3376</v>
      </c>
      <c r="B30" s="3181">
        <v>2024</v>
      </c>
      <c r="C30" s="3182">
        <v>1</v>
      </c>
      <c r="D30" s="3183"/>
      <c r="E30" s="3183">
        <v>0.25</v>
      </c>
      <c r="F30" s="3183">
        <v>0.4</v>
      </c>
      <c r="G30" s="3183">
        <v>-0.63</v>
      </c>
      <c r="H30" s="3184"/>
      <c r="I30" s="3185">
        <f t="shared" ref="I30:I31" si="54">F30</f>
        <v>0.4</v>
      </c>
      <c r="J30" s="3186"/>
      <c r="K30" s="3187"/>
      <c r="L30" s="3188">
        <f t="shared" ref="L30" si="55">E30/100</f>
        <v>2.5000000000000001E-3</v>
      </c>
      <c r="M30" s="3188">
        <f t="shared" ref="M30" si="56">F30/100</f>
        <v>4.0000000000000001E-3</v>
      </c>
      <c r="N30" s="3188">
        <f t="shared" ref="N30" si="57">G30/100</f>
        <v>-6.3E-3</v>
      </c>
      <c r="O30" s="3188"/>
      <c r="P30" s="3188">
        <f t="shared" ref="P30" si="58">M30</f>
        <v>4.0000000000000001E-3</v>
      </c>
      <c r="Q30" s="3186"/>
      <c r="R30" s="3186"/>
      <c r="S30" s="3186">
        <f>ROUND(IF(项目基本情况!$B$8="出让",SUMPRODUCT(PRODUCT(1+L30:L$42)),SUMPRODUCT(PRODUCT(1+L30:L$41))),4)</f>
        <v>1.0465</v>
      </c>
      <c r="T30" s="3186">
        <f>ROUND(IF(项目基本情况!$B$8="出让",SUMPRODUCT(PRODUCT(1+M30:M$42)),SUMPRODUCT(PRODUCT(1+M30:M$41))),4)</f>
        <v>1.0338000000000001</v>
      </c>
      <c r="U30" s="3186">
        <f>ROUND(IF(项目基本情况!$B$8="出让",SUMPRODUCT(PRODUCT(1+N30:N$42)),SUMPRODUCT(PRODUCT(1+N30:N$41))),4)</f>
        <v>1.0659000000000001</v>
      </c>
      <c r="V30" s="3186"/>
      <c r="W30" s="3186">
        <f t="shared" ref="W30" si="59">T30</f>
        <v>1.0338000000000001</v>
      </c>
      <c r="X30" s="3186"/>
      <c r="Y30" s="3188"/>
      <c r="Z30" s="3209"/>
      <c r="AA30" s="3210"/>
      <c r="AB30" s="3188"/>
      <c r="AC30" s="3211"/>
      <c r="AD30" s="3188"/>
    </row>
    <row r="31" spans="1:30" s="3179" customFormat="1" ht="12.75">
      <c r="A31" s="3170" t="s">
        <v>3378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3373</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3369</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3368</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3365</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3355</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2835</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2836</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2837</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2838</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2824</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5" t="s">
        <v>452</v>
      </c>
      <c r="C1" s="3865"/>
      <c r="D1" s="3865"/>
      <c r="E1" s="3865"/>
      <c r="F1" s="3865"/>
      <c r="G1" s="3861" t="s">
        <v>453</v>
      </c>
      <c r="H1" s="3861"/>
      <c r="I1" s="3861"/>
      <c r="J1" s="3861"/>
      <c r="K1" s="3861"/>
      <c r="L1" s="3861"/>
      <c r="N1" s="3861" t="s">
        <v>454</v>
      </c>
      <c r="O1" s="3861"/>
      <c r="P1" s="3861"/>
      <c r="Q1" s="3861"/>
      <c r="S1" s="3861" t="s">
        <v>455</v>
      </c>
      <c r="T1" s="3861"/>
      <c r="U1" s="3861"/>
      <c r="V1" s="3861"/>
      <c r="X1" s="3860" t="s">
        <v>456</v>
      </c>
      <c r="Y1" s="3861"/>
      <c r="Z1" s="3861"/>
      <c r="AA1" s="3861"/>
      <c r="AB1" s="3861"/>
      <c r="AD1" s="3860" t="s">
        <v>457</v>
      </c>
      <c r="AE1" s="3861"/>
      <c r="AF1" s="3861"/>
      <c r="AG1" s="3861"/>
      <c r="AH1" s="386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6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43" t="str">
        <f>IF(项目基本情况!B9="房地产市场价值","估价结果一览表","结果表-2")</f>
        <v>结果表-2</v>
      </c>
      <c r="B1" s="3543"/>
      <c r="C1" s="3543"/>
      <c r="D1" s="3543"/>
      <c r="E1" s="3543"/>
      <c r="F1" s="3543"/>
      <c r="G1" s="3543"/>
      <c r="H1" s="3543"/>
      <c r="I1" s="3543"/>
    </row>
    <row r="2" spans="1:9" ht="30" customHeight="1" thickTop="1">
      <c r="A2" s="3544" t="s">
        <v>928</v>
      </c>
      <c r="B2" s="3544" t="s">
        <v>929</v>
      </c>
      <c r="C2" s="3544" t="s">
        <v>930</v>
      </c>
      <c r="D2" s="3544" t="str">
        <f>结果表!D116</f>
        <v>出让国有建设用地使用权价值</v>
      </c>
      <c r="E2" s="3544"/>
      <c r="F2" s="3544" t="str">
        <f>结果表!F116</f>
        <v>在建建筑物价值</v>
      </c>
      <c r="G2" s="3544"/>
      <c r="H2" s="3544" t="str">
        <f>IF(项目基本情况!B9="房地产市场价值","房地产市场价值","房地产价值")</f>
        <v>房地产价值</v>
      </c>
      <c r="I2" s="3544"/>
    </row>
    <row r="3" spans="1:9" ht="15">
      <c r="A3" s="3545"/>
      <c r="B3" s="3545"/>
      <c r="C3" s="3545"/>
      <c r="D3" s="849" t="s">
        <v>925</v>
      </c>
      <c r="E3" s="849" t="s">
        <v>931</v>
      </c>
      <c r="F3" s="849" t="s">
        <v>925</v>
      </c>
      <c r="G3" s="849" t="s">
        <v>926</v>
      </c>
      <c r="H3" s="849" t="s">
        <v>925</v>
      </c>
      <c r="I3" s="849" t="s">
        <v>926</v>
      </c>
    </row>
    <row r="4" spans="1:9" ht="15">
      <c r="A4" s="1500" t="str">
        <f>项目基本情况!S2</f>
        <v>房地产</v>
      </c>
      <c r="B4" s="849">
        <f>项目基本情况!C17</f>
        <v>28830.28</v>
      </c>
      <c r="C4" s="849">
        <f>项目基本情况!C18</f>
        <v>0</v>
      </c>
      <c r="D4" s="849">
        <f ca="1">结果表!D118</f>
        <v>67841</v>
      </c>
      <c r="E4" s="849">
        <f ca="1">结果表!E118</f>
        <v>23531</v>
      </c>
      <c r="F4" s="849">
        <f ca="1">结果表!F118</f>
        <v>18471</v>
      </c>
      <c r="G4" s="849">
        <f ca="1">结果表!G118</f>
        <v>6407</v>
      </c>
      <c r="H4" s="849">
        <f ca="1">结果表!H118</f>
        <v>86312</v>
      </c>
      <c r="I4" s="849">
        <f ca="1">结果表!I118</f>
        <v>29938</v>
      </c>
    </row>
    <row r="5" spans="1:9" ht="30" customHeight="1">
      <c r="A5" s="3545" t="s">
        <v>927</v>
      </c>
      <c r="B5" s="3545"/>
      <c r="C5" s="3545"/>
      <c r="D5" s="3545" t="str">
        <f ca="1">结果表!D119</f>
        <v>陆亿柒仟捌佰肆拾壹万元整</v>
      </c>
      <c r="E5" s="3545"/>
      <c r="F5" s="3545" t="str">
        <f ca="1">结果表!F119</f>
        <v>壹亿捌仟肆佰柒拾壹万元整</v>
      </c>
      <c r="G5" s="3545"/>
      <c r="H5" s="3545" t="str">
        <f ca="1">结果表!H119</f>
        <v>捌亿陆仟叁佰壹拾贰万元整</v>
      </c>
      <c r="I5" s="3545"/>
    </row>
    <row r="6" spans="1:9" ht="15.75">
      <c r="A6" s="3546" t="str">
        <f>结果表!A120</f>
        <v>估价师知悉的法定优先受偿款</v>
      </c>
      <c r="B6" s="3546"/>
      <c r="C6" s="3546"/>
      <c r="D6" s="3546">
        <f>结果表!D120</f>
        <v>0</v>
      </c>
      <c r="E6" s="3546"/>
      <c r="F6" s="3546"/>
      <c r="G6" s="3546"/>
      <c r="H6" s="3546"/>
      <c r="I6" s="3546"/>
    </row>
    <row r="7" spans="1:9" ht="15">
      <c r="A7" s="3545" t="s">
        <v>927</v>
      </c>
      <c r="B7" s="3545"/>
      <c r="C7" s="3545"/>
      <c r="D7" s="3547" t="str">
        <f>结果表!D121</f>
        <v>零元整</v>
      </c>
      <c r="E7" s="3548"/>
      <c r="F7" s="3548"/>
      <c r="G7" s="3548"/>
      <c r="H7" s="3548"/>
      <c r="I7" s="3549"/>
    </row>
    <row r="8" spans="1:9" ht="15.75">
      <c r="A8" s="3546" t="str">
        <f>结果表!A122</f>
        <v/>
      </c>
      <c r="B8" s="3546"/>
      <c r="C8" s="3546"/>
      <c r="D8" s="3546" t="str">
        <f>结果表!D122</f>
        <v>——</v>
      </c>
      <c r="E8" s="3546"/>
      <c r="F8" s="3546"/>
      <c r="G8" s="3546"/>
      <c r="H8" s="3546"/>
      <c r="I8" s="3546"/>
    </row>
    <row r="9" spans="1:9" ht="15">
      <c r="A9" s="3545" t="s">
        <v>927</v>
      </c>
      <c r="B9" s="3545"/>
      <c r="C9" s="3545"/>
      <c r="D9" s="3545" t="e">
        <f>结果表!D123</f>
        <v>#VALUE!</v>
      </c>
      <c r="E9" s="3545"/>
      <c r="F9" s="3545"/>
      <c r="G9" s="3545"/>
      <c r="H9" s="3545"/>
      <c r="I9" s="3545"/>
    </row>
    <row r="10" spans="1:9" ht="15.75">
      <c r="A10" s="3546" t="str">
        <f>结果表!A124</f>
        <v>抵押担保权已注销时的房地产抵押价值</v>
      </c>
      <c r="B10" s="3546"/>
      <c r="C10" s="3546"/>
      <c r="D10" s="3546">
        <f ca="1">结果表!D124</f>
        <v>86312</v>
      </c>
      <c r="E10" s="3546"/>
      <c r="F10" s="3546"/>
      <c r="G10" s="3546"/>
      <c r="H10" s="3546"/>
      <c r="I10" s="3546"/>
    </row>
    <row r="11" spans="1:9" ht="15">
      <c r="A11" s="3545" t="s">
        <v>927</v>
      </c>
      <c r="B11" s="3545"/>
      <c r="C11" s="3545"/>
      <c r="D11" s="3545" t="str">
        <f ca="1">结果表!D125</f>
        <v>捌亿陆仟叁佰壹拾贰万元整</v>
      </c>
      <c r="E11" s="3545"/>
      <c r="F11" s="3545"/>
      <c r="G11" s="3545"/>
      <c r="H11" s="3545"/>
      <c r="I11" s="3545"/>
    </row>
    <row r="12" spans="1:9" ht="15.75">
      <c r="A12" s="3546" t="str">
        <f>结果表!A126</f>
        <v/>
      </c>
      <c r="B12" s="3546"/>
      <c r="C12" s="3546"/>
      <c r="D12" s="3546" t="str">
        <f>结果表!D126</f>
        <v>——</v>
      </c>
      <c r="E12" s="3546"/>
      <c r="F12" s="3546"/>
      <c r="G12" s="3546"/>
      <c r="H12" s="3546"/>
      <c r="I12" s="3546"/>
    </row>
    <row r="13" spans="1:9" ht="15.75" thickBot="1">
      <c r="A13" s="3550" t="s">
        <v>927</v>
      </c>
      <c r="B13" s="3550"/>
      <c r="C13" s="3550"/>
      <c r="D13" s="3550" t="e">
        <f>结果表!D127</f>
        <v>#VALUE!</v>
      </c>
      <c r="E13" s="3550"/>
      <c r="F13" s="3550"/>
      <c r="G13" s="3550"/>
      <c r="H13" s="3550"/>
      <c r="I13" s="3550"/>
    </row>
    <row r="14" spans="1:9" ht="15" thickTop="1">
      <c r="A14" s="3551" t="s">
        <v>932</v>
      </c>
      <c r="B14" s="3551"/>
      <c r="C14" s="3551"/>
      <c r="D14" s="3551"/>
      <c r="E14" s="3551"/>
      <c r="F14" s="3551"/>
      <c r="G14" s="3551"/>
      <c r="H14" s="3551"/>
      <c r="I14" s="3551"/>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45485</v>
      </c>
      <c r="D1" s="1297" t="s">
        <v>603</v>
      </c>
      <c r="E1" s="1292">
        <f>'数据-取费表'!B22</f>
        <v>2.5</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2309</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52" t="s">
        <v>949</v>
      </c>
      <c r="B1" s="3552"/>
      <c r="C1" s="3552"/>
      <c r="D1" s="3552"/>
    </row>
    <row r="2" spans="1:4" ht="18">
      <c r="A2" s="3553" t="s">
        <v>933</v>
      </c>
      <c r="B2" s="3553"/>
      <c r="C2" s="3553"/>
      <c r="D2" s="3553"/>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崔锴</v>
      </c>
      <c r="B5" s="1506">
        <f ca="1">项目基本情况!E4</f>
        <v>1120100036</v>
      </c>
      <c r="C5" s="1509"/>
      <c r="D5" s="1508" t="s">
        <v>938</v>
      </c>
    </row>
    <row r="6" spans="1:4" ht="18">
      <c r="A6" s="3553" t="s">
        <v>939</v>
      </c>
      <c r="B6" s="3553"/>
      <c r="C6" s="3553"/>
      <c r="D6" s="3553"/>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554" t="s">
        <v>942</v>
      </c>
      <c r="B11" s="3555"/>
      <c r="C11" s="3555"/>
      <c r="D11" s="3555"/>
    </row>
    <row r="12" spans="1:4" ht="15.75">
      <c r="A12" s="35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6"/>
      <c r="C12" s="3556"/>
      <c r="D12" s="3556"/>
    </row>
    <row r="13" spans="1:4" ht="30" customHeight="1">
      <c r="A13" s="35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6"/>
      <c r="C13" s="3556"/>
      <c r="D13" s="3556"/>
    </row>
    <row r="14" spans="1:4" ht="15.75" customHeight="1">
      <c r="A14" s="3555" t="str">
        <f>IF(项目基本情况!B8="抵押","4.本次评估估价师所知悉的法定优先受偿款情况说明如下：","——")</f>
        <v>4.本次评估估价师所知悉的法定优先受偿款情况说明如下：</v>
      </c>
      <c r="B14" s="3556"/>
      <c r="C14" s="3556"/>
      <c r="D14" s="3556"/>
    </row>
    <row r="15" spans="1:4" ht="42" customHeight="1">
      <c r="A15" s="355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5"/>
      <c r="C15" s="3555"/>
      <c r="D15" s="3555"/>
    </row>
    <row r="16" spans="1:4" ht="30" customHeight="1">
      <c r="A16" s="3558" t="s">
        <v>943</v>
      </c>
      <c r="B16" s="3558"/>
      <c r="C16" s="3558"/>
      <c r="D16" s="3558"/>
    </row>
    <row r="17" spans="1:4" ht="144" customHeight="1">
      <c r="A17" s="3558" t="s">
        <v>944</v>
      </c>
      <c r="B17" s="3558"/>
      <c r="C17" s="3558"/>
      <c r="D17" s="3558"/>
    </row>
    <row r="18" spans="1:4" ht="15.75" customHeight="1">
      <c r="A18" s="3555" t="str">
        <f>IF(项目基本情况!B8="抵押",结果表!K120,"——")</f>
        <v>故，本次评估不存在估价师知悉的法定优先受偿款</v>
      </c>
      <c r="B18" s="3555"/>
      <c r="C18" s="3555"/>
      <c r="D18" s="3555"/>
    </row>
    <row r="19" spans="1:4" ht="46.5" customHeight="1">
      <c r="A19" s="35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5"/>
      <c r="C19" s="3555"/>
      <c r="D19" s="3555"/>
    </row>
    <row r="20" spans="1:4" ht="57.75" customHeight="1">
      <c r="A20" s="35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5"/>
      <c r="C20" s="3555"/>
      <c r="D20" s="3555"/>
    </row>
    <row r="21" spans="1:4" ht="57.75" customHeight="1">
      <c r="A21" s="3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9"/>
      <c r="C21" s="3559"/>
      <c r="D21" s="3559"/>
    </row>
    <row r="22" spans="1:4" ht="18.75" customHeight="1">
      <c r="A22" s="3560" t="s">
        <v>945</v>
      </c>
      <c r="B22" s="3560"/>
      <c r="C22" s="3560"/>
      <c r="D22" s="3560"/>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57">
        <v>42551</v>
      </c>
      <c r="D31" s="35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66" t="s">
        <v>956</v>
      </c>
      <c r="B15" s="3561" t="s">
        <v>109</v>
      </c>
      <c r="C15" s="3562"/>
    </row>
    <row r="16" spans="1:7" ht="13.5">
      <c r="A16" s="3567"/>
      <c r="B16" s="3561" t="s">
        <v>42</v>
      </c>
      <c r="C16" s="3562"/>
    </row>
    <row r="17" spans="1:3" ht="13.5">
      <c r="A17" s="3567"/>
      <c r="B17" s="3564" t="s">
        <v>957</v>
      </c>
      <c r="C17" s="1527" t="s">
        <v>956</v>
      </c>
    </row>
    <row r="18" spans="1:3" ht="13.5">
      <c r="A18" s="3567"/>
      <c r="B18" s="3564"/>
      <c r="C18" s="1527" t="s">
        <v>958</v>
      </c>
    </row>
    <row r="19" spans="1:3" ht="13.5">
      <c r="A19" s="3567"/>
      <c r="B19" s="3564"/>
      <c r="C19" s="1527" t="s">
        <v>959</v>
      </c>
    </row>
    <row r="20" spans="1:3" ht="13.5">
      <c r="A20" s="3568"/>
      <c r="B20" s="3563" t="s">
        <v>960</v>
      </c>
      <c r="C20" s="3562"/>
    </row>
    <row r="21" spans="1:3" ht="13.5">
      <c r="A21" s="1528" t="s">
        <v>961</v>
      </c>
      <c r="B21" s="1529"/>
      <c r="C21" s="1530"/>
    </row>
    <row r="22" spans="1:3" ht="13.5">
      <c r="A22" s="3565" t="s">
        <v>962</v>
      </c>
      <c r="B22" s="3563" t="s">
        <v>963</v>
      </c>
      <c r="C22" s="3562"/>
    </row>
    <row r="23" spans="1:3" ht="13.5">
      <c r="A23" s="3565"/>
      <c r="B23" s="3563" t="s">
        <v>964</v>
      </c>
      <c r="C23" s="3562"/>
    </row>
    <row r="24" spans="1:3" ht="13.5">
      <c r="A24" s="3565"/>
      <c r="B24" s="3563" t="s">
        <v>965</v>
      </c>
      <c r="C24" s="3562"/>
    </row>
    <row r="25" spans="1:3" ht="13.5">
      <c r="A25" s="3565"/>
      <c r="B25" s="3564" t="s">
        <v>966</v>
      </c>
      <c r="C25" s="1527" t="s">
        <v>967</v>
      </c>
    </row>
    <row r="26" spans="1:3" ht="13.5">
      <c r="A26" s="3565"/>
      <c r="B26" s="3564"/>
      <c r="C26" s="1527" t="s">
        <v>968</v>
      </c>
    </row>
    <row r="27" spans="1:3" ht="13.5">
      <c r="A27" s="3565"/>
      <c r="B27" s="3564"/>
      <c r="C27" s="1527" t="s">
        <v>969</v>
      </c>
    </row>
    <row r="28" spans="1:3" ht="13.5">
      <c r="A28" s="3565"/>
      <c r="B28" s="3564"/>
      <c r="C28" s="1527" t="s">
        <v>970</v>
      </c>
    </row>
    <row r="29" spans="1:3" ht="13.5">
      <c r="A29" s="3565"/>
      <c r="B29" s="3564"/>
      <c r="C29" s="1527" t="s">
        <v>971</v>
      </c>
    </row>
    <row r="30" spans="1:3" ht="13.5">
      <c r="A30" s="3565"/>
      <c r="B30" s="3564"/>
      <c r="C30" s="1527" t="s">
        <v>972</v>
      </c>
    </row>
    <row r="31" spans="1:3" ht="13.5">
      <c r="A31" s="3565"/>
      <c r="B31" s="3564"/>
      <c r="C31" s="1527" t="s">
        <v>973</v>
      </c>
    </row>
    <row r="32" spans="1:3" ht="13.5">
      <c r="A32" s="3565"/>
      <c r="B32" s="3564"/>
      <c r="C32" s="1527" t="s">
        <v>974</v>
      </c>
    </row>
    <row r="33" spans="1:3" ht="13.5">
      <c r="A33" s="3565"/>
      <c r="B33" s="3564"/>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45537</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2437</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69" t="s">
        <v>2160</v>
      </c>
      <c r="B17" s="3569"/>
      <c r="C17" s="3569"/>
      <c r="D17" s="3569"/>
      <c r="E17" s="3569"/>
      <c r="F17" s="3569"/>
      <c r="G17" s="3569"/>
      <c r="H17" s="3569"/>
    </row>
    <row r="18" spans="1:8" ht="24" customHeight="1">
      <c r="A18" s="3570" t="s">
        <v>2161</v>
      </c>
      <c r="B18" s="3570"/>
      <c r="C18" s="3570"/>
      <c r="D18" s="2338"/>
      <c r="E18" s="3571" t="s">
        <v>2162</v>
      </c>
      <c r="F18" s="3570"/>
      <c r="G18" s="3570"/>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2024-09-02T06:00:14Z</dcterms:modified>
</cp:coreProperties>
</file>