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7" r:id="rId44"/>
  </sheets>
  <externalReferences>
    <externalReference r:id="rId45"/>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5" i="74" l="1"/>
  <c r="C90" i="9"/>
  <c r="B9" i="77"/>
  <c r="B8" i="77"/>
  <c r="F34" i="68"/>
  <c r="C34" i="68"/>
  <c r="C35" i="68"/>
  <c r="C36" i="68"/>
  <c r="D9" i="68"/>
  <c r="D10" i="68"/>
  <c r="D19" i="68"/>
  <c r="D37" i="68"/>
  <c r="C37" i="68"/>
  <c r="C38" i="68"/>
  <c r="C33" i="68"/>
  <c r="C91" i="9"/>
  <c r="C94" i="9"/>
  <c r="C88" i="9"/>
  <c r="C8" i="12"/>
  <c r="D4" i="73"/>
  <c r="E20" i="43"/>
  <c r="O28" i="43"/>
  <c r="G20" i="43"/>
  <c r="C20" i="43"/>
  <c r="C29" i="43"/>
  <c r="E29" i="43"/>
  <c r="C33" i="43"/>
  <c r="E33" i="43"/>
  <c r="C34" i="43"/>
  <c r="E34" i="43"/>
  <c r="C35" i="43"/>
  <c r="E35" i="43"/>
  <c r="C36" i="43"/>
  <c r="E36" i="43"/>
  <c r="C37" i="43"/>
  <c r="E37" i="43"/>
  <c r="E41" i="43"/>
  <c r="C41" i="43"/>
  <c r="C38" i="43"/>
  <c r="E38" i="43"/>
  <c r="C39" i="43"/>
  <c r="E39" i="43"/>
  <c r="C26" i="43"/>
  <c r="C6" i="68"/>
  <c r="C9" i="68"/>
  <c r="C10" i="68"/>
  <c r="B29" i="1"/>
  <c r="B6" i="77"/>
  <c r="A3" i="3"/>
  <c r="C15" i="74"/>
  <c r="B15" i="7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D1" i="77"/>
  <c r="D2" i="77"/>
  <c r="D6" i="77"/>
  <c r="C6"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I5" i="3"/>
  <c r="F19" i="6"/>
  <c r="K5" i="3"/>
  <c r="G20" i="6"/>
  <c r="D29" i="43"/>
  <c r="H5" i="3"/>
  <c r="D38" i="43"/>
  <c r="E19" i="6"/>
  <c r="C7" i="12"/>
  <c r="B7" i="4"/>
  <c r="D3" i="4"/>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Q14" i="71"/>
  <c r="Q15" i="71"/>
  <c r="Q16" i="71"/>
  <c r="Q17" i="71"/>
  <c r="Q18" i="71"/>
  <c r="Q19" i="71"/>
  <c r="Q20" i="71"/>
  <c r="Q21" i="71"/>
  <c r="Q22" i="71"/>
  <c r="Q23" i="71"/>
  <c r="Q24" i="71"/>
  <c r="Q25" i="71"/>
  <c r="Q26" i="71"/>
  <c r="Q27" i="71"/>
  <c r="Q28" i="71"/>
  <c r="AB7"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E27" i="71"/>
  <c r="E28" i="71"/>
  <c r="E29" i="71"/>
  <c r="M19" i="43"/>
  <c r="D14" i="71"/>
  <c r="AH12" i="71"/>
  <c r="AG12" i="71"/>
  <c r="AE12" i="71"/>
  <c r="AF12" i="71"/>
  <c r="AD12" i="71"/>
  <c r="AD13" i="71"/>
  <c r="AG13" i="71"/>
  <c r="AH13" i="71"/>
  <c r="AE13" i="71"/>
  <c r="AF13" i="71"/>
  <c r="X11" i="71"/>
  <c r="AB12" i="71"/>
  <c r="AA12" i="71"/>
  <c r="Y11" i="71"/>
  <c r="Z11" i="71"/>
  <c r="Y12" i="71"/>
  <c r="Z12"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B65" i="72"/>
  <c r="A12" i="62"/>
  <c r="B58" i="72"/>
  <c r="A120" i="9"/>
  <c r="H2" i="52"/>
  <c r="A1" i="52"/>
  <c r="A3" i="53"/>
  <c r="A15" i="51"/>
  <c r="B12" i="72"/>
  <c r="C76" i="9"/>
  <c r="I107" i="40"/>
  <c r="K6" i="4"/>
  <c r="M56" i="9"/>
  <c r="B22" i="31"/>
  <c r="N56" i="9"/>
  <c r="E16" i="74"/>
  <c r="F16" i="74"/>
  <c r="E17" i="74"/>
  <c r="F17" i="74"/>
  <c r="E18" i="74"/>
  <c r="F18" i="74"/>
  <c r="E19" i="74"/>
  <c r="F19" i="74"/>
  <c r="E20" i="74"/>
  <c r="F20" i="74"/>
  <c r="E21" i="74"/>
  <c r="F21" i="74"/>
  <c r="E22" i="74"/>
  <c r="F22" i="74"/>
  <c r="E23" i="74"/>
  <c r="F23" i="74"/>
  <c r="B3" i="74"/>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M74" i="43"/>
  <c r="N74" i="43"/>
  <c r="K74" i="43"/>
  <c r="J74" i="43"/>
  <c r="M73" i="43"/>
  <c r="N73" i="43"/>
  <c r="K73" i="43"/>
  <c r="J73" i="43"/>
  <c r="D73" i="43"/>
  <c r="M72" i="43"/>
  <c r="N72" i="43"/>
  <c r="K72" i="43"/>
  <c r="J72" i="43"/>
  <c r="D72" i="43"/>
  <c r="M71" i="43"/>
  <c r="N71" i="43"/>
  <c r="K71" i="43"/>
  <c r="J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Z99" i="3"/>
  <c r="AX99" i="3"/>
  <c r="AW99" i="3"/>
  <c r="AV99" i="3"/>
  <c r="BT98" i="3"/>
  <c r="BS98" i="3"/>
  <c r="BR98" i="3"/>
  <c r="BQ98" i="3"/>
  <c r="BP98" i="3"/>
  <c r="BO98" i="3"/>
  <c r="BN98" i="3"/>
  <c r="BM98" i="3"/>
  <c r="BL98" i="3"/>
  <c r="BK98" i="3"/>
  <c r="BJ98" i="3"/>
  <c r="BI98" i="3"/>
  <c r="BH98" i="3"/>
  <c r="BG98" i="3"/>
  <c r="BF98" i="3"/>
  <c r="BE98" i="3"/>
  <c r="BD98" i="3"/>
  <c r="BC98" i="3"/>
  <c r="BB98" i="3"/>
  <c r="BA98" i="3"/>
  <c r="AZ98" i="3"/>
  <c r="AX98" i="3"/>
  <c r="AW98" i="3"/>
  <c r="AV98" i="3"/>
  <c r="BT97" i="3"/>
  <c r="BS97" i="3"/>
  <c r="BR97" i="3"/>
  <c r="BQ97" i="3"/>
  <c r="BP97" i="3"/>
  <c r="BO97" i="3"/>
  <c r="BN97" i="3"/>
  <c r="BM97" i="3"/>
  <c r="BL97" i="3"/>
  <c r="BK97" i="3"/>
  <c r="BJ97" i="3"/>
  <c r="BI97" i="3"/>
  <c r="BH97" i="3"/>
  <c r="BG97" i="3"/>
  <c r="BF97" i="3"/>
  <c r="BE97" i="3"/>
  <c r="BD97" i="3"/>
  <c r="BC97" i="3"/>
  <c r="BB97" i="3"/>
  <c r="BA97" i="3"/>
  <c r="AX97" i="3"/>
  <c r="AW97" i="3"/>
  <c r="AV97" i="3"/>
  <c r="BT96" i="3"/>
  <c r="BS96" i="3"/>
  <c r="BR96" i="3"/>
  <c r="BQ96" i="3"/>
  <c r="BP96" i="3"/>
  <c r="BO96" i="3"/>
  <c r="BN96" i="3"/>
  <c r="BM96" i="3"/>
  <c r="BL96" i="3"/>
  <c r="BK96" i="3"/>
  <c r="BJ96" i="3"/>
  <c r="BI96" i="3"/>
  <c r="BH96" i="3"/>
  <c r="BG96" i="3"/>
  <c r="BF96" i="3"/>
  <c r="BE96" i="3"/>
  <c r="BD96" i="3"/>
  <c r="BC96" i="3"/>
  <c r="BB96" i="3"/>
  <c r="BA96" i="3"/>
  <c r="AZ96" i="3"/>
  <c r="AX96" i="3"/>
  <c r="AW96" i="3"/>
  <c r="AV96" i="3"/>
  <c r="BT95" i="3"/>
  <c r="BS95" i="3"/>
  <c r="BR95" i="3"/>
  <c r="BQ95" i="3"/>
  <c r="BP95" i="3"/>
  <c r="BO95" i="3"/>
  <c r="BN95" i="3"/>
  <c r="BM95" i="3"/>
  <c r="BL95" i="3"/>
  <c r="BK95" i="3"/>
  <c r="BJ95" i="3"/>
  <c r="BI95" i="3"/>
  <c r="BH95" i="3"/>
  <c r="BG95" i="3"/>
  <c r="BF95" i="3"/>
  <c r="BE95" i="3"/>
  <c r="BD95" i="3"/>
  <c r="BC95" i="3"/>
  <c r="BB95" i="3"/>
  <c r="BA95" i="3"/>
  <c r="AZ95" i="3"/>
  <c r="AX95" i="3"/>
  <c r="AW95" i="3"/>
  <c r="AV95" i="3"/>
  <c r="BT94" i="3"/>
  <c r="BS94" i="3"/>
  <c r="BR94" i="3"/>
  <c r="BQ94" i="3"/>
  <c r="BP94" i="3"/>
  <c r="BO94" i="3"/>
  <c r="BN94" i="3"/>
  <c r="BM94" i="3"/>
  <c r="BL94" i="3"/>
  <c r="BK94" i="3"/>
  <c r="BJ94" i="3"/>
  <c r="BI94" i="3"/>
  <c r="BH94" i="3"/>
  <c r="BG94" i="3"/>
  <c r="BF94" i="3"/>
  <c r="BE94" i="3"/>
  <c r="BD94" i="3"/>
  <c r="BC94" i="3"/>
  <c r="BB94" i="3"/>
  <c r="BA94" i="3"/>
  <c r="AX94" i="3"/>
  <c r="AW94" i="3"/>
  <c r="AV94" i="3"/>
  <c r="BT93" i="3"/>
  <c r="BS93" i="3"/>
  <c r="BR93" i="3"/>
  <c r="BQ93" i="3"/>
  <c r="BP93" i="3"/>
  <c r="BO93" i="3"/>
  <c r="BN93" i="3"/>
  <c r="BM93" i="3"/>
  <c r="BL93" i="3"/>
  <c r="BK93" i="3"/>
  <c r="BJ93" i="3"/>
  <c r="BI93" i="3"/>
  <c r="BH93" i="3"/>
  <c r="BG93" i="3"/>
  <c r="BF93" i="3"/>
  <c r="BE93" i="3"/>
  <c r="BD93" i="3"/>
  <c r="BC93" i="3"/>
  <c r="BB93" i="3"/>
  <c r="BA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Z91" i="3"/>
  <c r="AX91" i="3"/>
  <c r="AW91" i="3"/>
  <c r="AV91" i="3"/>
  <c r="BT90" i="3"/>
  <c r="BS90" i="3"/>
  <c r="BR90" i="3"/>
  <c r="BQ90" i="3"/>
  <c r="BP90" i="3"/>
  <c r="BO90" i="3"/>
  <c r="BN90" i="3"/>
  <c r="BM90" i="3"/>
  <c r="BL90" i="3"/>
  <c r="BK90" i="3"/>
  <c r="BJ90" i="3"/>
  <c r="BI90" i="3"/>
  <c r="BH90" i="3"/>
  <c r="BG90" i="3"/>
  <c r="BF90" i="3"/>
  <c r="BE90" i="3"/>
  <c r="BD90" i="3"/>
  <c r="BC90" i="3"/>
  <c r="BB90" i="3"/>
  <c r="BA90" i="3"/>
  <c r="AZ90" i="3"/>
  <c r="AX90" i="3"/>
  <c r="AW90" i="3"/>
  <c r="AV90" i="3"/>
  <c r="BT89" i="3"/>
  <c r="BS89" i="3"/>
  <c r="BR89" i="3"/>
  <c r="BQ89" i="3"/>
  <c r="BP89" i="3"/>
  <c r="BO89" i="3"/>
  <c r="BN89" i="3"/>
  <c r="BM89" i="3"/>
  <c r="BL89" i="3"/>
  <c r="BK89" i="3"/>
  <c r="BJ89" i="3"/>
  <c r="BI89" i="3"/>
  <c r="BH89" i="3"/>
  <c r="BG89" i="3"/>
  <c r="BF89" i="3"/>
  <c r="BE89" i="3"/>
  <c r="BD89" i="3"/>
  <c r="BC89" i="3"/>
  <c r="BB89" i="3"/>
  <c r="BA89" i="3"/>
  <c r="AX89" i="3"/>
  <c r="AW89" i="3"/>
  <c r="AV89" i="3"/>
  <c r="BT88" i="3"/>
  <c r="BS88" i="3"/>
  <c r="BR88" i="3"/>
  <c r="BQ88" i="3"/>
  <c r="BP88" i="3"/>
  <c r="BO88" i="3"/>
  <c r="BN88" i="3"/>
  <c r="BM88" i="3"/>
  <c r="BL88" i="3"/>
  <c r="BK88" i="3"/>
  <c r="BJ88" i="3"/>
  <c r="BI88" i="3"/>
  <c r="BH88" i="3"/>
  <c r="BG88" i="3"/>
  <c r="BF88" i="3"/>
  <c r="BE88" i="3"/>
  <c r="BD88" i="3"/>
  <c r="BC88" i="3"/>
  <c r="BB88" i="3"/>
  <c r="BA88" i="3"/>
  <c r="AX88" i="3"/>
  <c r="AW88" i="3"/>
  <c r="AV88" i="3"/>
  <c r="BT87" i="3"/>
  <c r="BS87" i="3"/>
  <c r="BR87" i="3"/>
  <c r="BQ87" i="3"/>
  <c r="BP87" i="3"/>
  <c r="BO87" i="3"/>
  <c r="BN87" i="3"/>
  <c r="BM87" i="3"/>
  <c r="BL87" i="3"/>
  <c r="BK87" i="3"/>
  <c r="BJ87" i="3"/>
  <c r="BI87" i="3"/>
  <c r="BH87" i="3"/>
  <c r="BG87" i="3"/>
  <c r="BF87" i="3"/>
  <c r="BE87" i="3"/>
  <c r="BD87" i="3"/>
  <c r="BC87" i="3"/>
  <c r="BB87" i="3"/>
  <c r="BA87" i="3"/>
  <c r="AZ87" i="3"/>
  <c r="AX87" i="3"/>
  <c r="AW87" i="3"/>
  <c r="AV87" i="3"/>
  <c r="BT86" i="3"/>
  <c r="BS86" i="3"/>
  <c r="BR86" i="3"/>
  <c r="BQ86" i="3"/>
  <c r="BP86" i="3"/>
  <c r="BO86" i="3"/>
  <c r="BN86" i="3"/>
  <c r="BM86" i="3"/>
  <c r="BL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c r="AX85" i="3"/>
  <c r="AW85" i="3"/>
  <c r="AV85" i="3"/>
  <c r="BT84" i="3"/>
  <c r="BS84" i="3"/>
  <c r="BR84" i="3"/>
  <c r="BQ84" i="3"/>
  <c r="BP84" i="3"/>
  <c r="BO84" i="3"/>
  <c r="BN84" i="3"/>
  <c r="BM84" i="3"/>
  <c r="BL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c r="AX83" i="3"/>
  <c r="AW83" i="3"/>
  <c r="AV83" i="3"/>
  <c r="BT82" i="3"/>
  <c r="BS82" i="3"/>
  <c r="BR82" i="3"/>
  <c r="BQ82" i="3"/>
  <c r="BP82" i="3"/>
  <c r="BO82" i="3"/>
  <c r="BN82" i="3"/>
  <c r="BM82" i="3"/>
  <c r="BL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c r="AZ81" i="3"/>
  <c r="AX81" i="3"/>
  <c r="AW81" i="3"/>
  <c r="AV81" i="3"/>
  <c r="BT80" i="3"/>
  <c r="BS80" i="3"/>
  <c r="BR80" i="3"/>
  <c r="BQ80" i="3"/>
  <c r="BP80" i="3"/>
  <c r="BO80" i="3"/>
  <c r="BN80" i="3"/>
  <c r="BM80" i="3"/>
  <c r="BL80" i="3"/>
  <c r="BK80" i="3"/>
  <c r="BJ80" i="3"/>
  <c r="BI80" i="3"/>
  <c r="BH80" i="3"/>
  <c r="BG80" i="3"/>
  <c r="BF80" i="3"/>
  <c r="BE80" i="3"/>
  <c r="BD80" i="3"/>
  <c r="BC80" i="3"/>
  <c r="BB80" i="3"/>
  <c r="BA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BT78" i="3"/>
  <c r="BS78" i="3"/>
  <c r="BR78" i="3"/>
  <c r="BQ78" i="3"/>
  <c r="BP78" i="3"/>
  <c r="BO78" i="3"/>
  <c r="BN78" i="3"/>
  <c r="BM78" i="3"/>
  <c r="BL78" i="3"/>
  <c r="BK78" i="3"/>
  <c r="BJ78" i="3"/>
  <c r="BI78" i="3"/>
  <c r="BH78" i="3"/>
  <c r="BG78" i="3"/>
  <c r="BF78" i="3"/>
  <c r="BE78" i="3"/>
  <c r="BD78" i="3"/>
  <c r="BC78" i="3"/>
  <c r="BB78" i="3"/>
  <c r="BA78" i="3"/>
  <c r="AZ78" i="3"/>
  <c r="AX78" i="3"/>
  <c r="AW78" i="3"/>
  <c r="AV78" i="3"/>
  <c r="BT77" i="3"/>
  <c r="BS77" i="3"/>
  <c r="BR77" i="3"/>
  <c r="BQ77" i="3"/>
  <c r="BP77" i="3"/>
  <c r="BO77" i="3"/>
  <c r="BN77" i="3"/>
  <c r="BM77" i="3"/>
  <c r="BL77" i="3"/>
  <c r="BK77" i="3"/>
  <c r="BJ77" i="3"/>
  <c r="BI77" i="3"/>
  <c r="BH77" i="3"/>
  <c r="BG77" i="3"/>
  <c r="BF77" i="3"/>
  <c r="BE77" i="3"/>
  <c r="BD77" i="3"/>
  <c r="BC77" i="3"/>
  <c r="BB77" i="3"/>
  <c r="BA77" i="3"/>
  <c r="AX77" i="3"/>
  <c r="AW77" i="3"/>
  <c r="AV77" i="3"/>
  <c r="BT76" i="3"/>
  <c r="BS76" i="3"/>
  <c r="BR76" i="3"/>
  <c r="BQ76" i="3"/>
  <c r="BP76" i="3"/>
  <c r="BO76" i="3"/>
  <c r="BN76" i="3"/>
  <c r="BM76" i="3"/>
  <c r="BL76" i="3"/>
  <c r="BK76" i="3"/>
  <c r="BJ76" i="3"/>
  <c r="BI76" i="3"/>
  <c r="BH76" i="3"/>
  <c r="BG76" i="3"/>
  <c r="BF76" i="3"/>
  <c r="BE76" i="3"/>
  <c r="BD76" i="3"/>
  <c r="BC76" i="3"/>
  <c r="BB76" i="3"/>
  <c r="BA76" i="3"/>
  <c r="AZ76" i="3"/>
  <c r="AX76" i="3"/>
  <c r="AW76" i="3"/>
  <c r="AV76" i="3"/>
  <c r="BT75" i="3"/>
  <c r="BS75" i="3"/>
  <c r="BR75" i="3"/>
  <c r="BQ75" i="3"/>
  <c r="BP75" i="3"/>
  <c r="BO75" i="3"/>
  <c r="BN75" i="3"/>
  <c r="BM75" i="3"/>
  <c r="BL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c r="AX74" i="3"/>
  <c r="AW74" i="3"/>
  <c r="AV74" i="3"/>
  <c r="BT73" i="3"/>
  <c r="BS73" i="3"/>
  <c r="BR73" i="3"/>
  <c r="BQ73" i="3"/>
  <c r="BP73" i="3"/>
  <c r="BO73" i="3"/>
  <c r="BN73" i="3"/>
  <c r="BM73" i="3"/>
  <c r="BL73" i="3"/>
  <c r="BK73" i="3"/>
  <c r="BJ73" i="3"/>
  <c r="BI73" i="3"/>
  <c r="BH73" i="3"/>
  <c r="BG73" i="3"/>
  <c r="BF73" i="3"/>
  <c r="BE73" i="3"/>
  <c r="BD73" i="3"/>
  <c r="BC73" i="3"/>
  <c r="BB73" i="3"/>
  <c r="BA73" i="3"/>
  <c r="AZ73" i="3"/>
  <c r="AX73" i="3"/>
  <c r="AW73" i="3"/>
  <c r="AV73" i="3"/>
  <c r="BT72" i="3"/>
  <c r="BS72" i="3"/>
  <c r="BR72" i="3"/>
  <c r="BQ72" i="3"/>
  <c r="BP72" i="3"/>
  <c r="BO72" i="3"/>
  <c r="BN72" i="3"/>
  <c r="BM72" i="3"/>
  <c r="BL72" i="3"/>
  <c r="BK72" i="3"/>
  <c r="BJ72" i="3"/>
  <c r="BI72" i="3"/>
  <c r="BH72" i="3"/>
  <c r="BG72" i="3"/>
  <c r="BF72" i="3"/>
  <c r="BE72" i="3"/>
  <c r="BD72" i="3"/>
  <c r="BC72" i="3"/>
  <c r="BB72" i="3"/>
  <c r="BA72" i="3"/>
  <c r="AX72" i="3"/>
  <c r="AW72" i="3"/>
  <c r="AV72" i="3"/>
  <c r="BT71" i="3"/>
  <c r="BS71" i="3"/>
  <c r="BR71" i="3"/>
  <c r="BQ71" i="3"/>
  <c r="BP71" i="3"/>
  <c r="BO71" i="3"/>
  <c r="BN71" i="3"/>
  <c r="BM71" i="3"/>
  <c r="BL71" i="3"/>
  <c r="BK71" i="3"/>
  <c r="BJ71" i="3"/>
  <c r="BI71" i="3"/>
  <c r="BH71" i="3"/>
  <c r="BG71" i="3"/>
  <c r="BF71" i="3"/>
  <c r="BE71" i="3"/>
  <c r="BD71" i="3"/>
  <c r="BC71" i="3"/>
  <c r="BB71" i="3"/>
  <c r="BA71" i="3"/>
  <c r="AX71" i="3"/>
  <c r="AW71" i="3"/>
  <c r="AV71" i="3"/>
  <c r="BT70" i="3"/>
  <c r="BS70" i="3"/>
  <c r="BR70" i="3"/>
  <c r="BQ70" i="3"/>
  <c r="BP70" i="3"/>
  <c r="BO70" i="3"/>
  <c r="BN70" i="3"/>
  <c r="BM70" i="3"/>
  <c r="BL70" i="3"/>
  <c r="BK70" i="3"/>
  <c r="BJ70" i="3"/>
  <c r="BI70" i="3"/>
  <c r="BH70" i="3"/>
  <c r="BG70" i="3"/>
  <c r="BF70" i="3"/>
  <c r="BE70" i="3"/>
  <c r="BD70" i="3"/>
  <c r="BC70" i="3"/>
  <c r="BB70" i="3"/>
  <c r="BA70" i="3"/>
  <c r="AZ70" i="3"/>
  <c r="AX70" i="3"/>
  <c r="AW70" i="3"/>
  <c r="AV70" i="3"/>
  <c r="BT69" i="3"/>
  <c r="BS69" i="3"/>
  <c r="BR69" i="3"/>
  <c r="BQ69" i="3"/>
  <c r="BP69" i="3"/>
  <c r="BO69" i="3"/>
  <c r="BN69" i="3"/>
  <c r="BM69" i="3"/>
  <c r="BL69" i="3"/>
  <c r="BK69" i="3"/>
  <c r="BJ69" i="3"/>
  <c r="BI69" i="3"/>
  <c r="BH69" i="3"/>
  <c r="BG69" i="3"/>
  <c r="BF69" i="3"/>
  <c r="BE69" i="3"/>
  <c r="BD69" i="3"/>
  <c r="BC69" i="3"/>
  <c r="BB69" i="3"/>
  <c r="BA69" i="3"/>
  <c r="AX69" i="3"/>
  <c r="AW69" i="3"/>
  <c r="AV69" i="3"/>
  <c r="BT68" i="3"/>
  <c r="BS68" i="3"/>
  <c r="BR68" i="3"/>
  <c r="BQ68" i="3"/>
  <c r="BP68" i="3"/>
  <c r="BO68" i="3"/>
  <c r="BN68" i="3"/>
  <c r="BM68" i="3"/>
  <c r="BL68" i="3"/>
  <c r="BK68" i="3"/>
  <c r="BJ68" i="3"/>
  <c r="BI68" i="3"/>
  <c r="BH68" i="3"/>
  <c r="BG68" i="3"/>
  <c r="BF68" i="3"/>
  <c r="BE68" i="3"/>
  <c r="BD68" i="3"/>
  <c r="BC68" i="3"/>
  <c r="BB68" i="3"/>
  <c r="BA68" i="3"/>
  <c r="AZ68" i="3"/>
  <c r="AX68" i="3"/>
  <c r="AW68" i="3"/>
  <c r="AV68" i="3"/>
  <c r="BT67" i="3"/>
  <c r="BS67" i="3"/>
  <c r="BR67" i="3"/>
  <c r="BQ67" i="3"/>
  <c r="BP67" i="3"/>
  <c r="BO67" i="3"/>
  <c r="BN67" i="3"/>
  <c r="BM67" i="3"/>
  <c r="BL67" i="3"/>
  <c r="BK67" i="3"/>
  <c r="BJ67" i="3"/>
  <c r="BI67" i="3"/>
  <c r="BH67" i="3"/>
  <c r="BG67" i="3"/>
  <c r="BF67" i="3"/>
  <c r="BE67" i="3"/>
  <c r="BD67" i="3"/>
  <c r="BC67" i="3"/>
  <c r="BB67" i="3"/>
  <c r="BA67" i="3"/>
  <c r="AX67" i="3"/>
  <c r="AW67" i="3"/>
  <c r="AV67" i="3"/>
  <c r="BT66" i="3"/>
  <c r="BS66" i="3"/>
  <c r="BR66" i="3"/>
  <c r="BQ66" i="3"/>
  <c r="BP66" i="3"/>
  <c r="BO66" i="3"/>
  <c r="BN66" i="3"/>
  <c r="BM66" i="3"/>
  <c r="BL66" i="3"/>
  <c r="BK66" i="3"/>
  <c r="BJ66" i="3"/>
  <c r="BI66" i="3"/>
  <c r="BH66" i="3"/>
  <c r="BG66" i="3"/>
  <c r="BF66" i="3"/>
  <c r="BE66" i="3"/>
  <c r="BD66" i="3"/>
  <c r="BC66" i="3"/>
  <c r="BB66" i="3"/>
  <c r="BA66" i="3"/>
  <c r="AX66" i="3"/>
  <c r="AW66" i="3"/>
  <c r="AV66" i="3"/>
  <c r="BT65" i="3"/>
  <c r="BS65" i="3"/>
  <c r="BR65" i="3"/>
  <c r="BQ65" i="3"/>
  <c r="BP65" i="3"/>
  <c r="BO65" i="3"/>
  <c r="BN65" i="3"/>
  <c r="BM65" i="3"/>
  <c r="BL65" i="3"/>
  <c r="BK65" i="3"/>
  <c r="BJ65" i="3"/>
  <c r="BI65" i="3"/>
  <c r="BH65" i="3"/>
  <c r="BG65" i="3"/>
  <c r="BF65" i="3"/>
  <c r="BE65" i="3"/>
  <c r="BD65" i="3"/>
  <c r="BC65" i="3"/>
  <c r="BB65" i="3"/>
  <c r="BA65" i="3"/>
  <c r="AZ65" i="3"/>
  <c r="AX65" i="3"/>
  <c r="AW65" i="3"/>
  <c r="AV65" i="3"/>
  <c r="BT64" i="3"/>
  <c r="BS64" i="3"/>
  <c r="BR64" i="3"/>
  <c r="BQ64" i="3"/>
  <c r="BP64" i="3"/>
  <c r="BO64" i="3"/>
  <c r="BN64" i="3"/>
  <c r="BM64" i="3"/>
  <c r="BL64" i="3"/>
  <c r="BK64" i="3"/>
  <c r="BJ64" i="3"/>
  <c r="BI64" i="3"/>
  <c r="BH64" i="3"/>
  <c r="BG64" i="3"/>
  <c r="BF64" i="3"/>
  <c r="BE64" i="3"/>
  <c r="BD64" i="3"/>
  <c r="BC64" i="3"/>
  <c r="BB64" i="3"/>
  <c r="BA64" i="3"/>
  <c r="AZ64" i="3"/>
  <c r="AX64" i="3"/>
  <c r="AW64" i="3"/>
  <c r="AV64" i="3"/>
  <c r="BT63" i="3"/>
  <c r="BS63" i="3"/>
  <c r="BR63" i="3"/>
  <c r="BQ63" i="3"/>
  <c r="BP63" i="3"/>
  <c r="BO63" i="3"/>
  <c r="BN63" i="3"/>
  <c r="BM63" i="3"/>
  <c r="BL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c r="AZ62" i="3"/>
  <c r="AX62" i="3"/>
  <c r="AW62" i="3"/>
  <c r="AV62" i="3"/>
  <c r="BT61" i="3"/>
  <c r="BS61" i="3"/>
  <c r="BR61" i="3"/>
  <c r="BQ61" i="3"/>
  <c r="BP61" i="3"/>
  <c r="BO61" i="3"/>
  <c r="BN61" i="3"/>
  <c r="BM61" i="3"/>
  <c r="BL61" i="3"/>
  <c r="BK61" i="3"/>
  <c r="BJ61" i="3"/>
  <c r="BI61" i="3"/>
  <c r="BH61" i="3"/>
  <c r="BG61" i="3"/>
  <c r="BF61" i="3"/>
  <c r="BE61" i="3"/>
  <c r="BD61" i="3"/>
  <c r="BC61" i="3"/>
  <c r="BB61" i="3"/>
  <c r="BA61" i="3"/>
  <c r="AX61" i="3"/>
  <c r="AW61" i="3"/>
  <c r="AV61" i="3"/>
  <c r="BT60" i="3"/>
  <c r="BS60" i="3"/>
  <c r="BR60" i="3"/>
  <c r="BQ60" i="3"/>
  <c r="BP60" i="3"/>
  <c r="BO60" i="3"/>
  <c r="BN60" i="3"/>
  <c r="BM60" i="3"/>
  <c r="BL60" i="3"/>
  <c r="BK60" i="3"/>
  <c r="BJ60" i="3"/>
  <c r="BI60" i="3"/>
  <c r="BH60" i="3"/>
  <c r="BG60" i="3"/>
  <c r="BF60" i="3"/>
  <c r="BE60" i="3"/>
  <c r="BD60" i="3"/>
  <c r="BC60" i="3"/>
  <c r="BB60" i="3"/>
  <c r="BA60" i="3"/>
  <c r="AZ60" i="3"/>
  <c r="AX60" i="3"/>
  <c r="AW60" i="3"/>
  <c r="AV60" i="3"/>
  <c r="BT59" i="3"/>
  <c r="BS59" i="3"/>
  <c r="BR59" i="3"/>
  <c r="BQ59" i="3"/>
  <c r="BP59" i="3"/>
  <c r="BO59" i="3"/>
  <c r="BN59" i="3"/>
  <c r="BM59" i="3"/>
  <c r="BL59" i="3"/>
  <c r="BK59" i="3"/>
  <c r="BJ59" i="3"/>
  <c r="BI59" i="3"/>
  <c r="BH59" i="3"/>
  <c r="BG59" i="3"/>
  <c r="BF59" i="3"/>
  <c r="BE59" i="3"/>
  <c r="BD59" i="3"/>
  <c r="BC59" i="3"/>
  <c r="BB59" i="3"/>
  <c r="BA59" i="3"/>
  <c r="AX59" i="3"/>
  <c r="AW59" i="3"/>
  <c r="AV59" i="3"/>
  <c r="BT58" i="3"/>
  <c r="BS58" i="3"/>
  <c r="BR58" i="3"/>
  <c r="BQ58" i="3"/>
  <c r="BP58" i="3"/>
  <c r="BO58" i="3"/>
  <c r="BN58" i="3"/>
  <c r="BM58" i="3"/>
  <c r="BL58" i="3"/>
  <c r="BK58" i="3"/>
  <c r="BJ58" i="3"/>
  <c r="BI58" i="3"/>
  <c r="BH58" i="3"/>
  <c r="BG58" i="3"/>
  <c r="BF58" i="3"/>
  <c r="BE58" i="3"/>
  <c r="BD58" i="3"/>
  <c r="BC58" i="3"/>
  <c r="BB58" i="3"/>
  <c r="BA58" i="3"/>
  <c r="AX58" i="3"/>
  <c r="AW58" i="3"/>
  <c r="AV58" i="3"/>
  <c r="BT57" i="3"/>
  <c r="BS57" i="3"/>
  <c r="BR57" i="3"/>
  <c r="BQ57" i="3"/>
  <c r="BP57" i="3"/>
  <c r="BO57" i="3"/>
  <c r="BN57" i="3"/>
  <c r="BM57" i="3"/>
  <c r="BL57" i="3"/>
  <c r="BK57" i="3"/>
  <c r="BJ57" i="3"/>
  <c r="BI57" i="3"/>
  <c r="BH57" i="3"/>
  <c r="BG57" i="3"/>
  <c r="BF57" i="3"/>
  <c r="BE57" i="3"/>
  <c r="BD57" i="3"/>
  <c r="BC57" i="3"/>
  <c r="BB57" i="3"/>
  <c r="BA57" i="3"/>
  <c r="AZ57" i="3"/>
  <c r="AX57" i="3"/>
  <c r="AW57" i="3"/>
  <c r="AV57" i="3"/>
  <c r="BT56" i="3"/>
  <c r="BS56" i="3"/>
  <c r="BR56" i="3"/>
  <c r="BQ56" i="3"/>
  <c r="BP56" i="3"/>
  <c r="BO56" i="3"/>
  <c r="BN56" i="3"/>
  <c r="BM56" i="3"/>
  <c r="BL56" i="3"/>
  <c r="BK56" i="3"/>
  <c r="BJ56" i="3"/>
  <c r="BI56" i="3"/>
  <c r="BH56" i="3"/>
  <c r="BG56" i="3"/>
  <c r="BF56" i="3"/>
  <c r="BE56" i="3"/>
  <c r="BD56" i="3"/>
  <c r="BC56" i="3"/>
  <c r="BB56" i="3"/>
  <c r="BA56" i="3"/>
  <c r="AZ56" i="3"/>
  <c r="AX56" i="3"/>
  <c r="AW56" i="3"/>
  <c r="AV56" i="3"/>
  <c r="BT55" i="3"/>
  <c r="BS55" i="3"/>
  <c r="BR55" i="3"/>
  <c r="BQ55" i="3"/>
  <c r="BP55" i="3"/>
  <c r="BO55" i="3"/>
  <c r="BN55" i="3"/>
  <c r="BM55" i="3"/>
  <c r="BL55" i="3"/>
  <c r="BK55" i="3"/>
  <c r="BJ55" i="3"/>
  <c r="BI55" i="3"/>
  <c r="BH55" i="3"/>
  <c r="BG55" i="3"/>
  <c r="BF55" i="3"/>
  <c r="BE55" i="3"/>
  <c r="BD55" i="3"/>
  <c r="BC55" i="3"/>
  <c r="BB55" i="3"/>
  <c r="BA55" i="3"/>
  <c r="AX55" i="3"/>
  <c r="AW55" i="3"/>
  <c r="AV55" i="3"/>
  <c r="BT54" i="3"/>
  <c r="BS54" i="3"/>
  <c r="BR54" i="3"/>
  <c r="BQ54" i="3"/>
  <c r="BP54" i="3"/>
  <c r="BO54" i="3"/>
  <c r="BN54" i="3"/>
  <c r="BM54" i="3"/>
  <c r="BL54" i="3"/>
  <c r="BK54" i="3"/>
  <c r="BJ54" i="3"/>
  <c r="BI54" i="3"/>
  <c r="BH54" i="3"/>
  <c r="BG54" i="3"/>
  <c r="BF54" i="3"/>
  <c r="BE54" i="3"/>
  <c r="BD54" i="3"/>
  <c r="BC54" i="3"/>
  <c r="BB54" i="3"/>
  <c r="BA54" i="3"/>
  <c r="AZ54" i="3"/>
  <c r="AX54" i="3"/>
  <c r="AW54" i="3"/>
  <c r="AV54" i="3"/>
  <c r="BT53" i="3"/>
  <c r="BS53" i="3"/>
  <c r="BR53" i="3"/>
  <c r="BQ53" i="3"/>
  <c r="BP53" i="3"/>
  <c r="BO53" i="3"/>
  <c r="BN53" i="3"/>
  <c r="BM53" i="3"/>
  <c r="BL53" i="3"/>
  <c r="BK53" i="3"/>
  <c r="BJ53" i="3"/>
  <c r="BI53" i="3"/>
  <c r="BH53" i="3"/>
  <c r="BG53" i="3"/>
  <c r="BF53" i="3"/>
  <c r="BE53" i="3"/>
  <c r="BD53" i="3"/>
  <c r="BC53" i="3"/>
  <c r="BB53" i="3"/>
  <c r="BA53" i="3"/>
  <c r="AX53" i="3"/>
  <c r="AW53" i="3"/>
  <c r="AV53" i="3"/>
  <c r="BT52" i="3"/>
  <c r="BS52" i="3"/>
  <c r="BR52" i="3"/>
  <c r="BQ52" i="3"/>
  <c r="BP52" i="3"/>
  <c r="BO52" i="3"/>
  <c r="BN52" i="3"/>
  <c r="BM52" i="3"/>
  <c r="BL52" i="3"/>
  <c r="BK52" i="3"/>
  <c r="BJ52" i="3"/>
  <c r="BI52" i="3"/>
  <c r="BH52" i="3"/>
  <c r="BG52" i="3"/>
  <c r="BF52" i="3"/>
  <c r="BE52" i="3"/>
  <c r="BD52" i="3"/>
  <c r="BC52" i="3"/>
  <c r="BB52" i="3"/>
  <c r="BA52" i="3"/>
  <c r="AZ52" i="3"/>
  <c r="AX52" i="3"/>
  <c r="AW52" i="3"/>
  <c r="AV52" i="3"/>
  <c r="BT51" i="3"/>
  <c r="BS51" i="3"/>
  <c r="BR51" i="3"/>
  <c r="BQ51" i="3"/>
  <c r="BP51" i="3"/>
  <c r="BO51" i="3"/>
  <c r="BN51" i="3"/>
  <c r="BM51" i="3"/>
  <c r="BL51" i="3"/>
  <c r="BK51" i="3"/>
  <c r="BJ51" i="3"/>
  <c r="BI51" i="3"/>
  <c r="BH51" i="3"/>
  <c r="BG51" i="3"/>
  <c r="BF51" i="3"/>
  <c r="BE51" i="3"/>
  <c r="BD51" i="3"/>
  <c r="BC51" i="3"/>
  <c r="BB51" i="3"/>
  <c r="BA51" i="3"/>
  <c r="AX51" i="3"/>
  <c r="AW51" i="3"/>
  <c r="AV51" i="3"/>
  <c r="BT50" i="3"/>
  <c r="BS50" i="3"/>
  <c r="BR50" i="3"/>
  <c r="BQ50" i="3"/>
  <c r="BP50" i="3"/>
  <c r="BO50" i="3"/>
  <c r="BN50" i="3"/>
  <c r="BM50" i="3"/>
  <c r="BL50" i="3"/>
  <c r="BK50" i="3"/>
  <c r="BJ50" i="3"/>
  <c r="BI50" i="3"/>
  <c r="BH50" i="3"/>
  <c r="BG50" i="3"/>
  <c r="BF50" i="3"/>
  <c r="BE50" i="3"/>
  <c r="BD50" i="3"/>
  <c r="BC50" i="3"/>
  <c r="BB50" i="3"/>
  <c r="BA50" i="3"/>
  <c r="AX50" i="3"/>
  <c r="AW50" i="3"/>
  <c r="AV50" i="3"/>
  <c r="BT49" i="3"/>
  <c r="BS49" i="3"/>
  <c r="BR49" i="3"/>
  <c r="BQ49" i="3"/>
  <c r="BP49" i="3"/>
  <c r="BO49" i="3"/>
  <c r="BN49" i="3"/>
  <c r="BM49" i="3"/>
  <c r="BL49" i="3"/>
  <c r="BK49" i="3"/>
  <c r="BJ49" i="3"/>
  <c r="BI49" i="3"/>
  <c r="BH49" i="3"/>
  <c r="BG49" i="3"/>
  <c r="BF49" i="3"/>
  <c r="BE49" i="3"/>
  <c r="BD49" i="3"/>
  <c r="BC49" i="3"/>
  <c r="BB49" i="3"/>
  <c r="BA49" i="3"/>
  <c r="AZ49" i="3"/>
  <c r="AX49" i="3"/>
  <c r="AW49" i="3"/>
  <c r="AV49" i="3"/>
  <c r="BT48" i="3"/>
  <c r="BS48" i="3"/>
  <c r="BR48" i="3"/>
  <c r="BQ48" i="3"/>
  <c r="BP48" i="3"/>
  <c r="BO48" i="3"/>
  <c r="BN48" i="3"/>
  <c r="BM48" i="3"/>
  <c r="BL48" i="3"/>
  <c r="BK48" i="3"/>
  <c r="BJ48" i="3"/>
  <c r="BI48" i="3"/>
  <c r="BH48" i="3"/>
  <c r="BG48" i="3"/>
  <c r="BF48" i="3"/>
  <c r="BE48" i="3"/>
  <c r="BD48" i="3"/>
  <c r="BC48" i="3"/>
  <c r="BB48" i="3"/>
  <c r="BA48" i="3"/>
  <c r="AZ48" i="3"/>
  <c r="AX48" i="3"/>
  <c r="AW48" i="3"/>
  <c r="AV48" i="3"/>
  <c r="BT47" i="3"/>
  <c r="BS47" i="3"/>
  <c r="BR47" i="3"/>
  <c r="BQ47" i="3"/>
  <c r="BP47" i="3"/>
  <c r="BO47" i="3"/>
  <c r="BN47" i="3"/>
  <c r="BM47" i="3"/>
  <c r="BL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c r="AZ46" i="3"/>
  <c r="AX46" i="3"/>
  <c r="AW46" i="3"/>
  <c r="AV46" i="3"/>
  <c r="BT45" i="3"/>
  <c r="BS45" i="3"/>
  <c r="BR45" i="3"/>
  <c r="BQ45" i="3"/>
  <c r="BP45" i="3"/>
  <c r="BO45" i="3"/>
  <c r="BN45" i="3"/>
  <c r="BM45" i="3"/>
  <c r="BL45" i="3"/>
  <c r="BK45" i="3"/>
  <c r="BJ45" i="3"/>
  <c r="BI45" i="3"/>
  <c r="BH45" i="3"/>
  <c r="BG45" i="3"/>
  <c r="BF45" i="3"/>
  <c r="BE45" i="3"/>
  <c r="BD45" i="3"/>
  <c r="BC45" i="3"/>
  <c r="BB45" i="3"/>
  <c r="BA45" i="3"/>
  <c r="AX45" i="3"/>
  <c r="AW45" i="3"/>
  <c r="AV45" i="3"/>
  <c r="BT44" i="3"/>
  <c r="BS44" i="3"/>
  <c r="BR44" i="3"/>
  <c r="BQ44" i="3"/>
  <c r="BP44" i="3"/>
  <c r="BO44" i="3"/>
  <c r="BN44" i="3"/>
  <c r="BM44" i="3"/>
  <c r="BL44" i="3"/>
  <c r="BK44" i="3"/>
  <c r="BJ44" i="3"/>
  <c r="BI44" i="3"/>
  <c r="BH44" i="3"/>
  <c r="BG44" i="3"/>
  <c r="BF44" i="3"/>
  <c r="BE44" i="3"/>
  <c r="BD44" i="3"/>
  <c r="BC44" i="3"/>
  <c r="BB44" i="3"/>
  <c r="BA44" i="3"/>
  <c r="AZ44" i="3"/>
  <c r="AX44" i="3"/>
  <c r="AW44" i="3"/>
  <c r="AV44" i="3"/>
  <c r="BT43" i="3"/>
  <c r="BS43" i="3"/>
  <c r="BR43" i="3"/>
  <c r="BQ43" i="3"/>
  <c r="BP43" i="3"/>
  <c r="BO43" i="3"/>
  <c r="BN43" i="3"/>
  <c r="BM43" i="3"/>
  <c r="BL43" i="3"/>
  <c r="BK43" i="3"/>
  <c r="BJ43" i="3"/>
  <c r="BI43" i="3"/>
  <c r="BH43" i="3"/>
  <c r="BG43" i="3"/>
  <c r="BF43" i="3"/>
  <c r="BE43" i="3"/>
  <c r="BD43" i="3"/>
  <c r="BC43" i="3"/>
  <c r="BB43" i="3"/>
  <c r="BA43" i="3"/>
  <c r="AX43" i="3"/>
  <c r="AW43" i="3"/>
  <c r="AV43" i="3"/>
  <c r="BT42" i="3"/>
  <c r="BS42" i="3"/>
  <c r="BR42" i="3"/>
  <c r="BQ42" i="3"/>
  <c r="BP42" i="3"/>
  <c r="BO42" i="3"/>
  <c r="BN42" i="3"/>
  <c r="BM42" i="3"/>
  <c r="BL42" i="3"/>
  <c r="BK42" i="3"/>
  <c r="BJ42" i="3"/>
  <c r="BI42" i="3"/>
  <c r="BH42" i="3"/>
  <c r="BG42" i="3"/>
  <c r="BF42" i="3"/>
  <c r="BE42" i="3"/>
  <c r="BD42" i="3"/>
  <c r="BC42" i="3"/>
  <c r="BB42" i="3"/>
  <c r="BA42" i="3"/>
  <c r="AX42" i="3"/>
  <c r="AW42" i="3"/>
  <c r="AV42" i="3"/>
  <c r="BT41" i="3"/>
  <c r="BS41" i="3"/>
  <c r="BR41" i="3"/>
  <c r="BQ41" i="3"/>
  <c r="BP41" i="3"/>
  <c r="BO41" i="3"/>
  <c r="BN41" i="3"/>
  <c r="BM41" i="3"/>
  <c r="BL41" i="3"/>
  <c r="BK41" i="3"/>
  <c r="BJ41" i="3"/>
  <c r="BI41" i="3"/>
  <c r="BH41" i="3"/>
  <c r="BG41" i="3"/>
  <c r="BF41" i="3"/>
  <c r="BE41" i="3"/>
  <c r="BD41" i="3"/>
  <c r="BC41" i="3"/>
  <c r="BB41" i="3"/>
  <c r="BA41" i="3"/>
  <c r="AX41" i="3"/>
  <c r="AW41" i="3"/>
  <c r="AV41" i="3"/>
  <c r="BT40" i="3"/>
  <c r="BS40" i="3"/>
  <c r="BR40" i="3"/>
  <c r="BQ40" i="3"/>
  <c r="BP40" i="3"/>
  <c r="BO40" i="3"/>
  <c r="BN40" i="3"/>
  <c r="BM40" i="3"/>
  <c r="BL40" i="3"/>
  <c r="BK40" i="3"/>
  <c r="BJ40" i="3"/>
  <c r="BI40" i="3"/>
  <c r="BH40" i="3"/>
  <c r="BG40" i="3"/>
  <c r="BF40" i="3"/>
  <c r="BE40" i="3"/>
  <c r="BD40" i="3"/>
  <c r="BC40" i="3"/>
  <c r="BB40" i="3"/>
  <c r="BA40" i="3"/>
  <c r="AZ40" i="3"/>
  <c r="AX40" i="3"/>
  <c r="AW40" i="3"/>
  <c r="AV40" i="3"/>
  <c r="BT39" i="3"/>
  <c r="BS39" i="3"/>
  <c r="BR39" i="3"/>
  <c r="BQ39" i="3"/>
  <c r="BP39" i="3"/>
  <c r="BO39" i="3"/>
  <c r="BN39" i="3"/>
  <c r="BM39" i="3"/>
  <c r="BL39" i="3"/>
  <c r="BK39" i="3"/>
  <c r="BJ39" i="3"/>
  <c r="BI39" i="3"/>
  <c r="BH39" i="3"/>
  <c r="BG39" i="3"/>
  <c r="BF39" i="3"/>
  <c r="BE39" i="3"/>
  <c r="BD39" i="3"/>
  <c r="BC39" i="3"/>
  <c r="BB39" i="3"/>
  <c r="BA39" i="3"/>
  <c r="AX39" i="3"/>
  <c r="AW39" i="3"/>
  <c r="AV39" i="3"/>
  <c r="BT38" i="3"/>
  <c r="BS38" i="3"/>
  <c r="BR38" i="3"/>
  <c r="BQ38" i="3"/>
  <c r="BP38" i="3"/>
  <c r="BO38" i="3"/>
  <c r="BN38" i="3"/>
  <c r="BM38" i="3"/>
  <c r="BL38" i="3"/>
  <c r="BK38" i="3"/>
  <c r="BJ38" i="3"/>
  <c r="BI38" i="3"/>
  <c r="BH38" i="3"/>
  <c r="BG38" i="3"/>
  <c r="BF38" i="3"/>
  <c r="BE38" i="3"/>
  <c r="BD38" i="3"/>
  <c r="BC38" i="3"/>
  <c r="BB38" i="3"/>
  <c r="BA38" i="3"/>
  <c r="AZ38" i="3"/>
  <c r="AX38" i="3"/>
  <c r="AW38" i="3"/>
  <c r="AV38" i="3"/>
  <c r="BT37" i="3"/>
  <c r="BS37" i="3"/>
  <c r="BR37" i="3"/>
  <c r="BQ37" i="3"/>
  <c r="BP37" i="3"/>
  <c r="BO37" i="3"/>
  <c r="BN37" i="3"/>
  <c r="BM37" i="3"/>
  <c r="BL37" i="3"/>
  <c r="BK37" i="3"/>
  <c r="BJ37" i="3"/>
  <c r="BI37" i="3"/>
  <c r="BH37" i="3"/>
  <c r="BG37" i="3"/>
  <c r="BF37" i="3"/>
  <c r="BE37" i="3"/>
  <c r="BD37" i="3"/>
  <c r="BC37" i="3"/>
  <c r="BB37" i="3"/>
  <c r="BA37" i="3"/>
  <c r="AX37" i="3"/>
  <c r="AW37" i="3"/>
  <c r="AV37" i="3"/>
  <c r="BT36" i="3"/>
  <c r="BS36" i="3"/>
  <c r="BR36" i="3"/>
  <c r="BQ36" i="3"/>
  <c r="BP36" i="3"/>
  <c r="BO36" i="3"/>
  <c r="BN36" i="3"/>
  <c r="BM36" i="3"/>
  <c r="BL36" i="3"/>
  <c r="BK36" i="3"/>
  <c r="BJ36" i="3"/>
  <c r="BI36" i="3"/>
  <c r="BH36" i="3"/>
  <c r="BG36" i="3"/>
  <c r="BF36" i="3"/>
  <c r="BE36" i="3"/>
  <c r="BD36" i="3"/>
  <c r="BC36" i="3"/>
  <c r="BB36" i="3"/>
  <c r="BA36" i="3"/>
  <c r="AZ36" i="3"/>
  <c r="AX36" i="3"/>
  <c r="AW36" i="3"/>
  <c r="AV36" i="3"/>
  <c r="BT35" i="3"/>
  <c r="BS35" i="3"/>
  <c r="BR35" i="3"/>
  <c r="BQ35" i="3"/>
  <c r="BP35" i="3"/>
  <c r="BO35" i="3"/>
  <c r="BN35" i="3"/>
  <c r="BM35" i="3"/>
  <c r="BL35" i="3"/>
  <c r="BK35" i="3"/>
  <c r="BJ35" i="3"/>
  <c r="BI35" i="3"/>
  <c r="BH35" i="3"/>
  <c r="BG35" i="3"/>
  <c r="BF35" i="3"/>
  <c r="BE35" i="3"/>
  <c r="BD35" i="3"/>
  <c r="BC35" i="3"/>
  <c r="BB35" i="3"/>
  <c r="BA35" i="3"/>
  <c r="AX35" i="3"/>
  <c r="AW35" i="3"/>
  <c r="AV35" i="3"/>
  <c r="BT34" i="3"/>
  <c r="BS34" i="3"/>
  <c r="BR34" i="3"/>
  <c r="BQ34" i="3"/>
  <c r="BP34" i="3"/>
  <c r="BO34" i="3"/>
  <c r="BN34" i="3"/>
  <c r="BM34" i="3"/>
  <c r="BL34" i="3"/>
  <c r="BK34" i="3"/>
  <c r="BJ34" i="3"/>
  <c r="BI34" i="3"/>
  <c r="BH34" i="3"/>
  <c r="BG34" i="3"/>
  <c r="BF34" i="3"/>
  <c r="BE34" i="3"/>
  <c r="BD34" i="3"/>
  <c r="BC34" i="3"/>
  <c r="BB34" i="3"/>
  <c r="BA34" i="3"/>
  <c r="AZ34" i="3"/>
  <c r="AX34" i="3"/>
  <c r="AW34" i="3"/>
  <c r="AV34" i="3"/>
  <c r="BT33" i="3"/>
  <c r="BS33" i="3"/>
  <c r="BR33" i="3"/>
  <c r="BQ33" i="3"/>
  <c r="BP33" i="3"/>
  <c r="BO33" i="3"/>
  <c r="BN33" i="3"/>
  <c r="BM33" i="3"/>
  <c r="BL33" i="3"/>
  <c r="BK33" i="3"/>
  <c r="BJ33" i="3"/>
  <c r="BI33" i="3"/>
  <c r="BH33" i="3"/>
  <c r="BG33" i="3"/>
  <c r="BF33" i="3"/>
  <c r="BE33" i="3"/>
  <c r="BD33" i="3"/>
  <c r="BC33" i="3"/>
  <c r="BB33" i="3"/>
  <c r="BA33" i="3"/>
  <c r="AX33" i="3"/>
  <c r="AW33" i="3"/>
  <c r="AV33" i="3"/>
  <c r="BT32" i="3"/>
  <c r="BS32" i="3"/>
  <c r="BR32" i="3"/>
  <c r="BQ32" i="3"/>
  <c r="BP32" i="3"/>
  <c r="BO32" i="3"/>
  <c r="BN32" i="3"/>
  <c r="BM32" i="3"/>
  <c r="BL32" i="3"/>
  <c r="BK32" i="3"/>
  <c r="BJ32" i="3"/>
  <c r="BI32" i="3"/>
  <c r="BH32" i="3"/>
  <c r="BG32" i="3"/>
  <c r="BF32" i="3"/>
  <c r="BE32" i="3"/>
  <c r="BD32" i="3"/>
  <c r="BC32" i="3"/>
  <c r="BB32" i="3"/>
  <c r="BA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BT30" i="3"/>
  <c r="BS30" i="3"/>
  <c r="BR30" i="3"/>
  <c r="BQ30" i="3"/>
  <c r="BP30" i="3"/>
  <c r="BO30" i="3"/>
  <c r="BN30" i="3"/>
  <c r="BM30" i="3"/>
  <c r="BL30" i="3"/>
  <c r="BK30" i="3"/>
  <c r="BJ30" i="3"/>
  <c r="BI30" i="3"/>
  <c r="BH30" i="3"/>
  <c r="BG30" i="3"/>
  <c r="BF30" i="3"/>
  <c r="BE30" i="3"/>
  <c r="BD30" i="3"/>
  <c r="BC30" i="3"/>
  <c r="BB30" i="3"/>
  <c r="BA30" i="3"/>
  <c r="AZ30" i="3"/>
  <c r="AX30" i="3"/>
  <c r="AW30" i="3"/>
  <c r="AV30" i="3"/>
  <c r="BT29" i="3"/>
  <c r="BS29" i="3"/>
  <c r="BR29" i="3"/>
  <c r="BQ29" i="3"/>
  <c r="BP29" i="3"/>
  <c r="BO29" i="3"/>
  <c r="BN29" i="3"/>
  <c r="BM29" i="3"/>
  <c r="BL29" i="3"/>
  <c r="BK29" i="3"/>
  <c r="BJ29" i="3"/>
  <c r="BI29" i="3"/>
  <c r="BH29" i="3"/>
  <c r="BG29" i="3"/>
  <c r="BF29" i="3"/>
  <c r="BE29" i="3"/>
  <c r="BD29" i="3"/>
  <c r="BC29" i="3"/>
  <c r="BB29" i="3"/>
  <c r="BA29" i="3"/>
  <c r="AX29" i="3"/>
  <c r="AW29" i="3"/>
  <c r="AV29" i="3"/>
  <c r="BT28" i="3"/>
  <c r="BS28" i="3"/>
  <c r="BR28" i="3"/>
  <c r="BQ28" i="3"/>
  <c r="BP28" i="3"/>
  <c r="BO28" i="3"/>
  <c r="BN28" i="3"/>
  <c r="BM28" i="3"/>
  <c r="BL28" i="3"/>
  <c r="BK28" i="3"/>
  <c r="BJ28" i="3"/>
  <c r="BI28" i="3"/>
  <c r="BH28" i="3"/>
  <c r="BG28" i="3"/>
  <c r="BF28" i="3"/>
  <c r="BE28" i="3"/>
  <c r="BD28" i="3"/>
  <c r="BC28" i="3"/>
  <c r="BB28" i="3"/>
  <c r="BA28" i="3"/>
  <c r="AX28" i="3"/>
  <c r="AW28" i="3"/>
  <c r="AV28" i="3"/>
  <c r="BT27" i="3"/>
  <c r="BS27" i="3"/>
  <c r="BR27" i="3"/>
  <c r="BQ27" i="3"/>
  <c r="BP27" i="3"/>
  <c r="BO27" i="3"/>
  <c r="BN27" i="3"/>
  <c r="BM27" i="3"/>
  <c r="BL27" i="3"/>
  <c r="BK27" i="3"/>
  <c r="BJ27" i="3"/>
  <c r="BI27" i="3"/>
  <c r="BH27" i="3"/>
  <c r="BG27" i="3"/>
  <c r="BF27" i="3"/>
  <c r="BE27" i="3"/>
  <c r="BD27" i="3"/>
  <c r="BC27" i="3"/>
  <c r="BB27" i="3"/>
  <c r="BA27" i="3"/>
  <c r="AZ27" i="3"/>
  <c r="AX27" i="3"/>
  <c r="AW27" i="3"/>
  <c r="AV27" i="3"/>
  <c r="BT26" i="3"/>
  <c r="BS26" i="3"/>
  <c r="BR26" i="3"/>
  <c r="BQ26" i="3"/>
  <c r="BP26" i="3"/>
  <c r="BO26" i="3"/>
  <c r="BN26" i="3"/>
  <c r="BM26" i="3"/>
  <c r="BL26" i="3"/>
  <c r="BK26" i="3"/>
  <c r="BJ26" i="3"/>
  <c r="BI26" i="3"/>
  <c r="BH26" i="3"/>
  <c r="BG26" i="3"/>
  <c r="BF26" i="3"/>
  <c r="BE26" i="3"/>
  <c r="BD26" i="3"/>
  <c r="BC26" i="3"/>
  <c r="BB26" i="3"/>
  <c r="BA26" i="3"/>
  <c r="AX26" i="3"/>
  <c r="AW26" i="3"/>
  <c r="AV26" i="3"/>
  <c r="BT25" i="3"/>
  <c r="BS25" i="3"/>
  <c r="BR25" i="3"/>
  <c r="BQ25" i="3"/>
  <c r="BP25" i="3"/>
  <c r="BO25" i="3"/>
  <c r="BN25" i="3"/>
  <c r="BM25" i="3"/>
  <c r="BL25" i="3"/>
  <c r="BK25" i="3"/>
  <c r="BJ25" i="3"/>
  <c r="BI25" i="3"/>
  <c r="BH25" i="3"/>
  <c r="BG25" i="3"/>
  <c r="BF25" i="3"/>
  <c r="BE25" i="3"/>
  <c r="BD25" i="3"/>
  <c r="BC25" i="3"/>
  <c r="BB25" i="3"/>
  <c r="BA25" i="3"/>
  <c r="AZ25" i="3"/>
  <c r="AX25" i="3"/>
  <c r="AW25" i="3"/>
  <c r="AV25" i="3"/>
  <c r="BT24" i="3"/>
  <c r="BS24" i="3"/>
  <c r="BR24" i="3"/>
  <c r="BQ24" i="3"/>
  <c r="BP24" i="3"/>
  <c r="BO24" i="3"/>
  <c r="BN24" i="3"/>
  <c r="BM24" i="3"/>
  <c r="BL24" i="3"/>
  <c r="BK24" i="3"/>
  <c r="BJ24" i="3"/>
  <c r="BI24" i="3"/>
  <c r="BH24" i="3"/>
  <c r="BG24" i="3"/>
  <c r="BF24" i="3"/>
  <c r="BE24" i="3"/>
  <c r="BD24" i="3"/>
  <c r="BC24" i="3"/>
  <c r="BB24" i="3"/>
  <c r="BA24" i="3"/>
  <c r="AX24" i="3"/>
  <c r="AW24" i="3"/>
  <c r="AV24" i="3"/>
  <c r="BT23" i="3"/>
  <c r="BS23" i="3"/>
  <c r="BR23" i="3"/>
  <c r="BQ23" i="3"/>
  <c r="BP23" i="3"/>
  <c r="BO23" i="3"/>
  <c r="BN23" i="3"/>
  <c r="BM23" i="3"/>
  <c r="BL23" i="3"/>
  <c r="BK23" i="3"/>
  <c r="BJ23" i="3"/>
  <c r="BI23" i="3"/>
  <c r="BH23" i="3"/>
  <c r="BG23" i="3"/>
  <c r="BF23" i="3"/>
  <c r="BE23" i="3"/>
  <c r="BD23" i="3"/>
  <c r="BC23" i="3"/>
  <c r="BB23" i="3"/>
  <c r="BA23" i="3"/>
  <c r="AZ23" i="3"/>
  <c r="AX23" i="3"/>
  <c r="AW23" i="3"/>
  <c r="AV23" i="3"/>
  <c r="BT22" i="3"/>
  <c r="BS22" i="3"/>
  <c r="BR22" i="3"/>
  <c r="BQ22" i="3"/>
  <c r="BP22" i="3"/>
  <c r="BO22" i="3"/>
  <c r="BN22" i="3"/>
  <c r="BM22" i="3"/>
  <c r="BL22" i="3"/>
  <c r="BK22" i="3"/>
  <c r="BJ22" i="3"/>
  <c r="BI22" i="3"/>
  <c r="BH22" i="3"/>
  <c r="BG22" i="3"/>
  <c r="BF22" i="3"/>
  <c r="BE22" i="3"/>
  <c r="BD22" i="3"/>
  <c r="BC22" i="3"/>
  <c r="BB22" i="3"/>
  <c r="BA22" i="3"/>
  <c r="AZ22" i="3"/>
  <c r="AX22" i="3"/>
  <c r="AW22" i="3"/>
  <c r="AV22" i="3"/>
  <c r="BT21" i="3"/>
  <c r="BS21" i="3"/>
  <c r="BR21" i="3"/>
  <c r="BQ21" i="3"/>
  <c r="BP21" i="3"/>
  <c r="BO21" i="3"/>
  <c r="BN21" i="3"/>
  <c r="BM21" i="3"/>
  <c r="BL21" i="3"/>
  <c r="BK21" i="3"/>
  <c r="BJ21" i="3"/>
  <c r="BI21" i="3"/>
  <c r="BH21" i="3"/>
  <c r="BG21" i="3"/>
  <c r="BF21" i="3"/>
  <c r="BE21" i="3"/>
  <c r="BD21" i="3"/>
  <c r="BC21" i="3"/>
  <c r="BB21" i="3"/>
  <c r="BA21" i="3"/>
  <c r="AX21" i="3"/>
  <c r="AW21" i="3"/>
  <c r="AV21" i="3"/>
  <c r="BT20" i="3"/>
  <c r="BS20" i="3"/>
  <c r="BR20" i="3"/>
  <c r="BQ20" i="3"/>
  <c r="BP20" i="3"/>
  <c r="BO20" i="3"/>
  <c r="BN20" i="3"/>
  <c r="BM20" i="3"/>
  <c r="BL20" i="3"/>
  <c r="BK20" i="3"/>
  <c r="BJ20" i="3"/>
  <c r="BI20" i="3"/>
  <c r="BH20" i="3"/>
  <c r="BG20" i="3"/>
  <c r="BF20" i="3"/>
  <c r="BE20" i="3"/>
  <c r="BD20" i="3"/>
  <c r="BC20" i="3"/>
  <c r="BB20" i="3"/>
  <c r="BA20" i="3"/>
  <c r="AX20" i="3"/>
  <c r="AW20" i="3"/>
  <c r="AV20" i="3"/>
  <c r="BT19" i="3"/>
  <c r="BS19" i="3"/>
  <c r="BR19" i="3"/>
  <c r="BQ19" i="3"/>
  <c r="BP19" i="3"/>
  <c r="BO19" i="3"/>
  <c r="BN19" i="3"/>
  <c r="BM19" i="3"/>
  <c r="BL19" i="3"/>
  <c r="BK19" i="3"/>
  <c r="BJ19" i="3"/>
  <c r="BI19" i="3"/>
  <c r="BH19" i="3"/>
  <c r="BG19" i="3"/>
  <c r="BF19" i="3"/>
  <c r="BE19" i="3"/>
  <c r="BD19" i="3"/>
  <c r="BC19" i="3"/>
  <c r="BB19" i="3"/>
  <c r="BA19" i="3"/>
  <c r="AX19" i="3"/>
  <c r="AW19" i="3"/>
  <c r="AV19" i="3"/>
  <c r="BT18" i="3"/>
  <c r="BS18" i="3"/>
  <c r="BR18" i="3"/>
  <c r="BQ18" i="3"/>
  <c r="BP18" i="3"/>
  <c r="BO18" i="3"/>
  <c r="BN18" i="3"/>
  <c r="BM18" i="3"/>
  <c r="BL18" i="3"/>
  <c r="BK18" i="3"/>
  <c r="BJ18" i="3"/>
  <c r="BI18" i="3"/>
  <c r="BH18" i="3"/>
  <c r="BG18" i="3"/>
  <c r="BF18" i="3"/>
  <c r="BE18" i="3"/>
  <c r="BD18" i="3"/>
  <c r="BC18" i="3"/>
  <c r="BB18"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BT204" i="3"/>
  <c r="BS204" i="3"/>
  <c r="BR204" i="3"/>
  <c r="BQ204" i="3"/>
  <c r="BP204" i="3"/>
  <c r="BO204" i="3"/>
  <c r="BN204" i="3"/>
  <c r="BM204" i="3"/>
  <c r="BK204" i="3"/>
  <c r="BJ204" i="3"/>
  <c r="BI204" i="3"/>
  <c r="BH204" i="3"/>
  <c r="BG204" i="3"/>
  <c r="BF204" i="3"/>
  <c r="BE204" i="3"/>
  <c r="BD204" i="3"/>
  <c r="BC204" i="3"/>
  <c r="BB204" i="3"/>
  <c r="BA204" i="3"/>
  <c r="AX204" i="3"/>
  <c r="AW204" i="3"/>
  <c r="AV204" i="3"/>
  <c r="BT203" i="3"/>
  <c r="BS203" i="3"/>
  <c r="BR203" i="3"/>
  <c r="BQ203" i="3"/>
  <c r="BP203" i="3"/>
  <c r="BO203" i="3"/>
  <c r="BN203" i="3"/>
  <c r="BM203" i="3"/>
  <c r="BL203" i="3"/>
  <c r="BK203" i="3"/>
  <c r="BJ203" i="3"/>
  <c r="BI203" i="3"/>
  <c r="BH203" i="3"/>
  <c r="BG203" i="3"/>
  <c r="BF203" i="3"/>
  <c r="BE203" i="3"/>
  <c r="BD203" i="3"/>
  <c r="BC203" i="3"/>
  <c r="BB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BT200" i="3"/>
  <c r="BS200" i="3"/>
  <c r="BR200" i="3"/>
  <c r="BQ200" i="3"/>
  <c r="BP200" i="3"/>
  <c r="BO200" i="3"/>
  <c r="BN200" i="3"/>
  <c r="BM200" i="3"/>
  <c r="BK200" i="3"/>
  <c r="BJ200" i="3"/>
  <c r="BI200" i="3"/>
  <c r="BH200" i="3"/>
  <c r="BG200" i="3"/>
  <c r="BF200" i="3"/>
  <c r="BE200" i="3"/>
  <c r="BD200" i="3"/>
  <c r="BC200" i="3"/>
  <c r="BB200" i="3"/>
  <c r="BA200" i="3"/>
  <c r="AX200" i="3"/>
  <c r="AW200" i="3"/>
  <c r="AV200" i="3"/>
  <c r="BT199" i="3"/>
  <c r="BS199" i="3"/>
  <c r="BR199" i="3"/>
  <c r="BQ199" i="3"/>
  <c r="BP199" i="3"/>
  <c r="BO199" i="3"/>
  <c r="BN199" i="3"/>
  <c r="BM199" i="3"/>
  <c r="BL199" i="3"/>
  <c r="BK199" i="3"/>
  <c r="BJ199" i="3"/>
  <c r="BI199" i="3"/>
  <c r="BH199" i="3"/>
  <c r="BG199" i="3"/>
  <c r="BF199" i="3"/>
  <c r="BE199" i="3"/>
  <c r="BD199" i="3"/>
  <c r="BC199" i="3"/>
  <c r="BB199" i="3"/>
  <c r="AX199" i="3"/>
  <c r="AW199" i="3"/>
  <c r="AV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BT196" i="3"/>
  <c r="BS196" i="3"/>
  <c r="BR196" i="3"/>
  <c r="BQ196" i="3"/>
  <c r="BP196" i="3"/>
  <c r="BO196" i="3"/>
  <c r="BN196" i="3"/>
  <c r="BM196" i="3"/>
  <c r="BK196" i="3"/>
  <c r="BJ196" i="3"/>
  <c r="BI196" i="3"/>
  <c r="BH196" i="3"/>
  <c r="BG196" i="3"/>
  <c r="BF196" i="3"/>
  <c r="BE196" i="3"/>
  <c r="BD196" i="3"/>
  <c r="BC196" i="3"/>
  <c r="BB196" i="3"/>
  <c r="BA196" i="3"/>
  <c r="AX196" i="3"/>
  <c r="AW196" i="3"/>
  <c r="AV196" i="3"/>
  <c r="BT195" i="3"/>
  <c r="BS195" i="3"/>
  <c r="BR195" i="3"/>
  <c r="BQ195" i="3"/>
  <c r="BP195" i="3"/>
  <c r="BO195" i="3"/>
  <c r="BN195" i="3"/>
  <c r="BM195" i="3"/>
  <c r="BL195" i="3"/>
  <c r="BK195" i="3"/>
  <c r="BJ195" i="3"/>
  <c r="BI195" i="3"/>
  <c r="BH195" i="3"/>
  <c r="BG195" i="3"/>
  <c r="BF195" i="3"/>
  <c r="BE195" i="3"/>
  <c r="BD195" i="3"/>
  <c r="BC195" i="3"/>
  <c r="BB195" i="3"/>
  <c r="AX195" i="3"/>
  <c r="AW195" i="3"/>
  <c r="AV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BT192" i="3"/>
  <c r="BS192" i="3"/>
  <c r="BR192" i="3"/>
  <c r="BQ192" i="3"/>
  <c r="BP192" i="3"/>
  <c r="BO192" i="3"/>
  <c r="BN192" i="3"/>
  <c r="BM192" i="3"/>
  <c r="BK192" i="3"/>
  <c r="BJ192" i="3"/>
  <c r="BI192" i="3"/>
  <c r="BH192" i="3"/>
  <c r="BG192" i="3"/>
  <c r="BF192" i="3"/>
  <c r="BE192" i="3"/>
  <c r="BD192" i="3"/>
  <c r="BC192" i="3"/>
  <c r="BB192" i="3"/>
  <c r="BA192" i="3"/>
  <c r="AX192" i="3"/>
  <c r="AW192" i="3"/>
  <c r="AV192" i="3"/>
  <c r="BT191" i="3"/>
  <c r="BS191" i="3"/>
  <c r="BR191" i="3"/>
  <c r="BQ191" i="3"/>
  <c r="BP191" i="3"/>
  <c r="BO191" i="3"/>
  <c r="BN191" i="3"/>
  <c r="BM191" i="3"/>
  <c r="BL191" i="3"/>
  <c r="BK191" i="3"/>
  <c r="BJ191" i="3"/>
  <c r="BI191" i="3"/>
  <c r="BH191" i="3"/>
  <c r="BG191" i="3"/>
  <c r="BF191" i="3"/>
  <c r="BE191" i="3"/>
  <c r="BD191" i="3"/>
  <c r="BC191" i="3"/>
  <c r="BB191" i="3"/>
  <c r="AX191" i="3"/>
  <c r="AW191" i="3"/>
  <c r="AV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BT188" i="3"/>
  <c r="BS188" i="3"/>
  <c r="BR188" i="3"/>
  <c r="BQ188" i="3"/>
  <c r="BP188" i="3"/>
  <c r="BO188" i="3"/>
  <c r="BN188" i="3"/>
  <c r="BM188" i="3"/>
  <c r="BK188" i="3"/>
  <c r="BJ188" i="3"/>
  <c r="BI188" i="3"/>
  <c r="BH188" i="3"/>
  <c r="BG188" i="3"/>
  <c r="BF188" i="3"/>
  <c r="BE188" i="3"/>
  <c r="BD188" i="3"/>
  <c r="BC188" i="3"/>
  <c r="BB188" i="3"/>
  <c r="BA188" i="3"/>
  <c r="AX188" i="3"/>
  <c r="AW188" i="3"/>
  <c r="AV188" i="3"/>
  <c r="BT187" i="3"/>
  <c r="BS187" i="3"/>
  <c r="BR187" i="3"/>
  <c r="BQ187" i="3"/>
  <c r="BP187" i="3"/>
  <c r="BO187" i="3"/>
  <c r="BN187" i="3"/>
  <c r="BM187" i="3"/>
  <c r="BL187" i="3"/>
  <c r="BK187" i="3"/>
  <c r="BJ187" i="3"/>
  <c r="BI187" i="3"/>
  <c r="BH187" i="3"/>
  <c r="BG187" i="3"/>
  <c r="BF187" i="3"/>
  <c r="BE187" i="3"/>
  <c r="BD187" i="3"/>
  <c r="BC187" i="3"/>
  <c r="BB187" i="3"/>
  <c r="AX187" i="3"/>
  <c r="AW187" i="3"/>
  <c r="AV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BT184" i="3"/>
  <c r="BS184" i="3"/>
  <c r="BR184" i="3"/>
  <c r="BQ184" i="3"/>
  <c r="BP184" i="3"/>
  <c r="BO184" i="3"/>
  <c r="BN184" i="3"/>
  <c r="BM184" i="3"/>
  <c r="BK184" i="3"/>
  <c r="BJ184" i="3"/>
  <c r="BI184" i="3"/>
  <c r="BH184" i="3"/>
  <c r="BG184" i="3"/>
  <c r="BF184" i="3"/>
  <c r="BE184" i="3"/>
  <c r="BD184" i="3"/>
  <c r="BC184" i="3"/>
  <c r="BB184" i="3"/>
  <c r="BA184" i="3"/>
  <c r="AX184" i="3"/>
  <c r="AW184" i="3"/>
  <c r="AV184" i="3"/>
  <c r="BT183" i="3"/>
  <c r="BS183" i="3"/>
  <c r="BR183" i="3"/>
  <c r="BQ183" i="3"/>
  <c r="BP183" i="3"/>
  <c r="BO183" i="3"/>
  <c r="BN183" i="3"/>
  <c r="BM183" i="3"/>
  <c r="BL183" i="3"/>
  <c r="BK183" i="3"/>
  <c r="BJ183" i="3"/>
  <c r="BI183" i="3"/>
  <c r="BH183" i="3"/>
  <c r="BG183" i="3"/>
  <c r="BF183" i="3"/>
  <c r="BE183" i="3"/>
  <c r="BD183" i="3"/>
  <c r="BC183" i="3"/>
  <c r="BB183" i="3"/>
  <c r="AX183" i="3"/>
  <c r="AW183" i="3"/>
  <c r="AV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BT180" i="3"/>
  <c r="BS180" i="3"/>
  <c r="BR180" i="3"/>
  <c r="BQ180" i="3"/>
  <c r="BP180" i="3"/>
  <c r="BO180" i="3"/>
  <c r="BN180" i="3"/>
  <c r="BM180" i="3"/>
  <c r="BK180" i="3"/>
  <c r="BJ180" i="3"/>
  <c r="BI180" i="3"/>
  <c r="BH180" i="3"/>
  <c r="BG180" i="3"/>
  <c r="BF180" i="3"/>
  <c r="BE180" i="3"/>
  <c r="BD180" i="3"/>
  <c r="BC180" i="3"/>
  <c r="BB180" i="3"/>
  <c r="BA180" i="3"/>
  <c r="AX180" i="3"/>
  <c r="AW180" i="3"/>
  <c r="AV180" i="3"/>
  <c r="BT179" i="3"/>
  <c r="BS179" i="3"/>
  <c r="BR179" i="3"/>
  <c r="BQ179" i="3"/>
  <c r="BP179" i="3"/>
  <c r="BO179" i="3"/>
  <c r="BN179" i="3"/>
  <c r="BM179" i="3"/>
  <c r="BL179" i="3"/>
  <c r="BK179" i="3"/>
  <c r="BJ179" i="3"/>
  <c r="BI179" i="3"/>
  <c r="BH179" i="3"/>
  <c r="BG179" i="3"/>
  <c r="BF179" i="3"/>
  <c r="BE179" i="3"/>
  <c r="BD179" i="3"/>
  <c r="BC179" i="3"/>
  <c r="BB179" i="3"/>
  <c r="AX179" i="3"/>
  <c r="AW179" i="3"/>
  <c r="AV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BT176" i="3"/>
  <c r="BS176" i="3"/>
  <c r="BR176" i="3"/>
  <c r="BQ176" i="3"/>
  <c r="BP176" i="3"/>
  <c r="BO176" i="3"/>
  <c r="BN176" i="3"/>
  <c r="BM176" i="3"/>
  <c r="BK176" i="3"/>
  <c r="BJ176" i="3"/>
  <c r="BI176" i="3"/>
  <c r="BH176" i="3"/>
  <c r="BG176" i="3"/>
  <c r="BF176" i="3"/>
  <c r="BE176" i="3"/>
  <c r="BD176" i="3"/>
  <c r="BC176" i="3"/>
  <c r="BB176" i="3"/>
  <c r="BA176" i="3"/>
  <c r="AX176" i="3"/>
  <c r="AW176" i="3"/>
  <c r="AV176" i="3"/>
  <c r="BT175" i="3"/>
  <c r="BS175" i="3"/>
  <c r="BR175" i="3"/>
  <c r="BQ175" i="3"/>
  <c r="BP175" i="3"/>
  <c r="BO175" i="3"/>
  <c r="BN175" i="3"/>
  <c r="BM175" i="3"/>
  <c r="BL175" i="3"/>
  <c r="BK175" i="3"/>
  <c r="BJ175" i="3"/>
  <c r="BI175" i="3"/>
  <c r="BH175" i="3"/>
  <c r="BG175" i="3"/>
  <c r="BF175" i="3"/>
  <c r="BE175" i="3"/>
  <c r="BD175" i="3"/>
  <c r="BC175" i="3"/>
  <c r="BB175" i="3"/>
  <c r="AX175" i="3"/>
  <c r="AW175" i="3"/>
  <c r="AV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BT172" i="3"/>
  <c r="BS172" i="3"/>
  <c r="BR172" i="3"/>
  <c r="BQ172" i="3"/>
  <c r="BP172" i="3"/>
  <c r="BO172" i="3"/>
  <c r="BN172" i="3"/>
  <c r="BM172" i="3"/>
  <c r="BK172" i="3"/>
  <c r="BJ172" i="3"/>
  <c r="BI172" i="3"/>
  <c r="BH172" i="3"/>
  <c r="BG172" i="3"/>
  <c r="BF172" i="3"/>
  <c r="BE172" i="3"/>
  <c r="BD172" i="3"/>
  <c r="BC172" i="3"/>
  <c r="BB172" i="3"/>
  <c r="BA172" i="3"/>
  <c r="AX172" i="3"/>
  <c r="AW172" i="3"/>
  <c r="AV172" i="3"/>
  <c r="BT171" i="3"/>
  <c r="BS171" i="3"/>
  <c r="BR171" i="3"/>
  <c r="BQ171" i="3"/>
  <c r="BP171" i="3"/>
  <c r="BO171" i="3"/>
  <c r="BN171" i="3"/>
  <c r="BM171" i="3"/>
  <c r="BL171" i="3"/>
  <c r="BK171" i="3"/>
  <c r="BJ171" i="3"/>
  <c r="BI171" i="3"/>
  <c r="BH171" i="3"/>
  <c r="BG171" i="3"/>
  <c r="BF171" i="3"/>
  <c r="BE171" i="3"/>
  <c r="BD171" i="3"/>
  <c r="BC171" i="3"/>
  <c r="BB171" i="3"/>
  <c r="AX171" i="3"/>
  <c r="AW171" i="3"/>
  <c r="AV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BT168" i="3"/>
  <c r="BS168" i="3"/>
  <c r="BR168" i="3"/>
  <c r="BQ168" i="3"/>
  <c r="BP168" i="3"/>
  <c r="BO168" i="3"/>
  <c r="BN168" i="3"/>
  <c r="BM168" i="3"/>
  <c r="BK168" i="3"/>
  <c r="BJ168" i="3"/>
  <c r="BI168" i="3"/>
  <c r="BH168" i="3"/>
  <c r="BG168" i="3"/>
  <c r="BF168" i="3"/>
  <c r="BE168" i="3"/>
  <c r="BD168" i="3"/>
  <c r="BC168" i="3"/>
  <c r="BB168" i="3"/>
  <c r="BA168" i="3"/>
  <c r="AX168" i="3"/>
  <c r="AW168" i="3"/>
  <c r="AV168" i="3"/>
  <c r="BT167" i="3"/>
  <c r="BS167" i="3"/>
  <c r="BR167" i="3"/>
  <c r="BQ167" i="3"/>
  <c r="BP167" i="3"/>
  <c r="BO167" i="3"/>
  <c r="BN167" i="3"/>
  <c r="BM167" i="3"/>
  <c r="BL167" i="3"/>
  <c r="BK167" i="3"/>
  <c r="BJ167" i="3"/>
  <c r="BI167" i="3"/>
  <c r="BH167" i="3"/>
  <c r="BG167" i="3"/>
  <c r="BF167" i="3"/>
  <c r="BE167" i="3"/>
  <c r="BD167" i="3"/>
  <c r="BC167" i="3"/>
  <c r="BB167" i="3"/>
  <c r="AX167" i="3"/>
  <c r="AW167" i="3"/>
  <c r="AV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BT164" i="3"/>
  <c r="BS164" i="3"/>
  <c r="BR164" i="3"/>
  <c r="BQ164" i="3"/>
  <c r="BP164" i="3"/>
  <c r="BO164" i="3"/>
  <c r="BN164" i="3"/>
  <c r="BM164" i="3"/>
  <c r="BK164" i="3"/>
  <c r="BJ164" i="3"/>
  <c r="BI164" i="3"/>
  <c r="BH164" i="3"/>
  <c r="BG164" i="3"/>
  <c r="BF164" i="3"/>
  <c r="BE164" i="3"/>
  <c r="BD164" i="3"/>
  <c r="BC164" i="3"/>
  <c r="BB164" i="3"/>
  <c r="BA164" i="3"/>
  <c r="AX164" i="3"/>
  <c r="AW164" i="3"/>
  <c r="AV164" i="3"/>
  <c r="BT163" i="3"/>
  <c r="BS163" i="3"/>
  <c r="BR163" i="3"/>
  <c r="BQ163" i="3"/>
  <c r="BP163" i="3"/>
  <c r="BO163" i="3"/>
  <c r="BN163" i="3"/>
  <c r="BM163" i="3"/>
  <c r="BL163" i="3"/>
  <c r="BK163" i="3"/>
  <c r="BJ163" i="3"/>
  <c r="BI163" i="3"/>
  <c r="BH163" i="3"/>
  <c r="BG163" i="3"/>
  <c r="BF163" i="3"/>
  <c r="BE163" i="3"/>
  <c r="BD163" i="3"/>
  <c r="BC163" i="3"/>
  <c r="BB163" i="3"/>
  <c r="AX163" i="3"/>
  <c r="AW163" i="3"/>
  <c r="AV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BT160" i="3"/>
  <c r="BS160" i="3"/>
  <c r="BR160" i="3"/>
  <c r="BQ160" i="3"/>
  <c r="BP160" i="3"/>
  <c r="BO160" i="3"/>
  <c r="BN160" i="3"/>
  <c r="BM160" i="3"/>
  <c r="BK160" i="3"/>
  <c r="BJ160" i="3"/>
  <c r="BI160" i="3"/>
  <c r="BH160" i="3"/>
  <c r="BG160" i="3"/>
  <c r="BF160" i="3"/>
  <c r="BE160" i="3"/>
  <c r="BD160" i="3"/>
  <c r="BC160" i="3"/>
  <c r="BB160" i="3"/>
  <c r="BA160" i="3"/>
  <c r="AX160" i="3"/>
  <c r="AW160" i="3"/>
  <c r="AV160" i="3"/>
  <c r="BT159" i="3"/>
  <c r="BS159" i="3"/>
  <c r="BR159" i="3"/>
  <c r="BQ159" i="3"/>
  <c r="BP159" i="3"/>
  <c r="BO159" i="3"/>
  <c r="BN159" i="3"/>
  <c r="BM159" i="3"/>
  <c r="BL159" i="3"/>
  <c r="BK159" i="3"/>
  <c r="BJ159" i="3"/>
  <c r="BI159" i="3"/>
  <c r="BH159" i="3"/>
  <c r="BG159" i="3"/>
  <c r="BF159" i="3"/>
  <c r="BE159" i="3"/>
  <c r="BD159" i="3"/>
  <c r="BC159" i="3"/>
  <c r="BB159" i="3"/>
  <c r="AX159" i="3"/>
  <c r="AW159" i="3"/>
  <c r="AV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BT156" i="3"/>
  <c r="BS156" i="3"/>
  <c r="BR156" i="3"/>
  <c r="BQ156" i="3"/>
  <c r="BP156" i="3"/>
  <c r="BO156" i="3"/>
  <c r="BN156" i="3"/>
  <c r="BM156" i="3"/>
  <c r="BK156" i="3"/>
  <c r="BJ156" i="3"/>
  <c r="BI156" i="3"/>
  <c r="BH156" i="3"/>
  <c r="BG156" i="3"/>
  <c r="BF156" i="3"/>
  <c r="BE156" i="3"/>
  <c r="BD156" i="3"/>
  <c r="BC156" i="3"/>
  <c r="BB156" i="3"/>
  <c r="BA156" i="3"/>
  <c r="AX156" i="3"/>
  <c r="AW156" i="3"/>
  <c r="AV156" i="3"/>
  <c r="BT155" i="3"/>
  <c r="BS155" i="3"/>
  <c r="BR155" i="3"/>
  <c r="BQ155" i="3"/>
  <c r="BP155" i="3"/>
  <c r="BO155" i="3"/>
  <c r="BN155" i="3"/>
  <c r="BM155" i="3"/>
  <c r="BL155" i="3"/>
  <c r="BK155" i="3"/>
  <c r="BJ155" i="3"/>
  <c r="BI155" i="3"/>
  <c r="BH155" i="3"/>
  <c r="BG155" i="3"/>
  <c r="BF155" i="3"/>
  <c r="BE155" i="3"/>
  <c r="BD155" i="3"/>
  <c r="BC155" i="3"/>
  <c r="BB155" i="3"/>
  <c r="AX155" i="3"/>
  <c r="AW155" i="3"/>
  <c r="AV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BT152" i="3"/>
  <c r="BS152" i="3"/>
  <c r="BR152" i="3"/>
  <c r="BQ152" i="3"/>
  <c r="BP152" i="3"/>
  <c r="BO152" i="3"/>
  <c r="BN152" i="3"/>
  <c r="BM152" i="3"/>
  <c r="BK152" i="3"/>
  <c r="BJ152" i="3"/>
  <c r="BI152" i="3"/>
  <c r="BH152" i="3"/>
  <c r="BG152" i="3"/>
  <c r="BF152" i="3"/>
  <c r="BE152" i="3"/>
  <c r="BD152" i="3"/>
  <c r="BC152" i="3"/>
  <c r="BB152" i="3"/>
  <c r="BA152" i="3"/>
  <c r="AX152" i="3"/>
  <c r="AW152" i="3"/>
  <c r="AV152" i="3"/>
  <c r="BT151" i="3"/>
  <c r="BS151" i="3"/>
  <c r="BR151" i="3"/>
  <c r="BQ151" i="3"/>
  <c r="BP151" i="3"/>
  <c r="BO151" i="3"/>
  <c r="BN151" i="3"/>
  <c r="BM151" i="3"/>
  <c r="BL151" i="3"/>
  <c r="BK151" i="3"/>
  <c r="BJ151" i="3"/>
  <c r="BI151" i="3"/>
  <c r="BH151" i="3"/>
  <c r="BG151" i="3"/>
  <c r="BF151" i="3"/>
  <c r="BE151" i="3"/>
  <c r="BD151" i="3"/>
  <c r="BC151" i="3"/>
  <c r="BB151" i="3"/>
  <c r="AX151" i="3"/>
  <c r="AW151" i="3"/>
  <c r="AV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BT148" i="3"/>
  <c r="BS148" i="3"/>
  <c r="BR148" i="3"/>
  <c r="BQ148" i="3"/>
  <c r="BP148" i="3"/>
  <c r="BO148" i="3"/>
  <c r="BN148" i="3"/>
  <c r="BM148" i="3"/>
  <c r="BK148" i="3"/>
  <c r="BJ148" i="3"/>
  <c r="BI148" i="3"/>
  <c r="BH148" i="3"/>
  <c r="BG148" i="3"/>
  <c r="BF148" i="3"/>
  <c r="BE148" i="3"/>
  <c r="BD148" i="3"/>
  <c r="BC148" i="3"/>
  <c r="BB148" i="3"/>
  <c r="BA148" i="3"/>
  <c r="AX148" i="3"/>
  <c r="AW148" i="3"/>
  <c r="AV148" i="3"/>
  <c r="BT147" i="3"/>
  <c r="BS147" i="3"/>
  <c r="BR147" i="3"/>
  <c r="BQ147" i="3"/>
  <c r="BP147" i="3"/>
  <c r="BO147" i="3"/>
  <c r="BN147" i="3"/>
  <c r="BM147" i="3"/>
  <c r="BL147" i="3"/>
  <c r="BK147" i="3"/>
  <c r="BJ147" i="3"/>
  <c r="BI147" i="3"/>
  <c r="BH147" i="3"/>
  <c r="BG147" i="3"/>
  <c r="BF147" i="3"/>
  <c r="BE147" i="3"/>
  <c r="BD147" i="3"/>
  <c r="BC147" i="3"/>
  <c r="BB147" i="3"/>
  <c r="AX147" i="3"/>
  <c r="AW147" i="3"/>
  <c r="AV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BT144" i="3"/>
  <c r="BS144" i="3"/>
  <c r="BR144" i="3"/>
  <c r="BQ144" i="3"/>
  <c r="BP144" i="3"/>
  <c r="BO144" i="3"/>
  <c r="BN144" i="3"/>
  <c r="BM144" i="3"/>
  <c r="BK144" i="3"/>
  <c r="BJ144" i="3"/>
  <c r="BI144" i="3"/>
  <c r="BH144" i="3"/>
  <c r="BG144" i="3"/>
  <c r="BF144" i="3"/>
  <c r="BE144" i="3"/>
  <c r="BD144" i="3"/>
  <c r="BC144" i="3"/>
  <c r="BB144" i="3"/>
  <c r="BA144" i="3"/>
  <c r="AX144" i="3"/>
  <c r="AW144" i="3"/>
  <c r="AV144" i="3"/>
  <c r="BT143" i="3"/>
  <c r="BS143" i="3"/>
  <c r="BR143" i="3"/>
  <c r="BQ143" i="3"/>
  <c r="BP143" i="3"/>
  <c r="BO143" i="3"/>
  <c r="BN143" i="3"/>
  <c r="BM143" i="3"/>
  <c r="BL143" i="3"/>
  <c r="BK143" i="3"/>
  <c r="BJ143" i="3"/>
  <c r="BI143" i="3"/>
  <c r="BH143" i="3"/>
  <c r="BG143" i="3"/>
  <c r="BF143" i="3"/>
  <c r="BE143" i="3"/>
  <c r="BD143" i="3"/>
  <c r="BC143" i="3"/>
  <c r="BB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BT140" i="3"/>
  <c r="BS140" i="3"/>
  <c r="BR140" i="3"/>
  <c r="BQ140" i="3"/>
  <c r="BP140" i="3"/>
  <c r="BO140" i="3"/>
  <c r="BN140" i="3"/>
  <c r="BM140" i="3"/>
  <c r="BK140" i="3"/>
  <c r="BJ140" i="3"/>
  <c r="BI140" i="3"/>
  <c r="BH140" i="3"/>
  <c r="BG140" i="3"/>
  <c r="BF140" i="3"/>
  <c r="BE140" i="3"/>
  <c r="BD140" i="3"/>
  <c r="BC140" i="3"/>
  <c r="BB140" i="3"/>
  <c r="BA140" i="3"/>
  <c r="AX140" i="3"/>
  <c r="AW140" i="3"/>
  <c r="AV140" i="3"/>
  <c r="BT139" i="3"/>
  <c r="BS139" i="3"/>
  <c r="BR139" i="3"/>
  <c r="BQ139" i="3"/>
  <c r="BP139" i="3"/>
  <c r="BO139" i="3"/>
  <c r="BN139" i="3"/>
  <c r="BM139" i="3"/>
  <c r="BL139" i="3"/>
  <c r="BK139" i="3"/>
  <c r="BJ139" i="3"/>
  <c r="BI139" i="3"/>
  <c r="BH139" i="3"/>
  <c r="BG139" i="3"/>
  <c r="BF139" i="3"/>
  <c r="BE139" i="3"/>
  <c r="BD139" i="3"/>
  <c r="BC139" i="3"/>
  <c r="BB139" i="3"/>
  <c r="AX139" i="3"/>
  <c r="AW139" i="3"/>
  <c r="AV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BT136" i="3"/>
  <c r="BS136" i="3"/>
  <c r="BR136" i="3"/>
  <c r="BQ136" i="3"/>
  <c r="BP136" i="3"/>
  <c r="BO136" i="3"/>
  <c r="BN136" i="3"/>
  <c r="BM136" i="3"/>
  <c r="BK136" i="3"/>
  <c r="BJ136" i="3"/>
  <c r="BI136" i="3"/>
  <c r="BH136" i="3"/>
  <c r="BG136" i="3"/>
  <c r="BF136" i="3"/>
  <c r="BE136" i="3"/>
  <c r="BD136" i="3"/>
  <c r="BC136" i="3"/>
  <c r="BB136" i="3"/>
  <c r="BA136" i="3"/>
  <c r="AX136" i="3"/>
  <c r="AW136" i="3"/>
  <c r="AV136" i="3"/>
  <c r="BT135" i="3"/>
  <c r="BS135" i="3"/>
  <c r="BR135" i="3"/>
  <c r="BQ135" i="3"/>
  <c r="BP135" i="3"/>
  <c r="BO135" i="3"/>
  <c r="BN135" i="3"/>
  <c r="BM135" i="3"/>
  <c r="BL135" i="3"/>
  <c r="BK135" i="3"/>
  <c r="BJ135" i="3"/>
  <c r="BI135" i="3"/>
  <c r="BH135" i="3"/>
  <c r="BG135" i="3"/>
  <c r="BF135" i="3"/>
  <c r="BE135" i="3"/>
  <c r="BD135" i="3"/>
  <c r="BC135" i="3"/>
  <c r="BB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BT132" i="3"/>
  <c r="BS132" i="3"/>
  <c r="BR132" i="3"/>
  <c r="BQ132" i="3"/>
  <c r="BP132" i="3"/>
  <c r="BO132" i="3"/>
  <c r="BN132" i="3"/>
  <c r="BM132" i="3"/>
  <c r="BK132" i="3"/>
  <c r="BJ132" i="3"/>
  <c r="BI132" i="3"/>
  <c r="BH132" i="3"/>
  <c r="BG132" i="3"/>
  <c r="BF132" i="3"/>
  <c r="BE132" i="3"/>
  <c r="BD132" i="3"/>
  <c r="BC132" i="3"/>
  <c r="BB132" i="3"/>
  <c r="BA132" i="3"/>
  <c r="AX132" i="3"/>
  <c r="AW132" i="3"/>
  <c r="AV132" i="3"/>
  <c r="BT131" i="3"/>
  <c r="BS131" i="3"/>
  <c r="BR131" i="3"/>
  <c r="BQ131" i="3"/>
  <c r="BP131" i="3"/>
  <c r="BO131" i="3"/>
  <c r="BN131" i="3"/>
  <c r="BM131" i="3"/>
  <c r="BL131" i="3"/>
  <c r="BK131" i="3"/>
  <c r="BJ131" i="3"/>
  <c r="BI131" i="3"/>
  <c r="BH131" i="3"/>
  <c r="BG131" i="3"/>
  <c r="BF131" i="3"/>
  <c r="BE131" i="3"/>
  <c r="BD131" i="3"/>
  <c r="BC131" i="3"/>
  <c r="BB131" i="3"/>
  <c r="AX131" i="3"/>
  <c r="AW131" i="3"/>
  <c r="AV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BT128" i="3"/>
  <c r="BS128" i="3"/>
  <c r="BR128" i="3"/>
  <c r="BQ128" i="3"/>
  <c r="BP128" i="3"/>
  <c r="BO128" i="3"/>
  <c r="BN128" i="3"/>
  <c r="BM128" i="3"/>
  <c r="BK128" i="3"/>
  <c r="BJ128" i="3"/>
  <c r="BI128" i="3"/>
  <c r="BH128" i="3"/>
  <c r="BG128" i="3"/>
  <c r="BF128" i="3"/>
  <c r="BE128" i="3"/>
  <c r="BD128" i="3"/>
  <c r="BC128" i="3"/>
  <c r="BB128" i="3"/>
  <c r="BA128" i="3"/>
  <c r="AX128" i="3"/>
  <c r="AW128" i="3"/>
  <c r="AV128" i="3"/>
  <c r="BT127" i="3"/>
  <c r="BS127" i="3"/>
  <c r="BR127" i="3"/>
  <c r="BQ127" i="3"/>
  <c r="BP127" i="3"/>
  <c r="BO127" i="3"/>
  <c r="BN127" i="3"/>
  <c r="BM127" i="3"/>
  <c r="BL127" i="3"/>
  <c r="BK127" i="3"/>
  <c r="BJ127" i="3"/>
  <c r="BI127" i="3"/>
  <c r="BH127" i="3"/>
  <c r="BG127" i="3"/>
  <c r="BF127" i="3"/>
  <c r="BE127" i="3"/>
  <c r="BD127" i="3"/>
  <c r="BC127" i="3"/>
  <c r="BB127" i="3"/>
  <c r="AX127" i="3"/>
  <c r="AW127" i="3"/>
  <c r="AV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BT124" i="3"/>
  <c r="BS124" i="3"/>
  <c r="BR124" i="3"/>
  <c r="BQ124" i="3"/>
  <c r="BP124" i="3"/>
  <c r="BO124" i="3"/>
  <c r="BN124" i="3"/>
  <c r="BM124" i="3"/>
  <c r="BK124" i="3"/>
  <c r="BJ124" i="3"/>
  <c r="BI124" i="3"/>
  <c r="BH124" i="3"/>
  <c r="BG124" i="3"/>
  <c r="BF124" i="3"/>
  <c r="BE124" i="3"/>
  <c r="BD124" i="3"/>
  <c r="BC124" i="3"/>
  <c r="BB124" i="3"/>
  <c r="BA124" i="3"/>
  <c r="AX124" i="3"/>
  <c r="AW124" i="3"/>
  <c r="AV124" i="3"/>
  <c r="BT123" i="3"/>
  <c r="BS123" i="3"/>
  <c r="BR123" i="3"/>
  <c r="BQ123" i="3"/>
  <c r="BP123" i="3"/>
  <c r="BO123" i="3"/>
  <c r="BN123" i="3"/>
  <c r="BM123" i="3"/>
  <c r="BL123" i="3"/>
  <c r="BK123" i="3"/>
  <c r="BJ123" i="3"/>
  <c r="BI123" i="3"/>
  <c r="BH123" i="3"/>
  <c r="BG123" i="3"/>
  <c r="BF123" i="3"/>
  <c r="BE123" i="3"/>
  <c r="BD123" i="3"/>
  <c r="BC123" i="3"/>
  <c r="BB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BT120" i="3"/>
  <c r="BS120" i="3"/>
  <c r="BR120" i="3"/>
  <c r="BQ120" i="3"/>
  <c r="BP120" i="3"/>
  <c r="BO120" i="3"/>
  <c r="BN120" i="3"/>
  <c r="BM120" i="3"/>
  <c r="BK120" i="3"/>
  <c r="BJ120" i="3"/>
  <c r="BI120" i="3"/>
  <c r="BH120" i="3"/>
  <c r="BG120" i="3"/>
  <c r="BF120" i="3"/>
  <c r="BE120" i="3"/>
  <c r="BD120" i="3"/>
  <c r="BC120" i="3"/>
  <c r="BB120" i="3"/>
  <c r="BA120" i="3"/>
  <c r="AX120" i="3"/>
  <c r="AW120" i="3"/>
  <c r="AV120" i="3"/>
  <c r="BT119" i="3"/>
  <c r="BS119" i="3"/>
  <c r="BR119" i="3"/>
  <c r="BQ119" i="3"/>
  <c r="BP119" i="3"/>
  <c r="BO119" i="3"/>
  <c r="BN119" i="3"/>
  <c r="BM119" i="3"/>
  <c r="BL119" i="3"/>
  <c r="BK119" i="3"/>
  <c r="BJ119" i="3"/>
  <c r="BI119" i="3"/>
  <c r="BH119" i="3"/>
  <c r="BG119" i="3"/>
  <c r="BF119" i="3"/>
  <c r="BE119" i="3"/>
  <c r="BD119" i="3"/>
  <c r="BC119" i="3"/>
  <c r="BB119" i="3"/>
  <c r="AX119" i="3"/>
  <c r="AW119" i="3"/>
  <c r="AV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BT116" i="3"/>
  <c r="BS116" i="3"/>
  <c r="BR116" i="3"/>
  <c r="BQ116" i="3"/>
  <c r="BP116" i="3"/>
  <c r="BO116" i="3"/>
  <c r="BN116" i="3"/>
  <c r="BM116" i="3"/>
  <c r="BK116" i="3"/>
  <c r="BJ116" i="3"/>
  <c r="BI116" i="3"/>
  <c r="BH116" i="3"/>
  <c r="BG116" i="3"/>
  <c r="BF116" i="3"/>
  <c r="BE116" i="3"/>
  <c r="BD116" i="3"/>
  <c r="BC116" i="3"/>
  <c r="BB116" i="3"/>
  <c r="BA116" i="3"/>
  <c r="AX116" i="3"/>
  <c r="AW116" i="3"/>
  <c r="AV116" i="3"/>
  <c r="BT115" i="3"/>
  <c r="BS115" i="3"/>
  <c r="BR115" i="3"/>
  <c r="BQ115" i="3"/>
  <c r="BP115" i="3"/>
  <c r="BO115" i="3"/>
  <c r="BN115" i="3"/>
  <c r="BM115" i="3"/>
  <c r="BL115" i="3"/>
  <c r="BK115" i="3"/>
  <c r="BJ115" i="3"/>
  <c r="BI115" i="3"/>
  <c r="BH115" i="3"/>
  <c r="BG115" i="3"/>
  <c r="BF115" i="3"/>
  <c r="BE115" i="3"/>
  <c r="BD115" i="3"/>
  <c r="BC115" i="3"/>
  <c r="BB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BT394" i="3"/>
  <c r="BS394" i="3"/>
  <c r="BR394" i="3"/>
  <c r="BQ394" i="3"/>
  <c r="BP394" i="3"/>
  <c r="BO394" i="3"/>
  <c r="BN394" i="3"/>
  <c r="BM394" i="3"/>
  <c r="BK394" i="3"/>
  <c r="BJ394" i="3"/>
  <c r="BI394" i="3"/>
  <c r="BH394" i="3"/>
  <c r="BG394" i="3"/>
  <c r="BF394" i="3"/>
  <c r="BE394" i="3"/>
  <c r="BD394" i="3"/>
  <c r="BC394" i="3"/>
  <c r="BB394" i="3"/>
  <c r="AX394" i="3"/>
  <c r="AW394" i="3"/>
  <c r="AV394" i="3"/>
  <c r="BT393" i="3"/>
  <c r="BS393" i="3"/>
  <c r="BR393" i="3"/>
  <c r="BQ393" i="3"/>
  <c r="BP393" i="3"/>
  <c r="BO393" i="3"/>
  <c r="BN393" i="3"/>
  <c r="BM393" i="3"/>
  <c r="BL393" i="3"/>
  <c r="BK393" i="3"/>
  <c r="BJ393" i="3"/>
  <c r="BI393" i="3"/>
  <c r="BH393" i="3"/>
  <c r="BG393" i="3"/>
  <c r="BF393" i="3"/>
  <c r="BE393" i="3"/>
  <c r="BD393" i="3"/>
  <c r="BC393" i="3"/>
  <c r="BB393" i="3"/>
  <c r="AX393" i="3"/>
  <c r="AW393" i="3"/>
  <c r="AV393" i="3"/>
  <c r="BT392" i="3"/>
  <c r="BS392" i="3"/>
  <c r="BR392" i="3"/>
  <c r="BQ392" i="3"/>
  <c r="BP392" i="3"/>
  <c r="BO392" i="3"/>
  <c r="BN392" i="3"/>
  <c r="BM392" i="3"/>
  <c r="BK392" i="3"/>
  <c r="BJ392" i="3"/>
  <c r="BI392" i="3"/>
  <c r="BH392" i="3"/>
  <c r="BG392" i="3"/>
  <c r="BF392" i="3"/>
  <c r="BE392" i="3"/>
  <c r="BD392" i="3"/>
  <c r="BC392" i="3"/>
  <c r="BB392" i="3"/>
  <c r="BA392" i="3"/>
  <c r="AX392" i="3"/>
  <c r="AW392" i="3"/>
  <c r="AV392" i="3"/>
  <c r="BT391" i="3"/>
  <c r="BS391" i="3"/>
  <c r="BR391" i="3"/>
  <c r="BQ391" i="3"/>
  <c r="BP391" i="3"/>
  <c r="BO391" i="3"/>
  <c r="BN391" i="3"/>
  <c r="BM391" i="3"/>
  <c r="BK391" i="3"/>
  <c r="BJ391" i="3"/>
  <c r="BI391" i="3"/>
  <c r="BH391" i="3"/>
  <c r="BG391" i="3"/>
  <c r="BF391" i="3"/>
  <c r="BE391" i="3"/>
  <c r="BD391" i="3"/>
  <c r="BC391" i="3"/>
  <c r="BB391" i="3"/>
  <c r="AX391" i="3"/>
  <c r="AW391" i="3"/>
  <c r="AV391" i="3"/>
  <c r="BT390" i="3"/>
  <c r="BS390" i="3"/>
  <c r="BR390" i="3"/>
  <c r="BQ390" i="3"/>
  <c r="BP390" i="3"/>
  <c r="BO390" i="3"/>
  <c r="BN390" i="3"/>
  <c r="BM390" i="3"/>
  <c r="BK390" i="3"/>
  <c r="BJ390" i="3"/>
  <c r="BI390" i="3"/>
  <c r="BH390" i="3"/>
  <c r="BG390" i="3"/>
  <c r="BF390" i="3"/>
  <c r="BE390" i="3"/>
  <c r="BD390" i="3"/>
  <c r="BC390" i="3"/>
  <c r="BB390" i="3"/>
  <c r="AX390" i="3"/>
  <c r="AW390" i="3"/>
  <c r="AV390" i="3"/>
  <c r="BT389" i="3"/>
  <c r="BS389" i="3"/>
  <c r="BR389" i="3"/>
  <c r="BQ389" i="3"/>
  <c r="BP389" i="3"/>
  <c r="BO389" i="3"/>
  <c r="BN389" i="3"/>
  <c r="BM389" i="3"/>
  <c r="BK389" i="3"/>
  <c r="BJ389" i="3"/>
  <c r="BI389" i="3"/>
  <c r="BH389" i="3"/>
  <c r="BG389" i="3"/>
  <c r="BF389" i="3"/>
  <c r="BE389" i="3"/>
  <c r="BD389" i="3"/>
  <c r="BC389" i="3"/>
  <c r="BB389" i="3"/>
  <c r="AX389" i="3"/>
  <c r="AW389" i="3"/>
  <c r="AV389" i="3"/>
  <c r="BT388" i="3"/>
  <c r="BS388" i="3"/>
  <c r="BR388" i="3"/>
  <c r="BQ388" i="3"/>
  <c r="BP388" i="3"/>
  <c r="BO388" i="3"/>
  <c r="BN388" i="3"/>
  <c r="BM388" i="3"/>
  <c r="BK388" i="3"/>
  <c r="BJ388" i="3"/>
  <c r="BI388" i="3"/>
  <c r="BH388" i="3"/>
  <c r="BG388" i="3"/>
  <c r="BF388" i="3"/>
  <c r="BE388" i="3"/>
  <c r="BD388" i="3"/>
  <c r="BC388" i="3"/>
  <c r="BB388" i="3"/>
  <c r="BA388" i="3"/>
  <c r="AX388" i="3"/>
  <c r="AW388" i="3"/>
  <c r="AV388" i="3"/>
  <c r="BT387" i="3"/>
  <c r="BS387" i="3"/>
  <c r="BR387" i="3"/>
  <c r="BQ387" i="3"/>
  <c r="BP387" i="3"/>
  <c r="BO387" i="3"/>
  <c r="BN387" i="3"/>
  <c r="BM387" i="3"/>
  <c r="BK387" i="3"/>
  <c r="BJ387" i="3"/>
  <c r="BI387" i="3"/>
  <c r="BH387" i="3"/>
  <c r="BG387" i="3"/>
  <c r="BF387" i="3"/>
  <c r="BE387" i="3"/>
  <c r="BD387" i="3"/>
  <c r="BC387" i="3"/>
  <c r="BB387" i="3"/>
  <c r="AX387" i="3"/>
  <c r="AW387" i="3"/>
  <c r="AV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BT384" i="3"/>
  <c r="BS384" i="3"/>
  <c r="BR384" i="3"/>
  <c r="BQ384" i="3"/>
  <c r="BP384" i="3"/>
  <c r="BO384" i="3"/>
  <c r="BN384" i="3"/>
  <c r="BM384" i="3"/>
  <c r="BK384" i="3"/>
  <c r="BJ384" i="3"/>
  <c r="BI384" i="3"/>
  <c r="BH384" i="3"/>
  <c r="BG384" i="3"/>
  <c r="BF384" i="3"/>
  <c r="BE384" i="3"/>
  <c r="BD384" i="3"/>
  <c r="BC384" i="3"/>
  <c r="BB384" i="3"/>
  <c r="BA384" i="3"/>
  <c r="AX384" i="3"/>
  <c r="AW384" i="3"/>
  <c r="AV384" i="3"/>
  <c r="BT383" i="3"/>
  <c r="BS383" i="3"/>
  <c r="BR383" i="3"/>
  <c r="BQ383" i="3"/>
  <c r="BP383" i="3"/>
  <c r="BO383" i="3"/>
  <c r="BN383" i="3"/>
  <c r="BM383" i="3"/>
  <c r="BL383" i="3"/>
  <c r="BK383" i="3"/>
  <c r="BJ383" i="3"/>
  <c r="BI383" i="3"/>
  <c r="BH383" i="3"/>
  <c r="BG383" i="3"/>
  <c r="BF383" i="3"/>
  <c r="BE383" i="3"/>
  <c r="BD383" i="3"/>
  <c r="BC383" i="3"/>
  <c r="BB383" i="3"/>
  <c r="AX383" i="3"/>
  <c r="AW383" i="3"/>
  <c r="AV383" i="3"/>
  <c r="BT382" i="3"/>
  <c r="BS382" i="3"/>
  <c r="BR382" i="3"/>
  <c r="BQ382" i="3"/>
  <c r="BP382" i="3"/>
  <c r="BO382" i="3"/>
  <c r="BN382" i="3"/>
  <c r="BM382" i="3"/>
  <c r="BK382" i="3"/>
  <c r="BJ382" i="3"/>
  <c r="BI382" i="3"/>
  <c r="BH382" i="3"/>
  <c r="BG382" i="3"/>
  <c r="BF382" i="3"/>
  <c r="BE382" i="3"/>
  <c r="BD382" i="3"/>
  <c r="BC382" i="3"/>
  <c r="BB382" i="3"/>
  <c r="AX382" i="3"/>
  <c r="AW382" i="3"/>
  <c r="AV382" i="3"/>
  <c r="BT381" i="3"/>
  <c r="BS381" i="3"/>
  <c r="BR381" i="3"/>
  <c r="BQ381" i="3"/>
  <c r="BP381" i="3"/>
  <c r="BO381" i="3"/>
  <c r="BN381" i="3"/>
  <c r="BM381" i="3"/>
  <c r="BL381" i="3"/>
  <c r="BK381" i="3"/>
  <c r="BJ381" i="3"/>
  <c r="BI381" i="3"/>
  <c r="BH381" i="3"/>
  <c r="BG381" i="3"/>
  <c r="BF381" i="3"/>
  <c r="BE381" i="3"/>
  <c r="BD381" i="3"/>
  <c r="BC381" i="3"/>
  <c r="BB381" i="3"/>
  <c r="AX381" i="3"/>
  <c r="AW381" i="3"/>
  <c r="AV381" i="3"/>
  <c r="BT380" i="3"/>
  <c r="BS380" i="3"/>
  <c r="BR380" i="3"/>
  <c r="BQ380" i="3"/>
  <c r="BP380" i="3"/>
  <c r="BO380" i="3"/>
  <c r="BN380" i="3"/>
  <c r="BM380" i="3"/>
  <c r="BK380" i="3"/>
  <c r="BJ380" i="3"/>
  <c r="BI380" i="3"/>
  <c r="BH380" i="3"/>
  <c r="BG380" i="3"/>
  <c r="BF380" i="3"/>
  <c r="BE380" i="3"/>
  <c r="BD380" i="3"/>
  <c r="BC380" i="3"/>
  <c r="BB380" i="3"/>
  <c r="AX380" i="3"/>
  <c r="AW380" i="3"/>
  <c r="AV380" i="3"/>
  <c r="BT379" i="3"/>
  <c r="BS379" i="3"/>
  <c r="BR379" i="3"/>
  <c r="BQ379" i="3"/>
  <c r="BP379" i="3"/>
  <c r="BO379" i="3"/>
  <c r="BN379" i="3"/>
  <c r="BM379" i="3"/>
  <c r="BK379" i="3"/>
  <c r="BJ379" i="3"/>
  <c r="BI379" i="3"/>
  <c r="BH379" i="3"/>
  <c r="BG379" i="3"/>
  <c r="BF379" i="3"/>
  <c r="BE379" i="3"/>
  <c r="BD379" i="3"/>
  <c r="BC379" i="3"/>
  <c r="BB379" i="3"/>
  <c r="AX379" i="3"/>
  <c r="AW379" i="3"/>
  <c r="AV379" i="3"/>
  <c r="BT378" i="3"/>
  <c r="BS378" i="3"/>
  <c r="BR378" i="3"/>
  <c r="BQ378" i="3"/>
  <c r="BP378" i="3"/>
  <c r="BO378" i="3"/>
  <c r="BN378" i="3"/>
  <c r="BM378" i="3"/>
  <c r="BK378" i="3"/>
  <c r="BJ378" i="3"/>
  <c r="BI378" i="3"/>
  <c r="BH378" i="3"/>
  <c r="BG378" i="3"/>
  <c r="BF378" i="3"/>
  <c r="BE378" i="3"/>
  <c r="BD378" i="3"/>
  <c r="BC378" i="3"/>
  <c r="BB378" i="3"/>
  <c r="AX378" i="3"/>
  <c r="AW378" i="3"/>
  <c r="AV378" i="3"/>
  <c r="BT377" i="3"/>
  <c r="BS377" i="3"/>
  <c r="BR377" i="3"/>
  <c r="BQ377" i="3"/>
  <c r="BP377" i="3"/>
  <c r="BO377" i="3"/>
  <c r="BN377" i="3"/>
  <c r="BM377" i="3"/>
  <c r="BK377" i="3"/>
  <c r="BJ377" i="3"/>
  <c r="BI377" i="3"/>
  <c r="BH377" i="3"/>
  <c r="BG377" i="3"/>
  <c r="BF377" i="3"/>
  <c r="BE377" i="3"/>
  <c r="BD377" i="3"/>
  <c r="BC377" i="3"/>
  <c r="BB377" i="3"/>
  <c r="AX377" i="3"/>
  <c r="AW377" i="3"/>
  <c r="AV377" i="3"/>
  <c r="BT376" i="3"/>
  <c r="BS376" i="3"/>
  <c r="BR376" i="3"/>
  <c r="BQ376" i="3"/>
  <c r="BP376" i="3"/>
  <c r="BO376" i="3"/>
  <c r="BN376" i="3"/>
  <c r="BM376" i="3"/>
  <c r="BK376" i="3"/>
  <c r="BJ376" i="3"/>
  <c r="BI376" i="3"/>
  <c r="BH376" i="3"/>
  <c r="BG376" i="3"/>
  <c r="BF376" i="3"/>
  <c r="BE376" i="3"/>
  <c r="BD376" i="3"/>
  <c r="BC376" i="3"/>
  <c r="BB376" i="3"/>
  <c r="AX376" i="3"/>
  <c r="AW376" i="3"/>
  <c r="AV376" i="3"/>
  <c r="BT375" i="3"/>
  <c r="BS375" i="3"/>
  <c r="BR375" i="3"/>
  <c r="BQ375" i="3"/>
  <c r="BP375" i="3"/>
  <c r="BO375" i="3"/>
  <c r="BN375" i="3"/>
  <c r="BM375" i="3"/>
  <c r="BL375" i="3"/>
  <c r="BK375" i="3"/>
  <c r="BJ375" i="3"/>
  <c r="BI375" i="3"/>
  <c r="BH375" i="3"/>
  <c r="BG375" i="3"/>
  <c r="BF375" i="3"/>
  <c r="BE375" i="3"/>
  <c r="BD375" i="3"/>
  <c r="BC375" i="3"/>
  <c r="BB375" i="3"/>
  <c r="AX375" i="3"/>
  <c r="AW375" i="3"/>
  <c r="AV375" i="3"/>
  <c r="BT374" i="3"/>
  <c r="BS374" i="3"/>
  <c r="BR374" i="3"/>
  <c r="BQ374" i="3"/>
  <c r="BP374" i="3"/>
  <c r="BO374" i="3"/>
  <c r="BN374" i="3"/>
  <c r="BM374" i="3"/>
  <c r="BK374" i="3"/>
  <c r="BJ374" i="3"/>
  <c r="BI374" i="3"/>
  <c r="BH374" i="3"/>
  <c r="BG374" i="3"/>
  <c r="BF374" i="3"/>
  <c r="BE374" i="3"/>
  <c r="BD374" i="3"/>
  <c r="BC374" i="3"/>
  <c r="BB374" i="3"/>
  <c r="BA374" i="3"/>
  <c r="AX374" i="3"/>
  <c r="AW374" i="3"/>
  <c r="AV374" i="3"/>
  <c r="BT373" i="3"/>
  <c r="BS373" i="3"/>
  <c r="BR373" i="3"/>
  <c r="BQ373" i="3"/>
  <c r="BP373" i="3"/>
  <c r="BO373" i="3"/>
  <c r="BN373" i="3"/>
  <c r="BM373" i="3"/>
  <c r="BK373" i="3"/>
  <c r="BJ373" i="3"/>
  <c r="BI373" i="3"/>
  <c r="BH373" i="3"/>
  <c r="BG373" i="3"/>
  <c r="BF373" i="3"/>
  <c r="BE373" i="3"/>
  <c r="BD373" i="3"/>
  <c r="BC373" i="3"/>
  <c r="BB373" i="3"/>
  <c r="AX373" i="3"/>
  <c r="AW373" i="3"/>
  <c r="AV373" i="3"/>
  <c r="BT372" i="3"/>
  <c r="BS372" i="3"/>
  <c r="BR372" i="3"/>
  <c r="BQ372" i="3"/>
  <c r="BP372" i="3"/>
  <c r="BO372" i="3"/>
  <c r="BN372" i="3"/>
  <c r="BM372" i="3"/>
  <c r="BK372" i="3"/>
  <c r="BJ372" i="3"/>
  <c r="BI372" i="3"/>
  <c r="BH372" i="3"/>
  <c r="BG372" i="3"/>
  <c r="BF372" i="3"/>
  <c r="BE372" i="3"/>
  <c r="BD372" i="3"/>
  <c r="BC372" i="3"/>
  <c r="BB372" i="3"/>
  <c r="AX372" i="3"/>
  <c r="AW372" i="3"/>
  <c r="AV372" i="3"/>
  <c r="BT371" i="3"/>
  <c r="BS371" i="3"/>
  <c r="BR371" i="3"/>
  <c r="BQ371" i="3"/>
  <c r="BP371" i="3"/>
  <c r="BO371" i="3"/>
  <c r="BN371" i="3"/>
  <c r="BM371" i="3"/>
  <c r="BK371" i="3"/>
  <c r="BJ371" i="3"/>
  <c r="BI371" i="3"/>
  <c r="BH371" i="3"/>
  <c r="BG371" i="3"/>
  <c r="BF371" i="3"/>
  <c r="BE371" i="3"/>
  <c r="BD371" i="3"/>
  <c r="BC371" i="3"/>
  <c r="BB371" i="3"/>
  <c r="AX371" i="3"/>
  <c r="AW371" i="3"/>
  <c r="AV371" i="3"/>
  <c r="BT370" i="3"/>
  <c r="BS370" i="3"/>
  <c r="BR370" i="3"/>
  <c r="BQ370" i="3"/>
  <c r="BP370" i="3"/>
  <c r="BO370" i="3"/>
  <c r="BN370" i="3"/>
  <c r="BM370" i="3"/>
  <c r="BK370" i="3"/>
  <c r="BJ370" i="3"/>
  <c r="BI370" i="3"/>
  <c r="BH370" i="3"/>
  <c r="BG370" i="3"/>
  <c r="BF370" i="3"/>
  <c r="BE370" i="3"/>
  <c r="BD370" i="3"/>
  <c r="BC370" i="3"/>
  <c r="BB370" i="3"/>
  <c r="BA370" i="3"/>
  <c r="AX370" i="3"/>
  <c r="AW370" i="3"/>
  <c r="AV370" i="3"/>
  <c r="BT369" i="3"/>
  <c r="BS369" i="3"/>
  <c r="BR369" i="3"/>
  <c r="BQ369" i="3"/>
  <c r="BP369" i="3"/>
  <c r="BO369" i="3"/>
  <c r="BN369" i="3"/>
  <c r="BM369" i="3"/>
  <c r="BK369" i="3"/>
  <c r="BJ369" i="3"/>
  <c r="BI369" i="3"/>
  <c r="BH369" i="3"/>
  <c r="BG369" i="3"/>
  <c r="BF369" i="3"/>
  <c r="BE369" i="3"/>
  <c r="BD369" i="3"/>
  <c r="BC369" i="3"/>
  <c r="BB369" i="3"/>
  <c r="AX369" i="3"/>
  <c r="AW369" i="3"/>
  <c r="AV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BT366" i="3"/>
  <c r="BS366" i="3"/>
  <c r="BR366" i="3"/>
  <c r="BQ366" i="3"/>
  <c r="BP366" i="3"/>
  <c r="BO366" i="3"/>
  <c r="BN366" i="3"/>
  <c r="BM366" i="3"/>
  <c r="BK366" i="3"/>
  <c r="BJ366" i="3"/>
  <c r="BI366" i="3"/>
  <c r="BH366" i="3"/>
  <c r="BG366" i="3"/>
  <c r="BF366" i="3"/>
  <c r="BE366" i="3"/>
  <c r="BD366" i="3"/>
  <c r="BC366" i="3"/>
  <c r="BB366" i="3"/>
  <c r="BA366" i="3"/>
  <c r="AX366" i="3"/>
  <c r="AW366" i="3"/>
  <c r="AV366" i="3"/>
  <c r="BT365" i="3"/>
  <c r="BS365" i="3"/>
  <c r="BR365" i="3"/>
  <c r="BQ365" i="3"/>
  <c r="BP365" i="3"/>
  <c r="BO365" i="3"/>
  <c r="BN365" i="3"/>
  <c r="BM365" i="3"/>
  <c r="BL365" i="3"/>
  <c r="BK365" i="3"/>
  <c r="BJ365" i="3"/>
  <c r="BI365" i="3"/>
  <c r="BH365" i="3"/>
  <c r="BG365" i="3"/>
  <c r="BF365" i="3"/>
  <c r="BE365" i="3"/>
  <c r="BD365" i="3"/>
  <c r="BC365" i="3"/>
  <c r="BB365" i="3"/>
  <c r="AX365" i="3"/>
  <c r="AW365" i="3"/>
  <c r="AV365" i="3"/>
  <c r="BT364" i="3"/>
  <c r="BS364" i="3"/>
  <c r="BR364" i="3"/>
  <c r="BQ364" i="3"/>
  <c r="BP364" i="3"/>
  <c r="BO364" i="3"/>
  <c r="BN364" i="3"/>
  <c r="BM364" i="3"/>
  <c r="BK364" i="3"/>
  <c r="BJ364" i="3"/>
  <c r="BI364" i="3"/>
  <c r="BH364" i="3"/>
  <c r="BG364" i="3"/>
  <c r="BF364" i="3"/>
  <c r="BE364" i="3"/>
  <c r="BD364" i="3"/>
  <c r="BC364" i="3"/>
  <c r="BB364" i="3"/>
  <c r="AX364" i="3"/>
  <c r="AW364" i="3"/>
  <c r="AV364" i="3"/>
  <c r="BT363" i="3"/>
  <c r="BS363" i="3"/>
  <c r="BR363" i="3"/>
  <c r="BQ363" i="3"/>
  <c r="BP363" i="3"/>
  <c r="BO363" i="3"/>
  <c r="BN363" i="3"/>
  <c r="BM363" i="3"/>
  <c r="BL363" i="3"/>
  <c r="BK363" i="3"/>
  <c r="BJ363" i="3"/>
  <c r="BI363" i="3"/>
  <c r="BH363" i="3"/>
  <c r="BG363" i="3"/>
  <c r="BF363" i="3"/>
  <c r="BE363" i="3"/>
  <c r="BD363" i="3"/>
  <c r="BC363" i="3"/>
  <c r="BB363" i="3"/>
  <c r="AX363" i="3"/>
  <c r="AW363" i="3"/>
  <c r="AV363" i="3"/>
  <c r="BT362" i="3"/>
  <c r="BS362" i="3"/>
  <c r="BR362" i="3"/>
  <c r="BQ362" i="3"/>
  <c r="BP362" i="3"/>
  <c r="BO362" i="3"/>
  <c r="BN362" i="3"/>
  <c r="BM362" i="3"/>
  <c r="BK362" i="3"/>
  <c r="BJ362" i="3"/>
  <c r="BI362" i="3"/>
  <c r="BH362" i="3"/>
  <c r="BG362" i="3"/>
  <c r="BF362" i="3"/>
  <c r="BE362" i="3"/>
  <c r="BD362" i="3"/>
  <c r="BC362" i="3"/>
  <c r="BB362" i="3"/>
  <c r="AX362" i="3"/>
  <c r="AW362" i="3"/>
  <c r="AV362" i="3"/>
  <c r="BT361" i="3"/>
  <c r="BS361" i="3"/>
  <c r="BR361" i="3"/>
  <c r="BQ361" i="3"/>
  <c r="BP361" i="3"/>
  <c r="BO361" i="3"/>
  <c r="BN361" i="3"/>
  <c r="BM361" i="3"/>
  <c r="BK361" i="3"/>
  <c r="BJ361" i="3"/>
  <c r="BI361" i="3"/>
  <c r="BH361" i="3"/>
  <c r="BG361" i="3"/>
  <c r="BF361" i="3"/>
  <c r="BE361" i="3"/>
  <c r="BD361" i="3"/>
  <c r="BC361" i="3"/>
  <c r="BB361" i="3"/>
  <c r="AX361" i="3"/>
  <c r="AW361" i="3"/>
  <c r="AV361" i="3"/>
  <c r="BT360" i="3"/>
  <c r="BS360" i="3"/>
  <c r="BR360" i="3"/>
  <c r="BQ360" i="3"/>
  <c r="BP360" i="3"/>
  <c r="BO360" i="3"/>
  <c r="BN360" i="3"/>
  <c r="BM360" i="3"/>
  <c r="BK360" i="3"/>
  <c r="BJ360" i="3"/>
  <c r="BI360" i="3"/>
  <c r="BH360" i="3"/>
  <c r="BG360" i="3"/>
  <c r="BF360" i="3"/>
  <c r="BE360" i="3"/>
  <c r="BD360" i="3"/>
  <c r="BC360" i="3"/>
  <c r="BB360" i="3"/>
  <c r="AX360" i="3"/>
  <c r="AW360" i="3"/>
  <c r="AV360" i="3"/>
  <c r="BT359" i="3"/>
  <c r="BS359" i="3"/>
  <c r="BR359" i="3"/>
  <c r="BQ359" i="3"/>
  <c r="BP359" i="3"/>
  <c r="BO359" i="3"/>
  <c r="BN359" i="3"/>
  <c r="BM359" i="3"/>
  <c r="BL359" i="3"/>
  <c r="BK359" i="3"/>
  <c r="BJ359" i="3"/>
  <c r="BI359" i="3"/>
  <c r="BH359" i="3"/>
  <c r="BG359" i="3"/>
  <c r="BF359" i="3"/>
  <c r="BE359" i="3"/>
  <c r="BD359" i="3"/>
  <c r="BC359" i="3"/>
  <c r="BB359" i="3"/>
  <c r="AX359" i="3"/>
  <c r="AW359" i="3"/>
  <c r="AV359" i="3"/>
  <c r="BT358" i="3"/>
  <c r="BS358" i="3"/>
  <c r="BR358" i="3"/>
  <c r="BQ358" i="3"/>
  <c r="BP358" i="3"/>
  <c r="BO358" i="3"/>
  <c r="BN358" i="3"/>
  <c r="BM358" i="3"/>
  <c r="BK358" i="3"/>
  <c r="BJ358" i="3"/>
  <c r="BI358" i="3"/>
  <c r="BH358" i="3"/>
  <c r="BG358" i="3"/>
  <c r="BF358" i="3"/>
  <c r="BE358" i="3"/>
  <c r="BD358" i="3"/>
  <c r="BC358" i="3"/>
  <c r="BB358" i="3"/>
  <c r="BA358" i="3"/>
  <c r="AX358" i="3"/>
  <c r="AW358" i="3"/>
  <c r="AV358" i="3"/>
  <c r="BT357" i="3"/>
  <c r="BS357" i="3"/>
  <c r="BR357" i="3"/>
  <c r="BQ357" i="3"/>
  <c r="BP357" i="3"/>
  <c r="BO357" i="3"/>
  <c r="BN357" i="3"/>
  <c r="BM357" i="3"/>
  <c r="BK357" i="3"/>
  <c r="BJ357" i="3"/>
  <c r="BI357" i="3"/>
  <c r="BH357" i="3"/>
  <c r="BG357" i="3"/>
  <c r="BF357" i="3"/>
  <c r="BE357" i="3"/>
  <c r="BD357" i="3"/>
  <c r="BC357" i="3"/>
  <c r="BB357" i="3"/>
  <c r="AX357" i="3"/>
  <c r="AW357" i="3"/>
  <c r="AV357" i="3"/>
  <c r="BT356" i="3"/>
  <c r="BS356" i="3"/>
  <c r="BR356" i="3"/>
  <c r="BQ356" i="3"/>
  <c r="BP356" i="3"/>
  <c r="BO356" i="3"/>
  <c r="BN356" i="3"/>
  <c r="BM356" i="3"/>
  <c r="BK356" i="3"/>
  <c r="BJ356" i="3"/>
  <c r="BI356" i="3"/>
  <c r="BH356" i="3"/>
  <c r="BG356" i="3"/>
  <c r="BF356" i="3"/>
  <c r="BE356" i="3"/>
  <c r="BD356" i="3"/>
  <c r="BC356" i="3"/>
  <c r="BB356" i="3"/>
  <c r="AX356" i="3"/>
  <c r="AW356" i="3"/>
  <c r="AV356" i="3"/>
  <c r="BT355" i="3"/>
  <c r="BS355" i="3"/>
  <c r="BR355" i="3"/>
  <c r="BQ355" i="3"/>
  <c r="BP355" i="3"/>
  <c r="BO355" i="3"/>
  <c r="BN355" i="3"/>
  <c r="BM355" i="3"/>
  <c r="BK355" i="3"/>
  <c r="BJ355" i="3"/>
  <c r="BI355" i="3"/>
  <c r="BH355" i="3"/>
  <c r="BG355" i="3"/>
  <c r="BF355" i="3"/>
  <c r="BE355" i="3"/>
  <c r="BD355" i="3"/>
  <c r="BC355" i="3"/>
  <c r="BB355" i="3"/>
  <c r="AX355" i="3"/>
  <c r="AW355" i="3"/>
  <c r="AV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BT352" i="3"/>
  <c r="BS352" i="3"/>
  <c r="BR352" i="3"/>
  <c r="BQ352" i="3"/>
  <c r="BP352" i="3"/>
  <c r="BO352" i="3"/>
  <c r="BN352" i="3"/>
  <c r="BM352" i="3"/>
  <c r="BK352" i="3"/>
  <c r="BJ352" i="3"/>
  <c r="BI352" i="3"/>
  <c r="BH352" i="3"/>
  <c r="BG352" i="3"/>
  <c r="BF352" i="3"/>
  <c r="BE352" i="3"/>
  <c r="BD352" i="3"/>
  <c r="BC352" i="3"/>
  <c r="BB352" i="3"/>
  <c r="BA352" i="3"/>
  <c r="AX352" i="3"/>
  <c r="AW352" i="3"/>
  <c r="AV352" i="3"/>
  <c r="BT351" i="3"/>
  <c r="BS351" i="3"/>
  <c r="BR351" i="3"/>
  <c r="BQ351" i="3"/>
  <c r="BP351" i="3"/>
  <c r="BO351" i="3"/>
  <c r="BN351" i="3"/>
  <c r="BM351" i="3"/>
  <c r="BK351" i="3"/>
  <c r="BJ351" i="3"/>
  <c r="BI351" i="3"/>
  <c r="BH351" i="3"/>
  <c r="BG351" i="3"/>
  <c r="BF351" i="3"/>
  <c r="BE351" i="3"/>
  <c r="BD351" i="3"/>
  <c r="BC351" i="3"/>
  <c r="BB351" i="3"/>
  <c r="AX351" i="3"/>
  <c r="AW351" i="3"/>
  <c r="AV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BT349" i="3"/>
  <c r="BS349" i="3"/>
  <c r="BR349" i="3"/>
  <c r="BQ349" i="3"/>
  <c r="BP349" i="3"/>
  <c r="BO349" i="3"/>
  <c r="BN349" i="3"/>
  <c r="BM349" i="3"/>
  <c r="BK349" i="3"/>
  <c r="BJ349" i="3"/>
  <c r="BI349" i="3"/>
  <c r="BH349" i="3"/>
  <c r="BG349" i="3"/>
  <c r="BF349" i="3"/>
  <c r="BE349" i="3"/>
  <c r="BD349" i="3"/>
  <c r="BC349" i="3"/>
  <c r="BB349" i="3"/>
  <c r="BA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BT347" i="3"/>
  <c r="BS347" i="3"/>
  <c r="BR347" i="3"/>
  <c r="BQ347" i="3"/>
  <c r="BP347" i="3"/>
  <c r="BO347" i="3"/>
  <c r="BN347" i="3"/>
  <c r="BM347" i="3"/>
  <c r="BK347" i="3"/>
  <c r="BJ347" i="3"/>
  <c r="BI347" i="3"/>
  <c r="BH347" i="3"/>
  <c r="BG347" i="3"/>
  <c r="BF347" i="3"/>
  <c r="BE347" i="3"/>
  <c r="BD347" i="3"/>
  <c r="BC347" i="3"/>
  <c r="BB347" i="3"/>
  <c r="AX347" i="3"/>
  <c r="AW347" i="3"/>
  <c r="AV347" i="3"/>
  <c r="BT346" i="3"/>
  <c r="BS346" i="3"/>
  <c r="BR346" i="3"/>
  <c r="BQ346" i="3"/>
  <c r="BP346" i="3"/>
  <c r="BO346" i="3"/>
  <c r="BN346" i="3"/>
  <c r="BM346" i="3"/>
  <c r="BL346" i="3"/>
  <c r="BK346" i="3"/>
  <c r="BJ346" i="3"/>
  <c r="BI346" i="3"/>
  <c r="BH346" i="3"/>
  <c r="BG346" i="3"/>
  <c r="BF346" i="3"/>
  <c r="BE346" i="3"/>
  <c r="BD346" i="3"/>
  <c r="BC346" i="3"/>
  <c r="BB346" i="3"/>
  <c r="AX346" i="3"/>
  <c r="AW346" i="3"/>
  <c r="AV346" i="3"/>
  <c r="BT345" i="3"/>
  <c r="BS345" i="3"/>
  <c r="BR345" i="3"/>
  <c r="BQ345" i="3"/>
  <c r="BP345" i="3"/>
  <c r="BO345" i="3"/>
  <c r="BN345" i="3"/>
  <c r="BM345" i="3"/>
  <c r="BK345" i="3"/>
  <c r="BJ345" i="3"/>
  <c r="BI345" i="3"/>
  <c r="BH345" i="3"/>
  <c r="BG345" i="3"/>
  <c r="BF345" i="3"/>
  <c r="BE345" i="3"/>
  <c r="BD345" i="3"/>
  <c r="BC345" i="3"/>
  <c r="BB345" i="3"/>
  <c r="AX345" i="3"/>
  <c r="AW345" i="3"/>
  <c r="AV345" i="3"/>
  <c r="BT344" i="3"/>
  <c r="BS344" i="3"/>
  <c r="BR344" i="3"/>
  <c r="BQ344" i="3"/>
  <c r="BP344" i="3"/>
  <c r="BO344" i="3"/>
  <c r="BN344" i="3"/>
  <c r="BM344" i="3"/>
  <c r="BK344" i="3"/>
  <c r="BJ344" i="3"/>
  <c r="BI344" i="3"/>
  <c r="BH344" i="3"/>
  <c r="BG344" i="3"/>
  <c r="BF344" i="3"/>
  <c r="BE344" i="3"/>
  <c r="BD344" i="3"/>
  <c r="BC344" i="3"/>
  <c r="BB344" i="3"/>
  <c r="AX344" i="3"/>
  <c r="AW344" i="3"/>
  <c r="AV344" i="3"/>
  <c r="BT343" i="3"/>
  <c r="BS343" i="3"/>
  <c r="BR343" i="3"/>
  <c r="BQ343" i="3"/>
  <c r="BP343" i="3"/>
  <c r="BO343" i="3"/>
  <c r="BN343" i="3"/>
  <c r="BM343" i="3"/>
  <c r="BK343" i="3"/>
  <c r="BJ343" i="3"/>
  <c r="BI343" i="3"/>
  <c r="BH343" i="3"/>
  <c r="BG343" i="3"/>
  <c r="BF343" i="3"/>
  <c r="BE343" i="3"/>
  <c r="BD343" i="3"/>
  <c r="BC343" i="3"/>
  <c r="BB343" i="3"/>
  <c r="AX343" i="3"/>
  <c r="AW343" i="3"/>
  <c r="AV343" i="3"/>
  <c r="BT342" i="3"/>
  <c r="BS342" i="3"/>
  <c r="BR342" i="3"/>
  <c r="BQ342" i="3"/>
  <c r="BP342" i="3"/>
  <c r="BO342" i="3"/>
  <c r="BN342" i="3"/>
  <c r="BM342" i="3"/>
  <c r="BK342" i="3"/>
  <c r="BJ342" i="3"/>
  <c r="BI342" i="3"/>
  <c r="BH342" i="3"/>
  <c r="BG342" i="3"/>
  <c r="BF342" i="3"/>
  <c r="BE342" i="3"/>
  <c r="BD342" i="3"/>
  <c r="BC342" i="3"/>
  <c r="BB342" i="3"/>
  <c r="AX342" i="3"/>
  <c r="AW342" i="3"/>
  <c r="AV342" i="3"/>
  <c r="BT341" i="3"/>
  <c r="BS341" i="3"/>
  <c r="BR341" i="3"/>
  <c r="BQ341" i="3"/>
  <c r="BP341" i="3"/>
  <c r="BO341" i="3"/>
  <c r="BN341" i="3"/>
  <c r="BM341" i="3"/>
  <c r="BK341" i="3"/>
  <c r="BJ341" i="3"/>
  <c r="BI341" i="3"/>
  <c r="BH341" i="3"/>
  <c r="BG341" i="3"/>
  <c r="BF341" i="3"/>
  <c r="BE341" i="3"/>
  <c r="BD341" i="3"/>
  <c r="BC341" i="3"/>
  <c r="BB341" i="3"/>
  <c r="AX341" i="3"/>
  <c r="AW341" i="3"/>
  <c r="AV341" i="3"/>
  <c r="BT340" i="3"/>
  <c r="BS340" i="3"/>
  <c r="BR340" i="3"/>
  <c r="BQ340" i="3"/>
  <c r="BP340" i="3"/>
  <c r="BO340" i="3"/>
  <c r="BN340" i="3"/>
  <c r="BM340" i="3"/>
  <c r="BL340" i="3"/>
  <c r="BK340" i="3"/>
  <c r="BJ340" i="3"/>
  <c r="BI340" i="3"/>
  <c r="BH340" i="3"/>
  <c r="BG340" i="3"/>
  <c r="BF340" i="3"/>
  <c r="BE340" i="3"/>
  <c r="BD340" i="3"/>
  <c r="BC340" i="3"/>
  <c r="BB340" i="3"/>
  <c r="AX340" i="3"/>
  <c r="AW340" i="3"/>
  <c r="AV340" i="3"/>
  <c r="BT339" i="3"/>
  <c r="BS339" i="3"/>
  <c r="BR339" i="3"/>
  <c r="BQ339" i="3"/>
  <c r="BP339" i="3"/>
  <c r="BO339" i="3"/>
  <c r="BN339" i="3"/>
  <c r="BM339" i="3"/>
  <c r="BK339" i="3"/>
  <c r="BJ339" i="3"/>
  <c r="BI339" i="3"/>
  <c r="BH339" i="3"/>
  <c r="BG339" i="3"/>
  <c r="BF339" i="3"/>
  <c r="BE339" i="3"/>
  <c r="BD339" i="3"/>
  <c r="BC339" i="3"/>
  <c r="BB339" i="3"/>
  <c r="BA339" i="3"/>
  <c r="AX339" i="3"/>
  <c r="AW339" i="3"/>
  <c r="AV339" i="3"/>
  <c r="BT338" i="3"/>
  <c r="BS338" i="3"/>
  <c r="BR338" i="3"/>
  <c r="BQ338" i="3"/>
  <c r="BP338" i="3"/>
  <c r="BO338" i="3"/>
  <c r="BN338" i="3"/>
  <c r="BM338" i="3"/>
  <c r="BK338" i="3"/>
  <c r="BJ338" i="3"/>
  <c r="BI338" i="3"/>
  <c r="BH338" i="3"/>
  <c r="BG338" i="3"/>
  <c r="BF338" i="3"/>
  <c r="BE338" i="3"/>
  <c r="BD338" i="3"/>
  <c r="BC338" i="3"/>
  <c r="BB338" i="3"/>
  <c r="AX338" i="3"/>
  <c r="AW338" i="3"/>
  <c r="AV338" i="3"/>
  <c r="BT337" i="3"/>
  <c r="BS337" i="3"/>
  <c r="BR337" i="3"/>
  <c r="BQ337" i="3"/>
  <c r="BP337" i="3"/>
  <c r="BO337" i="3"/>
  <c r="BN337" i="3"/>
  <c r="BM337" i="3"/>
  <c r="BK337" i="3"/>
  <c r="BJ337" i="3"/>
  <c r="BI337" i="3"/>
  <c r="BH337" i="3"/>
  <c r="BG337" i="3"/>
  <c r="BF337" i="3"/>
  <c r="BE337" i="3"/>
  <c r="BD337" i="3"/>
  <c r="BC337" i="3"/>
  <c r="BB337" i="3"/>
  <c r="AX337" i="3"/>
  <c r="AW337" i="3"/>
  <c r="AV337" i="3"/>
  <c r="BT336" i="3"/>
  <c r="BS336" i="3"/>
  <c r="BR336" i="3"/>
  <c r="BQ336" i="3"/>
  <c r="BP336" i="3"/>
  <c r="BO336" i="3"/>
  <c r="BN336" i="3"/>
  <c r="BM336" i="3"/>
  <c r="BK336" i="3"/>
  <c r="BJ336" i="3"/>
  <c r="BI336" i="3"/>
  <c r="BH336" i="3"/>
  <c r="BG336" i="3"/>
  <c r="BF336" i="3"/>
  <c r="BE336" i="3"/>
  <c r="BD336" i="3"/>
  <c r="BC336" i="3"/>
  <c r="BB336" i="3"/>
  <c r="AX336" i="3"/>
  <c r="AW336" i="3"/>
  <c r="AV336" i="3"/>
  <c r="BT335" i="3"/>
  <c r="BS335" i="3"/>
  <c r="BR335" i="3"/>
  <c r="BQ335" i="3"/>
  <c r="BP335" i="3"/>
  <c r="BO335" i="3"/>
  <c r="BN335" i="3"/>
  <c r="BM335" i="3"/>
  <c r="BK335" i="3"/>
  <c r="BJ335" i="3"/>
  <c r="BI335" i="3"/>
  <c r="BH335" i="3"/>
  <c r="BG335" i="3"/>
  <c r="BF335" i="3"/>
  <c r="BE335" i="3"/>
  <c r="BD335" i="3"/>
  <c r="BC335" i="3"/>
  <c r="BB335" i="3"/>
  <c r="BA335" i="3"/>
  <c r="AX335" i="3"/>
  <c r="AW335" i="3"/>
  <c r="AV335" i="3"/>
  <c r="BT334" i="3"/>
  <c r="BS334" i="3"/>
  <c r="BR334" i="3"/>
  <c r="BQ334" i="3"/>
  <c r="BP334" i="3"/>
  <c r="BO334" i="3"/>
  <c r="BN334" i="3"/>
  <c r="BM334" i="3"/>
  <c r="BK334" i="3"/>
  <c r="BJ334" i="3"/>
  <c r="BI334" i="3"/>
  <c r="BH334" i="3"/>
  <c r="BG334" i="3"/>
  <c r="BF334" i="3"/>
  <c r="BE334" i="3"/>
  <c r="BD334" i="3"/>
  <c r="BC334" i="3"/>
  <c r="BB334" i="3"/>
  <c r="AX334" i="3"/>
  <c r="AW334" i="3"/>
  <c r="AV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BT331" i="3"/>
  <c r="BS331" i="3"/>
  <c r="BR331" i="3"/>
  <c r="BQ331" i="3"/>
  <c r="BP331" i="3"/>
  <c r="BO331" i="3"/>
  <c r="BN331" i="3"/>
  <c r="BM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AX330" i="3"/>
  <c r="AW330" i="3"/>
  <c r="AV330" i="3"/>
  <c r="BT329" i="3"/>
  <c r="BS329" i="3"/>
  <c r="BR329" i="3"/>
  <c r="BQ329" i="3"/>
  <c r="BP329" i="3"/>
  <c r="BO329" i="3"/>
  <c r="BN329" i="3"/>
  <c r="BM329" i="3"/>
  <c r="BK329" i="3"/>
  <c r="BJ329" i="3"/>
  <c r="BI329" i="3"/>
  <c r="BH329" i="3"/>
  <c r="BG329" i="3"/>
  <c r="BF329" i="3"/>
  <c r="BE329" i="3"/>
  <c r="BD329" i="3"/>
  <c r="BC329" i="3"/>
  <c r="BB329" i="3"/>
  <c r="AX329" i="3"/>
  <c r="AW329" i="3"/>
  <c r="AV329" i="3"/>
  <c r="BT328" i="3"/>
  <c r="BS328" i="3"/>
  <c r="BR328" i="3"/>
  <c r="BQ328" i="3"/>
  <c r="BP328" i="3"/>
  <c r="BO328" i="3"/>
  <c r="BN328" i="3"/>
  <c r="BM328" i="3"/>
  <c r="BL328" i="3"/>
  <c r="BK328" i="3"/>
  <c r="BJ328" i="3"/>
  <c r="BI328" i="3"/>
  <c r="BH328" i="3"/>
  <c r="BG328" i="3"/>
  <c r="BF328" i="3"/>
  <c r="BE328" i="3"/>
  <c r="BD328" i="3"/>
  <c r="BC328" i="3"/>
  <c r="BB328" i="3"/>
  <c r="AX328" i="3"/>
  <c r="AW328" i="3"/>
  <c r="AV328" i="3"/>
  <c r="BT327" i="3"/>
  <c r="BS327" i="3"/>
  <c r="BR327" i="3"/>
  <c r="BQ327" i="3"/>
  <c r="BP327" i="3"/>
  <c r="BO327" i="3"/>
  <c r="BN327" i="3"/>
  <c r="BM327" i="3"/>
  <c r="BK327" i="3"/>
  <c r="BJ327" i="3"/>
  <c r="BI327" i="3"/>
  <c r="BH327" i="3"/>
  <c r="BG327" i="3"/>
  <c r="BF327" i="3"/>
  <c r="BE327" i="3"/>
  <c r="BD327" i="3"/>
  <c r="BC327" i="3"/>
  <c r="BB327" i="3"/>
  <c r="AX327" i="3"/>
  <c r="AW327" i="3"/>
  <c r="AV327" i="3"/>
  <c r="BT326" i="3"/>
  <c r="BS326" i="3"/>
  <c r="BR326" i="3"/>
  <c r="BQ326" i="3"/>
  <c r="BP326" i="3"/>
  <c r="BO326" i="3"/>
  <c r="BN326" i="3"/>
  <c r="BM326" i="3"/>
  <c r="BK326" i="3"/>
  <c r="BJ326" i="3"/>
  <c r="BI326" i="3"/>
  <c r="BH326" i="3"/>
  <c r="BG326" i="3"/>
  <c r="BF326" i="3"/>
  <c r="BE326" i="3"/>
  <c r="BD326" i="3"/>
  <c r="BC326" i="3"/>
  <c r="BB326" i="3"/>
  <c r="AX326" i="3"/>
  <c r="AW326" i="3"/>
  <c r="AV326" i="3"/>
  <c r="BT325" i="3"/>
  <c r="BS325" i="3"/>
  <c r="BR325" i="3"/>
  <c r="BQ325" i="3"/>
  <c r="BP325" i="3"/>
  <c r="BO325" i="3"/>
  <c r="BN325" i="3"/>
  <c r="BM325" i="3"/>
  <c r="BK325" i="3"/>
  <c r="BJ325" i="3"/>
  <c r="BI325" i="3"/>
  <c r="BH325" i="3"/>
  <c r="BG325" i="3"/>
  <c r="BF325" i="3"/>
  <c r="BE325" i="3"/>
  <c r="BD325" i="3"/>
  <c r="BC325" i="3"/>
  <c r="BB325" i="3"/>
  <c r="AX325" i="3"/>
  <c r="AW325" i="3"/>
  <c r="AV325" i="3"/>
  <c r="BT324" i="3"/>
  <c r="BS324" i="3"/>
  <c r="BR324" i="3"/>
  <c r="BQ324" i="3"/>
  <c r="BP324" i="3"/>
  <c r="BO324" i="3"/>
  <c r="BN324" i="3"/>
  <c r="BM324" i="3"/>
  <c r="BL324" i="3"/>
  <c r="BK324" i="3"/>
  <c r="BJ324" i="3"/>
  <c r="BI324" i="3"/>
  <c r="BH324" i="3"/>
  <c r="BG324" i="3"/>
  <c r="BF324" i="3"/>
  <c r="BE324" i="3"/>
  <c r="BD324" i="3"/>
  <c r="BC324" i="3"/>
  <c r="BB324" i="3"/>
  <c r="AX324" i="3"/>
  <c r="AW324" i="3"/>
  <c r="AV324" i="3"/>
  <c r="BT323" i="3"/>
  <c r="BS323" i="3"/>
  <c r="BR323" i="3"/>
  <c r="BQ323" i="3"/>
  <c r="BP323" i="3"/>
  <c r="BO323" i="3"/>
  <c r="BN323" i="3"/>
  <c r="BM323" i="3"/>
  <c r="BK323" i="3"/>
  <c r="BJ323" i="3"/>
  <c r="BI323" i="3"/>
  <c r="BH323" i="3"/>
  <c r="BG323" i="3"/>
  <c r="BF323" i="3"/>
  <c r="BE323" i="3"/>
  <c r="BD323" i="3"/>
  <c r="BC323" i="3"/>
  <c r="BB323" i="3"/>
  <c r="BA323" i="3"/>
  <c r="AX323" i="3"/>
  <c r="AW323" i="3"/>
  <c r="AV323" i="3"/>
  <c r="BT322" i="3"/>
  <c r="BS322" i="3"/>
  <c r="BR322" i="3"/>
  <c r="BQ322" i="3"/>
  <c r="BP322" i="3"/>
  <c r="BO322" i="3"/>
  <c r="BN322" i="3"/>
  <c r="BM322" i="3"/>
  <c r="BK322" i="3"/>
  <c r="BJ322" i="3"/>
  <c r="BI322" i="3"/>
  <c r="BH322" i="3"/>
  <c r="BG322" i="3"/>
  <c r="BF322" i="3"/>
  <c r="BE322" i="3"/>
  <c r="BD322" i="3"/>
  <c r="BC322" i="3"/>
  <c r="BB322" i="3"/>
  <c r="AX322" i="3"/>
  <c r="AW322" i="3"/>
  <c r="AV322" i="3"/>
  <c r="BT321" i="3"/>
  <c r="BS321" i="3"/>
  <c r="BR321" i="3"/>
  <c r="BQ321" i="3"/>
  <c r="BP321" i="3"/>
  <c r="BO321" i="3"/>
  <c r="BN321" i="3"/>
  <c r="BM321" i="3"/>
  <c r="BK321" i="3"/>
  <c r="BJ321" i="3"/>
  <c r="BI321" i="3"/>
  <c r="BH321" i="3"/>
  <c r="BG321" i="3"/>
  <c r="BF321" i="3"/>
  <c r="BE321" i="3"/>
  <c r="BD321" i="3"/>
  <c r="BC321" i="3"/>
  <c r="BB321" i="3"/>
  <c r="AX321" i="3"/>
  <c r="AW321" i="3"/>
  <c r="AV321" i="3"/>
  <c r="BT320" i="3"/>
  <c r="BS320" i="3"/>
  <c r="BR320" i="3"/>
  <c r="BQ320" i="3"/>
  <c r="BP320" i="3"/>
  <c r="BO320" i="3"/>
  <c r="BN320" i="3"/>
  <c r="BM320" i="3"/>
  <c r="BK320" i="3"/>
  <c r="BJ320" i="3"/>
  <c r="BI320" i="3"/>
  <c r="BH320" i="3"/>
  <c r="BG320" i="3"/>
  <c r="BF320" i="3"/>
  <c r="BE320" i="3"/>
  <c r="BD320" i="3"/>
  <c r="BC320" i="3"/>
  <c r="BB320" i="3"/>
  <c r="AX320" i="3"/>
  <c r="AW320" i="3"/>
  <c r="AV320" i="3"/>
  <c r="BT319" i="3"/>
  <c r="BS319" i="3"/>
  <c r="BR319" i="3"/>
  <c r="BQ319" i="3"/>
  <c r="BP319" i="3"/>
  <c r="BO319" i="3"/>
  <c r="BN319" i="3"/>
  <c r="BM319" i="3"/>
  <c r="BK319" i="3"/>
  <c r="BJ319" i="3"/>
  <c r="BI319" i="3"/>
  <c r="BH319" i="3"/>
  <c r="BG319" i="3"/>
  <c r="BF319" i="3"/>
  <c r="BE319" i="3"/>
  <c r="BD319" i="3"/>
  <c r="BC319" i="3"/>
  <c r="BB319" i="3"/>
  <c r="BA319" i="3"/>
  <c r="AX319" i="3"/>
  <c r="AW319" i="3"/>
  <c r="AV319" i="3"/>
  <c r="BT318" i="3"/>
  <c r="BS318" i="3"/>
  <c r="BR318" i="3"/>
  <c r="BQ318" i="3"/>
  <c r="BP318" i="3"/>
  <c r="BO318" i="3"/>
  <c r="BN318" i="3"/>
  <c r="BM318" i="3"/>
  <c r="BK318" i="3"/>
  <c r="BJ318" i="3"/>
  <c r="BI318" i="3"/>
  <c r="BH318" i="3"/>
  <c r="BG318" i="3"/>
  <c r="BF318" i="3"/>
  <c r="BE318" i="3"/>
  <c r="BD318" i="3"/>
  <c r="BC318" i="3"/>
  <c r="BB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BT315" i="3"/>
  <c r="BS315" i="3"/>
  <c r="BR315" i="3"/>
  <c r="BQ315" i="3"/>
  <c r="BP315" i="3"/>
  <c r="BO315" i="3"/>
  <c r="BN315" i="3"/>
  <c r="BM315" i="3"/>
  <c r="BK315" i="3"/>
  <c r="BJ315" i="3"/>
  <c r="BI315" i="3"/>
  <c r="BH315" i="3"/>
  <c r="BG315" i="3"/>
  <c r="BF315" i="3"/>
  <c r="BE315" i="3"/>
  <c r="BD315" i="3"/>
  <c r="BC315" i="3"/>
  <c r="BB315" i="3"/>
  <c r="BA315" i="3"/>
  <c r="AX315" i="3"/>
  <c r="AW315" i="3"/>
  <c r="AV315" i="3"/>
  <c r="BT314" i="3"/>
  <c r="BS314" i="3"/>
  <c r="BR314" i="3"/>
  <c r="BQ314" i="3"/>
  <c r="BP314" i="3"/>
  <c r="BO314" i="3"/>
  <c r="BN314" i="3"/>
  <c r="BM314" i="3"/>
  <c r="BL314" i="3"/>
  <c r="BK314" i="3"/>
  <c r="BJ314" i="3"/>
  <c r="BI314" i="3"/>
  <c r="BH314" i="3"/>
  <c r="BG314" i="3"/>
  <c r="BF314" i="3"/>
  <c r="BE314" i="3"/>
  <c r="BD314" i="3"/>
  <c r="BC314" i="3"/>
  <c r="BB314" i="3"/>
  <c r="AX314" i="3"/>
  <c r="AW314" i="3"/>
  <c r="AV314" i="3"/>
  <c r="BT313" i="3"/>
  <c r="BS313" i="3"/>
  <c r="BR313" i="3"/>
  <c r="BQ313" i="3"/>
  <c r="BP313" i="3"/>
  <c r="BO313" i="3"/>
  <c r="BN313" i="3"/>
  <c r="BM313" i="3"/>
  <c r="BK313" i="3"/>
  <c r="BJ313" i="3"/>
  <c r="BI313" i="3"/>
  <c r="BH313" i="3"/>
  <c r="BG313" i="3"/>
  <c r="BF313" i="3"/>
  <c r="BE313" i="3"/>
  <c r="BD313" i="3"/>
  <c r="BC313" i="3"/>
  <c r="BB313" i="3"/>
  <c r="AX313" i="3"/>
  <c r="AW313" i="3"/>
  <c r="AV313" i="3"/>
  <c r="BT312" i="3"/>
  <c r="BS312" i="3"/>
  <c r="BR312" i="3"/>
  <c r="BQ312" i="3"/>
  <c r="BP312" i="3"/>
  <c r="BO312" i="3"/>
  <c r="BN312" i="3"/>
  <c r="BM312" i="3"/>
  <c r="BL312" i="3"/>
  <c r="BK312" i="3"/>
  <c r="BJ312" i="3"/>
  <c r="BI312" i="3"/>
  <c r="BH312" i="3"/>
  <c r="BG312" i="3"/>
  <c r="BF312" i="3"/>
  <c r="BE312" i="3"/>
  <c r="BD312" i="3"/>
  <c r="BC312" i="3"/>
  <c r="BB312" i="3"/>
  <c r="AX312" i="3"/>
  <c r="AW312" i="3"/>
  <c r="AV312" i="3"/>
  <c r="BT311" i="3"/>
  <c r="BS311" i="3"/>
  <c r="BR311" i="3"/>
  <c r="BQ311" i="3"/>
  <c r="BP311" i="3"/>
  <c r="BO311" i="3"/>
  <c r="BN311" i="3"/>
  <c r="BM311" i="3"/>
  <c r="BK311" i="3"/>
  <c r="BJ311" i="3"/>
  <c r="BI311" i="3"/>
  <c r="BH311" i="3"/>
  <c r="BG311" i="3"/>
  <c r="BF311" i="3"/>
  <c r="BE311" i="3"/>
  <c r="BD311" i="3"/>
  <c r="BC311" i="3"/>
  <c r="BB311" i="3"/>
  <c r="AX311" i="3"/>
  <c r="AW311" i="3"/>
  <c r="AV311" i="3"/>
  <c r="BT310" i="3"/>
  <c r="BS310" i="3"/>
  <c r="BR310" i="3"/>
  <c r="BQ310" i="3"/>
  <c r="BP310" i="3"/>
  <c r="BO310" i="3"/>
  <c r="BN310" i="3"/>
  <c r="BM310" i="3"/>
  <c r="BK310" i="3"/>
  <c r="BJ310" i="3"/>
  <c r="BI310" i="3"/>
  <c r="BH310" i="3"/>
  <c r="BG310" i="3"/>
  <c r="BF310" i="3"/>
  <c r="BE310" i="3"/>
  <c r="BD310" i="3"/>
  <c r="BC310" i="3"/>
  <c r="BB310" i="3"/>
  <c r="AX310" i="3"/>
  <c r="AW310" i="3"/>
  <c r="AV310" i="3"/>
  <c r="BT309" i="3"/>
  <c r="BS309" i="3"/>
  <c r="BR309" i="3"/>
  <c r="BQ309" i="3"/>
  <c r="BP309" i="3"/>
  <c r="BO309" i="3"/>
  <c r="BN309" i="3"/>
  <c r="BM309" i="3"/>
  <c r="BK309" i="3"/>
  <c r="BJ309" i="3"/>
  <c r="BI309" i="3"/>
  <c r="BH309" i="3"/>
  <c r="BG309" i="3"/>
  <c r="BF309" i="3"/>
  <c r="BE309" i="3"/>
  <c r="BD309" i="3"/>
  <c r="BC309" i="3"/>
  <c r="BB309" i="3"/>
  <c r="AX309" i="3"/>
  <c r="AW309" i="3"/>
  <c r="AV309" i="3"/>
  <c r="BT308" i="3"/>
  <c r="BS308" i="3"/>
  <c r="BR308" i="3"/>
  <c r="BQ308" i="3"/>
  <c r="BP308" i="3"/>
  <c r="BO308" i="3"/>
  <c r="BN308" i="3"/>
  <c r="BM308" i="3"/>
  <c r="BL308" i="3"/>
  <c r="BK308" i="3"/>
  <c r="BJ308" i="3"/>
  <c r="BI308" i="3"/>
  <c r="BH308" i="3"/>
  <c r="BG308" i="3"/>
  <c r="BF308" i="3"/>
  <c r="BE308" i="3"/>
  <c r="BD308" i="3"/>
  <c r="BC308" i="3"/>
  <c r="BB308" i="3"/>
  <c r="AX308" i="3"/>
  <c r="AW308" i="3"/>
  <c r="AV308" i="3"/>
  <c r="BT307" i="3"/>
  <c r="BS307" i="3"/>
  <c r="BR307" i="3"/>
  <c r="BQ307" i="3"/>
  <c r="BP307" i="3"/>
  <c r="BO307" i="3"/>
  <c r="BN307" i="3"/>
  <c r="BM307" i="3"/>
  <c r="BK307" i="3"/>
  <c r="BJ307" i="3"/>
  <c r="BI307" i="3"/>
  <c r="BH307" i="3"/>
  <c r="BG307" i="3"/>
  <c r="BF307" i="3"/>
  <c r="BE307" i="3"/>
  <c r="BD307" i="3"/>
  <c r="BC307" i="3"/>
  <c r="BB307" i="3"/>
  <c r="BA307" i="3"/>
  <c r="AX307" i="3"/>
  <c r="AW307" i="3"/>
  <c r="AV307" i="3"/>
  <c r="BT306" i="3"/>
  <c r="BS306" i="3"/>
  <c r="BR306" i="3"/>
  <c r="BQ306" i="3"/>
  <c r="BP306" i="3"/>
  <c r="BO306" i="3"/>
  <c r="BN306" i="3"/>
  <c r="BM306" i="3"/>
  <c r="BK306" i="3"/>
  <c r="BJ306" i="3"/>
  <c r="BI306" i="3"/>
  <c r="BH306" i="3"/>
  <c r="BG306" i="3"/>
  <c r="BF306" i="3"/>
  <c r="BE306" i="3"/>
  <c r="BD306" i="3"/>
  <c r="BC306" i="3"/>
  <c r="BB306" i="3"/>
  <c r="AX306" i="3"/>
  <c r="AW306" i="3"/>
  <c r="AV306" i="3"/>
  <c r="BT305" i="3"/>
  <c r="BS305" i="3"/>
  <c r="BR305" i="3"/>
  <c r="BQ305" i="3"/>
  <c r="BP305" i="3"/>
  <c r="BO305" i="3"/>
  <c r="BN305" i="3"/>
  <c r="BM305" i="3"/>
  <c r="BK305" i="3"/>
  <c r="BJ305" i="3"/>
  <c r="BI305" i="3"/>
  <c r="BH305" i="3"/>
  <c r="BG305" i="3"/>
  <c r="BF305" i="3"/>
  <c r="BE305" i="3"/>
  <c r="BD305" i="3"/>
  <c r="BC305" i="3"/>
  <c r="BB305" i="3"/>
  <c r="AX305" i="3"/>
  <c r="AW305" i="3"/>
  <c r="AV305" i="3"/>
  <c r="BT304" i="3"/>
  <c r="BS304" i="3"/>
  <c r="BR304" i="3"/>
  <c r="BQ304" i="3"/>
  <c r="BP304" i="3"/>
  <c r="BO304" i="3"/>
  <c r="BN304" i="3"/>
  <c r="BM304" i="3"/>
  <c r="BK304" i="3"/>
  <c r="BJ304" i="3"/>
  <c r="BI304" i="3"/>
  <c r="BH304" i="3"/>
  <c r="BG304" i="3"/>
  <c r="BF304" i="3"/>
  <c r="BE304" i="3"/>
  <c r="BD304" i="3"/>
  <c r="BC304" i="3"/>
  <c r="BB304" i="3"/>
  <c r="AX304" i="3"/>
  <c r="AW304" i="3"/>
  <c r="AV304" i="3"/>
  <c r="BT303" i="3"/>
  <c r="BS303" i="3"/>
  <c r="BR303" i="3"/>
  <c r="BQ303" i="3"/>
  <c r="BP303" i="3"/>
  <c r="BO303" i="3"/>
  <c r="BN303" i="3"/>
  <c r="BM303" i="3"/>
  <c r="BK303" i="3"/>
  <c r="BJ303" i="3"/>
  <c r="BI303" i="3"/>
  <c r="BH303" i="3"/>
  <c r="BG303" i="3"/>
  <c r="BF303" i="3"/>
  <c r="BE303" i="3"/>
  <c r="BD303" i="3"/>
  <c r="BC303" i="3"/>
  <c r="BB303" i="3"/>
  <c r="BA303" i="3"/>
  <c r="AX303" i="3"/>
  <c r="AW303" i="3"/>
  <c r="AV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B61" i="72"/>
  <c r="A5" i="62"/>
  <c r="B72" i="72"/>
  <c r="A4" i="62"/>
  <c r="B70" i="72"/>
  <c r="F33" i="9"/>
  <c r="B37" i="48"/>
  <c r="B2" i="72"/>
  <c r="B13" i="53"/>
  <c r="B29" i="72"/>
  <c r="R35" i="4"/>
  <c r="Q35" i="4"/>
  <c r="P35" i="4"/>
  <c r="O35" i="4"/>
  <c r="N35" i="4"/>
  <c r="M35" i="4"/>
  <c r="L35" i="4"/>
  <c r="K34" i="4"/>
  <c r="T34" i="4"/>
  <c r="G13" i="1"/>
  <c r="G11" i="1"/>
  <c r="I15" i="4"/>
  <c r="H15" i="4"/>
  <c r="G41" i="43"/>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B493" i="3"/>
  <c r="BC493" i="3"/>
  <c r="BD493" i="3"/>
  <c r="BE493" i="3"/>
  <c r="BF493" i="3"/>
  <c r="BG493" i="3"/>
  <c r="BH493" i="3"/>
  <c r="BI493" i="3"/>
  <c r="BJ493" i="3"/>
  <c r="BK493" i="3"/>
  <c r="BM493" i="3"/>
  <c r="BN493" i="3"/>
  <c r="BO493" i="3"/>
  <c r="BP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R547" i="3"/>
  <c r="BS547" i="3"/>
  <c r="BT547" i="3"/>
  <c r="BB548" i="3"/>
  <c r="BC548" i="3"/>
  <c r="BD548" i="3"/>
  <c r="BE548" i="3"/>
  <c r="BF548" i="3"/>
  <c r="BG548" i="3"/>
  <c r="BH548" i="3"/>
  <c r="BI548" i="3"/>
  <c r="BJ548" i="3"/>
  <c r="BK548" i="3"/>
  <c r="BM548" i="3"/>
  <c r="BN548" i="3"/>
  <c r="BO548" i="3"/>
  <c r="BP548" i="3"/>
  <c r="BQ548" i="3"/>
  <c r="BR548" i="3"/>
  <c r="BS548" i="3"/>
  <c r="BT548" i="3"/>
  <c r="BL548" i="3"/>
  <c r="BA548" i="3"/>
  <c r="AZ548" i="3"/>
  <c r="BB549" i="3"/>
  <c r="BC549" i="3"/>
  <c r="BD549" i="3"/>
  <c r="BE549" i="3"/>
  <c r="BF549" i="3"/>
  <c r="BG549" i="3"/>
  <c r="BH549" i="3"/>
  <c r="BI549" i="3"/>
  <c r="BJ549" i="3"/>
  <c r="BK549" i="3"/>
  <c r="BM549" i="3"/>
  <c r="BN549" i="3"/>
  <c r="BO549" i="3"/>
  <c r="BP549" i="3"/>
  <c r="BR549" i="3"/>
  <c r="BS549" i="3"/>
  <c r="BT549" i="3"/>
  <c r="BB550" i="3"/>
  <c r="BC550" i="3"/>
  <c r="BD550" i="3"/>
  <c r="BE550" i="3"/>
  <c r="BF550" i="3"/>
  <c r="BG550" i="3"/>
  <c r="BH550" i="3"/>
  <c r="BI550" i="3"/>
  <c r="BJ550" i="3"/>
  <c r="BK550" i="3"/>
  <c r="BA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R583" i="3"/>
  <c r="BS583" i="3"/>
  <c r="BT583"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BA557" i="3"/>
  <c r="BQ557" i="3"/>
  <c r="BL557" i="3"/>
  <c r="AZ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BL520" i="3"/>
  <c r="AZ520" i="3"/>
  <c r="BQ519" i="3"/>
  <c r="BL519" i="3"/>
  <c r="AZ519" i="3"/>
  <c r="BQ517" i="3"/>
  <c r="BL517" i="3"/>
  <c r="AZ517" i="3"/>
  <c r="BQ515" i="3"/>
  <c r="BL515" i="3"/>
  <c r="AZ515" i="3"/>
  <c r="BQ513" i="3"/>
  <c r="BL513" i="3"/>
  <c r="AZ513" i="3"/>
  <c r="BQ511" i="3"/>
  <c r="BL511" i="3"/>
  <c r="AZ511" i="3"/>
  <c r="BA509" i="3"/>
  <c r="BQ509" i="3"/>
  <c r="BL509" i="3"/>
  <c r="BL508" i="3"/>
  <c r="AZ508"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BL304" i="3"/>
  <c r="BL306" i="3"/>
  <c r="BA308" i="3"/>
  <c r="AZ308" i="3"/>
  <c r="BA309" i="3"/>
  <c r="BL309" i="3"/>
  <c r="BA311" i="3"/>
  <c r="BL320" i="3"/>
  <c r="BL322" i="3"/>
  <c r="BA324" i="3"/>
  <c r="AZ324" i="3"/>
  <c r="BA325" i="3"/>
  <c r="BL325" i="3"/>
  <c r="BA327" i="3"/>
  <c r="BL336" i="3"/>
  <c r="BL338" i="3"/>
  <c r="BA340" i="3"/>
  <c r="AZ340" i="3"/>
  <c r="BA341" i="3"/>
  <c r="BL341" i="3"/>
  <c r="BA343" i="3"/>
  <c r="BA345" i="3"/>
  <c r="BL355" i="3"/>
  <c r="BL357" i="3"/>
  <c r="BA359" i="3"/>
  <c r="AZ359" i="3"/>
  <c r="BA360" i="3"/>
  <c r="BL360" i="3"/>
  <c r="BA362" i="3"/>
  <c r="BL362" i="3"/>
  <c r="AZ362" i="3"/>
  <c r="BL371" i="3"/>
  <c r="BL373" i="3"/>
  <c r="BA375" i="3"/>
  <c r="AZ375" i="3"/>
  <c r="BA376" i="3"/>
  <c r="BL376" i="3"/>
  <c r="BA378" i="3"/>
  <c r="BL378" i="3"/>
  <c r="AZ378" i="3"/>
  <c r="BA380" i="3"/>
  <c r="BL389" i="3"/>
  <c r="BL391" i="3"/>
  <c r="BA393" i="3"/>
  <c r="AZ393" i="3"/>
  <c r="BA394" i="3"/>
  <c r="BL394" i="3"/>
  <c r="BA115" i="3"/>
  <c r="AZ115" i="3"/>
  <c r="BL116" i="3"/>
  <c r="AZ116" i="3"/>
  <c r="BA119" i="3"/>
  <c r="AZ119" i="3"/>
  <c r="BL120" i="3"/>
  <c r="BA123" i="3"/>
  <c r="AZ123" i="3"/>
  <c r="BL124" i="3"/>
  <c r="AZ124" i="3"/>
  <c r="BA127" i="3"/>
  <c r="AZ127" i="3"/>
  <c r="BL128" i="3"/>
  <c r="BA131" i="3"/>
  <c r="AZ131" i="3"/>
  <c r="BL132" i="3"/>
  <c r="AZ132" i="3"/>
  <c r="BA135" i="3"/>
  <c r="AZ135" i="3"/>
  <c r="BL136" i="3"/>
  <c r="BA139" i="3"/>
  <c r="AZ139" i="3"/>
  <c r="BL140" i="3"/>
  <c r="AZ140" i="3"/>
  <c r="BA143" i="3"/>
  <c r="AZ143" i="3"/>
  <c r="BL144" i="3"/>
  <c r="BA147" i="3"/>
  <c r="AZ147" i="3"/>
  <c r="BL148" i="3"/>
  <c r="AZ148" i="3"/>
  <c r="BA151" i="3"/>
  <c r="AZ151" i="3"/>
  <c r="BL152" i="3"/>
  <c r="BA155" i="3"/>
  <c r="AZ155" i="3"/>
  <c r="BL156" i="3"/>
  <c r="AZ156" i="3"/>
  <c r="BA159" i="3"/>
  <c r="AZ159" i="3"/>
  <c r="BL160" i="3"/>
  <c r="BA163" i="3"/>
  <c r="AZ163" i="3"/>
  <c r="BL164" i="3"/>
  <c r="AZ164" i="3"/>
  <c r="BA167" i="3"/>
  <c r="AZ167" i="3"/>
  <c r="BL168" i="3"/>
  <c r="BA171" i="3"/>
  <c r="AZ171" i="3"/>
  <c r="BL172" i="3"/>
  <c r="AZ172" i="3"/>
  <c r="BA175" i="3"/>
  <c r="AZ175" i="3"/>
  <c r="BL176" i="3"/>
  <c r="BA179" i="3"/>
  <c r="AZ179" i="3"/>
  <c r="BL180" i="3"/>
  <c r="AZ180" i="3"/>
  <c r="BA183" i="3"/>
  <c r="AZ183" i="3"/>
  <c r="BL184" i="3"/>
  <c r="BA187" i="3"/>
  <c r="AZ187" i="3"/>
  <c r="BL188" i="3"/>
  <c r="AZ188" i="3"/>
  <c r="BA191" i="3"/>
  <c r="AZ191" i="3"/>
  <c r="BL192" i="3"/>
  <c r="BA195" i="3"/>
  <c r="AZ195" i="3"/>
  <c r="BL196" i="3"/>
  <c r="AZ196" i="3"/>
  <c r="BA199" i="3"/>
  <c r="AZ199" i="3"/>
  <c r="BL200"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BA304" i="3"/>
  <c r="AZ304" i="3"/>
  <c r="BA305" i="3"/>
  <c r="BL305" i="3"/>
  <c r="AZ305" i="3"/>
  <c r="BL310" i="3"/>
  <c r="BA312" i="3"/>
  <c r="AZ312" i="3"/>
  <c r="BA313" i="3"/>
  <c r="BL313" i="3"/>
  <c r="AZ313" i="3"/>
  <c r="BL318" i="3"/>
  <c r="BA320" i="3"/>
  <c r="AZ320" i="3"/>
  <c r="BA321" i="3"/>
  <c r="BL321" i="3"/>
  <c r="AZ321" i="3"/>
  <c r="BL326" i="3"/>
  <c r="BA328" i="3"/>
  <c r="AZ328" i="3"/>
  <c r="BA329" i="3"/>
  <c r="BL329" i="3"/>
  <c r="AZ329" i="3"/>
  <c r="BL334" i="3"/>
  <c r="BA336" i="3"/>
  <c r="AZ336" i="3"/>
  <c r="BA337" i="3"/>
  <c r="BL337" i="3"/>
  <c r="AZ337" i="3"/>
  <c r="BA342" i="3"/>
  <c r="BL342" i="3"/>
  <c r="AZ342" i="3"/>
  <c r="BA344" i="3"/>
  <c r="BL344" i="3"/>
  <c r="AZ344" i="3"/>
  <c r="BA346" i="3"/>
  <c r="AZ346" i="3"/>
  <c r="BA347" i="3"/>
  <c r="BL347" i="3"/>
  <c r="AZ347" i="3"/>
  <c r="BA351" i="3"/>
  <c r="BL351" i="3"/>
  <c r="AZ351" i="3"/>
  <c r="BA355" i="3"/>
  <c r="AZ355" i="3"/>
  <c r="BA356" i="3"/>
  <c r="BL356" i="3"/>
  <c r="BL361" i="3"/>
  <c r="BA363" i="3"/>
  <c r="AZ363" i="3"/>
  <c r="BA364" i="3"/>
  <c r="BL364" i="3"/>
  <c r="BL369" i="3"/>
  <c r="BA371" i="3"/>
  <c r="AZ371" i="3"/>
  <c r="BA372" i="3"/>
  <c r="BL372" i="3"/>
  <c r="AZ372" i="3"/>
  <c r="BL377" i="3"/>
  <c r="BL379" i="3"/>
  <c r="BA381" i="3"/>
  <c r="AZ381" i="3"/>
  <c r="BA382" i="3"/>
  <c r="BL382" i="3"/>
  <c r="BL387" i="3"/>
  <c r="BA389" i="3"/>
  <c r="AZ389" i="3"/>
  <c r="BA390" i="3"/>
  <c r="BL390" i="3"/>
  <c r="AZ138" i="3"/>
  <c r="AZ142" i="3"/>
  <c r="AZ146" i="3"/>
  <c r="AZ150" i="3"/>
  <c r="AZ154" i="3"/>
  <c r="AZ158" i="3"/>
  <c r="AZ162" i="3"/>
  <c r="AZ166" i="3"/>
  <c r="AZ170" i="3"/>
  <c r="AZ174" i="3"/>
  <c r="AZ178" i="3"/>
  <c r="AZ182" i="3"/>
  <c r="AZ186" i="3"/>
  <c r="AZ190" i="3"/>
  <c r="AZ194" i="3"/>
  <c r="AZ198" i="3"/>
  <c r="AZ202" i="3"/>
  <c r="AZ206" i="3"/>
  <c r="AZ500" i="3"/>
  <c r="BA16" i="3"/>
  <c r="AZ16" i="3"/>
  <c r="BL303" i="3"/>
  <c r="BA306" i="3"/>
  <c r="AZ306" i="3"/>
  <c r="BL307" i="3"/>
  <c r="AZ307" i="3"/>
  <c r="BA310" i="3"/>
  <c r="AZ310" i="3"/>
  <c r="BL311" i="3"/>
  <c r="AZ311" i="3"/>
  <c r="BA314" i="3"/>
  <c r="AZ314" i="3"/>
  <c r="BL315" i="3"/>
  <c r="AZ315" i="3"/>
  <c r="BA318" i="3"/>
  <c r="AZ318" i="3"/>
  <c r="BL319" i="3"/>
  <c r="BA322" i="3"/>
  <c r="AZ322" i="3"/>
  <c r="BL323" i="3"/>
  <c r="AZ323" i="3"/>
  <c r="BA326" i="3"/>
  <c r="AZ326" i="3"/>
  <c r="BL327" i="3"/>
  <c r="AZ327" i="3"/>
  <c r="BA330" i="3"/>
  <c r="AZ330" i="3"/>
  <c r="BL331" i="3"/>
  <c r="AZ331" i="3"/>
  <c r="BA334" i="3"/>
  <c r="AZ334" i="3"/>
  <c r="BL335" i="3"/>
  <c r="BA338" i="3"/>
  <c r="AZ338" i="3"/>
  <c r="BL339" i="3"/>
  <c r="AZ339" i="3"/>
  <c r="BL343" i="3"/>
  <c r="AZ209" i="3"/>
  <c r="AZ214" i="3"/>
  <c r="AZ218" i="3"/>
  <c r="AZ222" i="3"/>
  <c r="AZ303" i="3"/>
  <c r="AZ319" i="3"/>
  <c r="AZ335" i="3"/>
  <c r="BL345" i="3"/>
  <c r="AZ345" i="3"/>
  <c r="AZ348" i="3"/>
  <c r="BL349" i="3"/>
  <c r="AZ349" i="3"/>
  <c r="BL352" i="3"/>
  <c r="BA357" i="3"/>
  <c r="AZ357" i="3"/>
  <c r="BL358" i="3"/>
  <c r="AZ358" i="3"/>
  <c r="BA361" i="3"/>
  <c r="AZ361" i="3"/>
  <c r="BA365" i="3"/>
  <c r="AZ365" i="3"/>
  <c r="BL366" i="3"/>
  <c r="AZ366" i="3"/>
  <c r="BA369" i="3"/>
  <c r="AZ369" i="3"/>
  <c r="BL370" i="3"/>
  <c r="BA373" i="3"/>
  <c r="AZ373" i="3"/>
  <c r="BL374" i="3"/>
  <c r="AZ374" i="3"/>
  <c r="BA377" i="3"/>
  <c r="AZ377" i="3"/>
  <c r="AZ229" i="3"/>
  <c r="AZ233" i="3"/>
  <c r="AZ237" i="3"/>
  <c r="AZ241" i="3"/>
  <c r="AZ245" i="3"/>
  <c r="AZ249" i="3"/>
  <c r="AZ253" i="3"/>
  <c r="AZ257" i="3"/>
  <c r="AZ261" i="3"/>
  <c r="AZ265" i="3"/>
  <c r="AZ269" i="3"/>
  <c r="AZ273" i="3"/>
  <c r="AZ370" i="3"/>
  <c r="BA379" i="3"/>
  <c r="AZ379" i="3"/>
  <c r="BL380" i="3"/>
  <c r="BA383" i="3"/>
  <c r="AZ383" i="3"/>
  <c r="BL384" i="3"/>
  <c r="BA387" i="3"/>
  <c r="AZ387" i="3"/>
  <c r="BL388" i="3"/>
  <c r="BA391" i="3"/>
  <c r="AZ391" i="3"/>
  <c r="BL392"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BS5" i="3"/>
  <c r="BP5" i="3"/>
  <c r="BN5" i="3"/>
  <c r="AZ343" i="3"/>
  <c r="BK5" i="3"/>
  <c r="BI5" i="3"/>
  <c r="BG5" i="3"/>
  <c r="BE5" i="3"/>
  <c r="BC5" i="3"/>
  <c r="BA17" i="3"/>
  <c r="BT5" i="3"/>
  <c r="AZ350" i="3"/>
  <c r="AZ352" i="3"/>
  <c r="AZ356" i="3"/>
  <c r="AZ360" i="3"/>
  <c r="AZ364" i="3"/>
  <c r="AZ368" i="3"/>
  <c r="BA15" i="3"/>
  <c r="BB5" i="3"/>
  <c r="E8" i="6"/>
  <c r="BR5" i="3"/>
  <c r="G28" i="6"/>
  <c r="AZ380" i="3"/>
  <c r="AZ384" i="3"/>
  <c r="AZ388" i="3"/>
  <c r="AZ392" i="3"/>
  <c r="AZ396" i="3"/>
  <c r="AZ394" i="3"/>
  <c r="AZ499" i="3"/>
  <c r="AZ509" i="3"/>
  <c r="BL493" i="3"/>
  <c r="AZ491" i="3"/>
  <c r="AZ376" i="3"/>
  <c r="AZ390" i="3"/>
  <c r="AZ382" i="3"/>
  <c r="AZ493" i="3"/>
  <c r="U36" i="40"/>
  <c r="F36" i="43"/>
  <c r="F81" i="43"/>
  <c r="H83" i="43"/>
  <c r="H113" i="43"/>
  <c r="F48" i="43"/>
  <c r="H52" i="43"/>
  <c r="M11" i="43"/>
  <c r="D17" i="43"/>
  <c r="F39" i="43"/>
  <c r="I17" i="43"/>
  <c r="F35" i="43"/>
  <c r="J17" i="43"/>
  <c r="F6" i="1"/>
  <c r="G6" i="1"/>
  <c r="U17" i="39"/>
  <c r="S14" i="35"/>
  <c r="U43" i="21"/>
  <c r="U35" i="21"/>
  <c r="AC35" i="21"/>
  <c r="U10" i="21"/>
  <c r="G8" i="1"/>
  <c r="G9" i="1"/>
  <c r="G10" i="1"/>
  <c r="B41"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388" i="3"/>
  <c r="BA13" i="3"/>
  <c r="E10" i="6"/>
  <c r="E11" i="6"/>
  <c r="BL17" i="3"/>
  <c r="AZ17" i="3"/>
  <c r="BL13" i="3"/>
  <c r="E65" i="39"/>
  <c r="G30" i="6"/>
  <c r="G31" i="6"/>
  <c r="J56" i="9"/>
  <c r="J57" i="9"/>
  <c r="J59" i="9"/>
  <c r="J61" i="9"/>
  <c r="A24" i="51"/>
  <c r="B18" i="72"/>
  <c r="U29" i="34"/>
  <c r="E14" i="6"/>
  <c r="E64" i="39"/>
  <c r="E5" i="6"/>
  <c r="D9" i="11"/>
  <c r="C9" i="11"/>
  <c r="H22" i="43"/>
  <c r="D101" i="43"/>
  <c r="D109" i="43"/>
  <c r="M101" i="43"/>
  <c r="M109" i="43"/>
  <c r="I101" i="43"/>
  <c r="I109" i="43"/>
  <c r="E101" i="43"/>
  <c r="E32" i="6"/>
  <c r="L19" i="6"/>
  <c r="L20" i="6"/>
  <c r="L27"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F100" i="43"/>
  <c r="H17" i="43"/>
  <c r="D9" i="53"/>
  <c r="B25" i="72"/>
  <c r="B24" i="72"/>
  <c r="H85" i="43"/>
  <c r="H81" i="43"/>
  <c r="H84" i="43"/>
  <c r="H88" i="43"/>
  <c r="H53" i="43"/>
  <c r="C17" i="43"/>
  <c r="F33" i="43"/>
  <c r="K17" i="43"/>
  <c r="F34" i="43"/>
  <c r="N6" i="43"/>
  <c r="F70" i="43"/>
  <c r="N3" i="43"/>
  <c r="F38" i="43"/>
  <c r="F37" i="43"/>
  <c r="M9" i="43"/>
  <c r="N5" i="43"/>
  <c r="M12" i="43"/>
  <c r="B19" i="53"/>
  <c r="B37" i="72"/>
  <c r="C7" i="39"/>
  <c r="C68" i="39"/>
  <c r="C7" i="35"/>
  <c r="C48" i="35"/>
  <c r="C7" i="33"/>
  <c r="C58" i="33"/>
  <c r="C7" i="21"/>
  <c r="C58" i="21"/>
  <c r="D58" i="21"/>
  <c r="E58" i="21"/>
  <c r="C7" i="40"/>
  <c r="C63" i="40"/>
  <c r="C65" i="40"/>
  <c r="M47" i="9"/>
  <c r="G19" i="43"/>
  <c r="O19" i="43"/>
  <c r="C46" i="36"/>
  <c r="C59" i="34"/>
  <c r="D59" i="34"/>
  <c r="E59" i="34"/>
  <c r="C52" i="37"/>
  <c r="A4" i="51"/>
  <c r="B6" i="72"/>
  <c r="H66" i="43"/>
  <c r="H65" i="43"/>
  <c r="H64" i="43"/>
  <c r="H63" i="43"/>
  <c r="H55" i="43"/>
  <c r="H56" i="43"/>
  <c r="B6" i="1"/>
  <c r="E6" i="1"/>
  <c r="S8"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P6" i="1"/>
  <c r="F30" i="11"/>
  <c r="C48" i="11"/>
  <c r="E63" i="39"/>
  <c r="T11" i="1"/>
  <c r="D9" i="69"/>
  <c r="C9" i="69"/>
  <c r="D19" i="12"/>
  <c r="C19" i="12"/>
  <c r="AQ9" i="1"/>
  <c r="AR11" i="1"/>
  <c r="E59" i="40"/>
  <c r="E30" i="6"/>
  <c r="K15" i="1"/>
  <c r="T9" i="1"/>
  <c r="T13" i="1"/>
  <c r="BA18" i="3"/>
  <c r="BA5" i="3"/>
  <c r="E27" i="6"/>
  <c r="K20" i="6"/>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S4" i="43"/>
  <c r="S3" i="43"/>
  <c r="S7" i="43"/>
  <c r="J22" i="43"/>
  <c r="E239" i="3"/>
  <c r="E509" i="3"/>
  <c r="E516" i="3"/>
  <c r="E579" i="3"/>
  <c r="E569" i="3"/>
  <c r="E431" i="3"/>
  <c r="E396" i="3"/>
  <c r="E247" i="3"/>
  <c r="E229" i="3"/>
  <c r="E201" i="3"/>
  <c r="E151" i="3"/>
  <c r="K14" i="1"/>
  <c r="M14" i="1"/>
  <c r="O14" i="1"/>
  <c r="P14" i="1"/>
  <c r="E397"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E109" i="4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AP7" i="1"/>
  <c r="M7" i="1"/>
  <c r="O7" i="1"/>
  <c r="P7" i="1"/>
  <c r="Q16" i="1"/>
  <c r="F27" i="69"/>
  <c r="C47" i="69"/>
  <c r="D45" i="69"/>
  <c r="H16" i="1"/>
  <c r="K16" i="1"/>
  <c r="AB45" i="21"/>
  <c r="AC33" i="21"/>
  <c r="W33" i="21"/>
  <c r="S33" i="21"/>
  <c r="AA33" i="21"/>
  <c r="W32" i="21"/>
  <c r="AC32" i="21"/>
  <c r="AB9" i="21"/>
  <c r="U9" i="21"/>
  <c r="AA32" i="21"/>
  <c r="S32" i="21"/>
  <c r="W9" i="21"/>
  <c r="AC9" i="21"/>
  <c r="AB32" i="21"/>
  <c r="U32" i="21"/>
  <c r="AA10" i="21"/>
  <c r="S10" i="21"/>
  <c r="E6" i="70"/>
  <c r="E2"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C34" i="69"/>
  <c r="AE8" i="1"/>
  <c r="AE6" i="1"/>
  <c r="AG6" i="1"/>
  <c r="H109" i="9"/>
  <c r="H110" i="9"/>
  <c r="D18" i="53"/>
  <c r="B35" i="72"/>
  <c r="D124" i="9"/>
  <c r="H14" i="74"/>
  <c r="B7" i="74"/>
  <c r="D16" i="53"/>
  <c r="B34" i="72"/>
  <c r="D10" i="52"/>
  <c r="D17" i="53"/>
  <c r="B36" i="72"/>
  <c r="D125" i="9"/>
  <c r="D11" i="52"/>
  <c r="C7" i="68"/>
  <c r="C8" i="68"/>
  <c r="C5" i="68"/>
  <c r="C20" i="68"/>
  <c r="D5" i="73"/>
  <c r="G1" i="73"/>
  <c r="B40" i="1"/>
  <c r="F22" i="68"/>
  <c r="C23" i="68"/>
  <c r="C24" i="68"/>
  <c r="C25" i="68"/>
  <c r="C22" i="68"/>
  <c r="F27" i="68"/>
  <c r="C28" i="68"/>
  <c r="C27" i="68"/>
  <c r="C26" i="68"/>
  <c r="D22" i="68"/>
  <c r="C29" i="68"/>
  <c r="D27" i="68"/>
  <c r="C31"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D8" i="12"/>
  <c r="C4" i="12"/>
  <c r="C11" i="12"/>
  <c r="C12" i="12"/>
  <c r="C13" i="12"/>
  <c r="D14" i="12"/>
  <c r="F11" i="12"/>
  <c r="C14" i="12"/>
  <c r="C15" i="12"/>
  <c r="C16" i="12"/>
  <c r="D17" i="12"/>
  <c r="C17" i="12"/>
  <c r="D20" i="12"/>
  <c r="C20" i="12"/>
  <c r="C18" i="12"/>
  <c r="C21" i="12"/>
  <c r="C22" i="12"/>
  <c r="C23" i="12"/>
  <c r="F25" i="12"/>
  <c r="C27" i="12"/>
  <c r="C25" i="12"/>
  <c r="F28" i="12"/>
  <c r="C30" i="12"/>
  <c r="C28" i="12"/>
  <c r="C31" i="12"/>
  <c r="C26" i="12"/>
  <c r="D25" i="12"/>
  <c r="C29" i="12"/>
  <c r="D28" i="12"/>
  <c r="C32" i="12"/>
  <c r="B2" i="12"/>
  <c r="D19" i="9"/>
  <c r="G19" i="9"/>
  <c r="C32" i="9"/>
  <c r="H118" i="9"/>
  <c r="H101" i="9"/>
  <c r="H107" i="9"/>
  <c r="M49" i="9"/>
  <c r="D45" i="9"/>
  <c r="D53" i="9"/>
  <c r="D48" i="9"/>
  <c r="M52" i="9"/>
  <c r="D55" i="9"/>
  <c r="M53" i="9"/>
  <c r="C85" i="9"/>
  <c r="C92" i="9"/>
  <c r="C93" i="9"/>
  <c r="C86" i="9"/>
  <c r="C95" i="9"/>
  <c r="C96" i="9"/>
  <c r="C97" i="9"/>
  <c r="D58" i="9"/>
  <c r="D56" i="9"/>
  <c r="M54" i="9"/>
  <c r="N57" i="9"/>
  <c r="N59" i="9"/>
  <c r="N61" i="9"/>
  <c r="H112" i="9"/>
  <c r="D21" i="53"/>
  <c r="B39" i="72"/>
  <c r="H111" i="9"/>
  <c r="D126" i="9"/>
  <c r="I14" i="74"/>
  <c r="B8" i="74"/>
  <c r="D19" i="53"/>
  <c r="D59" i="9"/>
  <c r="M55" i="9"/>
  <c r="B38" i="72"/>
  <c r="D20" i="53"/>
  <c r="B40" i="72"/>
  <c r="AD3" i="71"/>
  <c r="D63" i="40"/>
  <c r="E63" i="40"/>
  <c r="E65" i="40"/>
  <c r="J1" i="73"/>
  <c r="H51" i="43"/>
  <c r="H67" i="43"/>
  <c r="H59" i="43"/>
  <c r="H60" i="43"/>
  <c r="H61" i="43"/>
  <c r="M4" i="43"/>
  <c r="M5" i="43"/>
  <c r="N12" i="43"/>
  <c r="N11" i="43"/>
  <c r="M10" i="43"/>
  <c r="M2" i="43"/>
  <c r="M7" i="43"/>
  <c r="H54" i="43"/>
  <c r="N9" i="43"/>
  <c r="M8" i="43"/>
  <c r="N10" i="43"/>
  <c r="H48" i="43"/>
  <c r="M6" i="43"/>
  <c r="C6" i="43"/>
  <c r="N7" i="43"/>
  <c r="N4" i="43"/>
  <c r="N2" i="43"/>
  <c r="H49" i="43"/>
  <c r="N17" i="43"/>
  <c r="L17" i="43"/>
  <c r="O17" i="43"/>
  <c r="M17" i="43"/>
  <c r="E17" i="43"/>
  <c r="D11" i="71"/>
  <c r="D12" i="71"/>
  <c r="D13" i="71"/>
  <c r="U13" i="71"/>
  <c r="S13" i="71"/>
  <c r="T13" i="71"/>
  <c r="AB11" i="71"/>
  <c r="X9" i="71"/>
  <c r="X8" i="71"/>
  <c r="AA9" i="71"/>
  <c r="AA8" i="71"/>
  <c r="X12" i="71"/>
  <c r="Z7" i="71"/>
  <c r="Y8" i="71"/>
  <c r="Z8" i="71"/>
  <c r="AB9" i="71"/>
  <c r="AB8" i="71"/>
  <c r="S9" i="71"/>
  <c r="Y9" i="71"/>
  <c r="Z9" i="71"/>
  <c r="AB3" i="71"/>
  <c r="X3" i="71"/>
  <c r="AF3" i="71"/>
  <c r="P24" i="43"/>
  <c r="B66" i="40"/>
  <c r="P22" i="43"/>
  <c r="E4" i="49"/>
  <c r="D65" i="40"/>
  <c r="V9" i="71"/>
  <c r="P23" i="43"/>
  <c r="B71" i="39"/>
  <c r="D10" i="71"/>
  <c r="F63" i="40"/>
  <c r="G63" i="40"/>
  <c r="H63" i="40"/>
  <c r="D7" i="71"/>
  <c r="T9" i="71"/>
  <c r="D8" i="71"/>
  <c r="D9" i="71"/>
  <c r="U9" i="71"/>
  <c r="G65" i="40"/>
  <c r="F31" i="67"/>
  <c r="F31" i="15"/>
  <c r="F20" i="31"/>
  <c r="E2" i="68"/>
  <c r="B7" i="76"/>
  <c r="D7" i="73"/>
  <c r="E13" i="76"/>
  <c r="D2" i="34"/>
  <c r="F36" i="67"/>
  <c r="F7" i="67"/>
  <c r="J15" i="67"/>
  <c r="C16" i="43"/>
  <c r="C5" i="43"/>
  <c r="D5" i="43"/>
  <c r="BL15" i="3"/>
  <c r="AZ15" i="3"/>
  <c r="AZ18" i="3"/>
  <c r="AZ5" i="3"/>
  <c r="E3" i="6"/>
  <c r="E6" i="6"/>
  <c r="K1" i="73"/>
  <c r="C19" i="68"/>
  <c r="M16" i="1"/>
  <c r="N16" i="1"/>
  <c r="O8" i="1"/>
  <c r="O9" i="1"/>
  <c r="O12" i="1"/>
  <c r="O16" i="1"/>
  <c r="F30" i="68"/>
  <c r="C48" i="68"/>
  <c r="F50" i="68"/>
  <c r="M29" i="67"/>
  <c r="F42" i="67"/>
  <c r="M8" i="15"/>
  <c r="F6" i="73"/>
  <c r="D6" i="73"/>
  <c r="M9" i="15"/>
  <c r="D2" i="33"/>
  <c r="AO12" i="1"/>
  <c r="M24" i="67"/>
  <c r="F3" i="73"/>
  <c r="F37" i="67"/>
  <c r="E8" i="76"/>
  <c r="E9" i="76"/>
  <c r="F9" i="67"/>
  <c r="D3" i="73"/>
  <c r="F35" i="67"/>
  <c r="L47" i="67"/>
  <c r="M23" i="67"/>
  <c r="M6" i="67"/>
  <c r="M24" i="15"/>
  <c r="L48" i="67"/>
  <c r="M29" i="15"/>
  <c r="AO6" i="1"/>
  <c r="B13" i="76"/>
  <c r="M28" i="15"/>
  <c r="AO9" i="1"/>
  <c r="B10" i="76"/>
  <c r="M26" i="15"/>
  <c r="J15" i="15"/>
  <c r="M6" i="15"/>
  <c r="M9" i="67"/>
  <c r="F6" i="67"/>
  <c r="F13" i="67"/>
  <c r="D2" i="37"/>
  <c r="AO10" i="1"/>
  <c r="F41" i="67"/>
  <c r="B8" i="76"/>
  <c r="F40" i="67"/>
  <c r="M22" i="67"/>
  <c r="E7" i="76"/>
  <c r="F26" i="67"/>
  <c r="F7" i="73"/>
  <c r="D2" i="36"/>
  <c r="AO8" i="1"/>
  <c r="E2" i="69"/>
  <c r="D2" i="21"/>
  <c r="M28" i="67"/>
  <c r="E10" i="76"/>
  <c r="F16" i="67"/>
  <c r="AO13" i="1"/>
  <c r="B12" i="76"/>
  <c r="C76" i="67"/>
  <c r="F38" i="67"/>
  <c r="M27" i="15"/>
  <c r="C76" i="15"/>
  <c r="D2" i="35"/>
  <c r="E12" i="76"/>
  <c r="B9" i="76"/>
  <c r="B11" i="76"/>
  <c r="M26" i="67"/>
  <c r="M21" i="67"/>
  <c r="M8" i="67"/>
  <c r="F43" i="67"/>
  <c r="M22" i="15"/>
  <c r="E11" i="76"/>
  <c r="F5" i="73"/>
  <c r="L47" i="15"/>
  <c r="M27" i="67"/>
  <c r="F8" i="67"/>
  <c r="AO11" i="1"/>
  <c r="M23" i="15"/>
  <c r="M20" i="43"/>
  <c r="P25" i="43"/>
  <c r="P21" i="43"/>
  <c r="B13" i="49"/>
  <c r="E4" i="4"/>
  <c r="B5" i="62"/>
  <c r="B73" i="72"/>
  <c r="H65" i="40"/>
  <c r="I63" i="40"/>
  <c r="C70" i="39"/>
  <c r="D68" i="39"/>
  <c r="D71" i="43"/>
  <c r="D74" i="43"/>
  <c r="D75" i="43"/>
  <c r="E70" i="43"/>
  <c r="B68" i="43"/>
  <c r="C24" i="43"/>
  <c r="B22" i="49"/>
  <c r="E6" i="49"/>
  <c r="E10" i="49"/>
  <c r="E7" i="49"/>
  <c r="E10" i="43"/>
  <c r="E8" i="43"/>
  <c r="E11" i="43"/>
  <c r="E9" i="43"/>
  <c r="G17" i="43"/>
  <c r="H73" i="43"/>
  <c r="H75" i="43"/>
  <c r="H71" i="43"/>
  <c r="H77" i="43"/>
  <c r="H70" i="43"/>
  <c r="H74" i="43"/>
  <c r="H76" i="43"/>
  <c r="H78" i="43"/>
  <c r="H72" i="43"/>
  <c r="B14" i="49"/>
  <c r="B8" i="49"/>
  <c r="B9" i="49"/>
  <c r="C4" i="4"/>
  <c r="K4" i="4"/>
  <c r="B46" i="48"/>
  <c r="B4" i="72"/>
  <c r="E14" i="49"/>
  <c r="P61" i="15"/>
  <c r="C36" i="69"/>
  <c r="F30" i="69"/>
  <c r="D68" i="9"/>
  <c r="M18" i="15"/>
  <c r="F52" i="9"/>
  <c r="C30" i="11"/>
  <c r="F32" i="15"/>
  <c r="F60" i="15"/>
  <c r="F32" i="67"/>
  <c r="F60" i="67"/>
  <c r="F28" i="67"/>
  <c r="C28" i="67"/>
  <c r="C24" i="12"/>
  <c r="C77" i="9"/>
  <c r="C74" i="9"/>
  <c r="F54" i="9"/>
  <c r="F28" i="15"/>
  <c r="C28" i="15"/>
  <c r="M18" i="67"/>
  <c r="F31" i="12"/>
  <c r="D23" i="67"/>
  <c r="E12" i="6"/>
  <c r="BL5" i="3"/>
  <c r="E353" i="3"/>
  <c r="E97" i="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F27" i="6"/>
  <c r="F31" i="6"/>
  <c r="E51" i="40"/>
  <c r="E56" i="39"/>
  <c r="F27" i="11"/>
  <c r="E61" i="39"/>
  <c r="E56" i="40"/>
  <c r="E16" i="6"/>
  <c r="F22" i="43"/>
  <c r="K101" i="43"/>
  <c r="F101" i="43"/>
  <c r="N101" i="43"/>
  <c r="E22" i="43"/>
  <c r="B113" i="43"/>
  <c r="G101" i="43"/>
  <c r="C101" i="43"/>
  <c r="J101" i="43"/>
  <c r="N104" i="46"/>
  <c r="L101" i="43"/>
  <c r="H101" i="43"/>
  <c r="G22" i="43"/>
  <c r="S2" i="43"/>
  <c r="S5" i="43"/>
  <c r="P11" i="1"/>
  <c r="P12" i="1"/>
  <c r="P9" i="1"/>
  <c r="H87" i="43"/>
  <c r="H86" i="43"/>
  <c r="H50" i="43"/>
  <c r="T35" i="4"/>
  <c r="A19" i="51"/>
  <c r="B14" i="72"/>
  <c r="G16" i="1"/>
  <c r="F10" i="40"/>
  <c r="D12" i="52"/>
  <c r="D127" i="9"/>
  <c r="D13" i="52"/>
  <c r="K56" i="9"/>
  <c r="F59" i="34"/>
  <c r="F65" i="40"/>
  <c r="F58" i="21"/>
  <c r="G58" i="21"/>
  <c r="H58" i="21"/>
  <c r="I58" i="21"/>
  <c r="J58" i="21"/>
  <c r="K58" i="21"/>
  <c r="L58" i="21"/>
  <c r="M58" i="21"/>
  <c r="N58" i="21"/>
  <c r="O58" i="21"/>
  <c r="D48" i="35"/>
  <c r="D52" i="37"/>
  <c r="D58" i="33"/>
  <c r="E58" i="33"/>
  <c r="F58" i="33"/>
  <c r="G58" i="33"/>
  <c r="H58" i="33"/>
  <c r="I58" i="33"/>
  <c r="J58" i="33"/>
  <c r="K58" i="33"/>
  <c r="L58" i="33"/>
  <c r="M58" i="33"/>
  <c r="N58" i="33"/>
  <c r="O58" i="33"/>
  <c r="F7" i="33"/>
  <c r="D46" i="36"/>
  <c r="E9" i="49"/>
  <c r="E13" i="49"/>
  <c r="B11" i="49"/>
  <c r="E21" i="49"/>
  <c r="E8" i="49"/>
  <c r="B10" i="49"/>
  <c r="E11" i="49"/>
  <c r="E22" i="49"/>
  <c r="B4" i="49"/>
  <c r="C29" i="69"/>
  <c r="D27" i="69"/>
  <c r="B6" i="49"/>
  <c r="F69" i="67"/>
  <c r="F71" i="67"/>
  <c r="F66" i="67"/>
  <c r="B10" i="70"/>
  <c r="F51" i="67"/>
  <c r="B11" i="70"/>
  <c r="F65" i="15"/>
  <c r="F65" i="67"/>
  <c r="B9" i="70"/>
  <c r="N59" i="15"/>
  <c r="M59" i="15"/>
  <c r="L59" i="15"/>
  <c r="L58" i="15"/>
  <c r="M59" i="67"/>
  <c r="L58" i="67"/>
  <c r="N59" i="67"/>
  <c r="L59" i="67"/>
  <c r="B8" i="70"/>
  <c r="F66" i="15"/>
  <c r="F50" i="15"/>
  <c r="M7" i="15"/>
  <c r="Q71" i="67"/>
  <c r="B13" i="70"/>
  <c r="M7" i="67"/>
  <c r="J6" i="67"/>
  <c r="F50" i="67"/>
  <c r="Q71" i="15"/>
  <c r="F64" i="15"/>
  <c r="C34" i="67"/>
  <c r="F63" i="67"/>
  <c r="C62" i="67"/>
  <c r="J20" i="67"/>
  <c r="F70" i="67"/>
  <c r="F68" i="67"/>
  <c r="F51" i="15"/>
  <c r="C6" i="67"/>
  <c r="B12" i="70"/>
  <c r="F64" i="67"/>
  <c r="F71" i="15"/>
  <c r="B6" i="70"/>
  <c r="B20" i="31"/>
  <c r="F68" i="15"/>
  <c r="C27" i="67"/>
  <c r="L56" i="15"/>
  <c r="J57" i="15"/>
  <c r="J55" i="15"/>
  <c r="J58" i="15"/>
  <c r="Q50" i="15"/>
  <c r="I54" i="15"/>
  <c r="J53" i="67"/>
  <c r="J57" i="67"/>
  <c r="J55" i="67"/>
  <c r="J58" i="67"/>
  <c r="Q50" i="67"/>
  <c r="L56" i="67"/>
  <c r="I54" i="67"/>
  <c r="C38" i="69"/>
  <c r="C35" i="69"/>
  <c r="F59" i="67"/>
  <c r="M17" i="15"/>
  <c r="F59" i="15"/>
  <c r="M17" i="67"/>
  <c r="C16" i="67"/>
  <c r="C14" i="67"/>
  <c r="T7" i="1"/>
  <c r="C17" i="67"/>
  <c r="J7" i="21"/>
  <c r="F7" i="21"/>
  <c r="E68" i="39"/>
  <c r="D70" i="39"/>
  <c r="J63" i="40"/>
  <c r="I65" i="40"/>
  <c r="B4" i="62"/>
  <c r="B71" i="72"/>
  <c r="F34" i="11"/>
  <c r="C36" i="11"/>
  <c r="C48" i="69"/>
  <c r="C30" i="69"/>
  <c r="C30" i="68"/>
  <c r="F50" i="11"/>
  <c r="F50" i="69"/>
  <c r="L16" i="1"/>
  <c r="E57" i="40"/>
  <c r="E62" i="39"/>
  <c r="E66" i="39"/>
  <c r="F10" i="39"/>
  <c r="S10" i="39"/>
  <c r="H6" i="3"/>
  <c r="AC6" i="3"/>
  <c r="E31" i="6"/>
  <c r="K21" i="6"/>
  <c r="M21" i="6"/>
  <c r="I21" i="6"/>
  <c r="S21" i="6"/>
  <c r="K19" i="6"/>
  <c r="S6" i="1"/>
  <c r="K25" i="6"/>
  <c r="M25" i="6"/>
  <c r="I25" i="6"/>
  <c r="S25" i="6"/>
  <c r="K24" i="6"/>
  <c r="M24" i="6"/>
  <c r="I24" i="6"/>
  <c r="S24" i="6"/>
  <c r="K26" i="6"/>
  <c r="M26" i="6"/>
  <c r="I26" i="6"/>
  <c r="S26" i="6"/>
  <c r="K22" i="6"/>
  <c r="M22" i="6"/>
  <c r="I22" i="6"/>
  <c r="S22" i="6"/>
  <c r="K23" i="6"/>
  <c r="M23" i="6"/>
  <c r="I23" i="6"/>
  <c r="S23" i="6"/>
  <c r="C47" i="11"/>
  <c r="D45" i="11"/>
  <c r="C29" i="11"/>
  <c r="D27" i="11"/>
  <c r="H107" i="43"/>
  <c r="H106" i="43"/>
  <c r="H105" i="43"/>
  <c r="H102" i="43"/>
  <c r="H103" i="43"/>
  <c r="H104" i="43"/>
  <c r="H109" i="43"/>
  <c r="P8" i="1"/>
  <c r="P16" i="1"/>
  <c r="L102" i="43"/>
  <c r="L105" i="43"/>
  <c r="L104" i="43"/>
  <c r="L109" i="43"/>
  <c r="L106" i="43"/>
  <c r="L107" i="43"/>
  <c r="L103" i="43"/>
  <c r="J104" i="43"/>
  <c r="J107" i="43"/>
  <c r="J102" i="43"/>
  <c r="J109" i="43"/>
  <c r="J105" i="43"/>
  <c r="J103" i="43"/>
  <c r="J106" i="43"/>
  <c r="G105" i="43"/>
  <c r="G107" i="43"/>
  <c r="G104" i="43"/>
  <c r="G106" i="43"/>
  <c r="G103" i="43"/>
  <c r="G102" i="43"/>
  <c r="G109" i="43"/>
  <c r="D22" i="43"/>
  <c r="C21" i="43"/>
  <c r="F104" i="43"/>
  <c r="F102" i="43"/>
  <c r="F105" i="43"/>
  <c r="F109" i="43"/>
  <c r="F106" i="43"/>
  <c r="F103" i="43"/>
  <c r="F107" i="43"/>
  <c r="C104" i="43"/>
  <c r="C107" i="43"/>
  <c r="C103" i="43"/>
  <c r="C106" i="43"/>
  <c r="C105" i="43"/>
  <c r="C102" i="43"/>
  <c r="C109"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8" i="43"/>
  <c r="E118" i="43"/>
  <c r="F118" i="43"/>
  <c r="D117" i="43"/>
  <c r="E117" i="43"/>
  <c r="F117" i="43"/>
  <c r="G117" i="43"/>
  <c r="H117" i="43"/>
  <c r="I118" i="43"/>
  <c r="J118" i="43"/>
  <c r="K118" i="43"/>
  <c r="L118" i="43"/>
  <c r="M118" i="43"/>
  <c r="D115" i="43"/>
  <c r="E115" i="43"/>
  <c r="F115" i="43"/>
  <c r="G115" i="43"/>
  <c r="H115" i="43"/>
  <c r="N102" i="43"/>
  <c r="N105" i="43"/>
  <c r="N104" i="43"/>
  <c r="N109" i="43"/>
  <c r="N103" i="43"/>
  <c r="N107" i="43"/>
  <c r="N106" i="43"/>
  <c r="K103" i="43"/>
  <c r="K102" i="43"/>
  <c r="K105" i="43"/>
  <c r="K109" i="43"/>
  <c r="K107" i="43"/>
  <c r="K106" i="43"/>
  <c r="K104" i="43"/>
  <c r="H10" i="40"/>
  <c r="AB10" i="40"/>
  <c r="J10" i="39"/>
  <c r="J10" i="40"/>
  <c r="H10" i="39"/>
  <c r="C49" i="15"/>
  <c r="S7" i="21"/>
  <c r="AA7" i="21"/>
  <c r="R48" i="21"/>
  <c r="E46" i="36"/>
  <c r="F46" i="36"/>
  <c r="G46" i="36"/>
  <c r="H46" i="36"/>
  <c r="I46" i="36"/>
  <c r="J46" i="36"/>
  <c r="K46" i="36"/>
  <c r="L46" i="36"/>
  <c r="M46" i="36"/>
  <c r="N46" i="36"/>
  <c r="O46" i="36"/>
  <c r="F7" i="36"/>
  <c r="AA7" i="33"/>
  <c r="R48" i="33"/>
  <c r="S7" i="33"/>
  <c r="E48" i="35"/>
  <c r="AA10" i="40"/>
  <c r="S10" i="40"/>
  <c r="W7" i="21"/>
  <c r="AC7" i="21"/>
  <c r="V48" i="21"/>
  <c r="I48" i="21"/>
  <c r="H7" i="36"/>
  <c r="H7" i="33"/>
  <c r="J7" i="33"/>
  <c r="E52" i="37"/>
  <c r="H7" i="21"/>
  <c r="G59" i="34"/>
  <c r="C15" i="67"/>
  <c r="C18" i="67"/>
  <c r="Q61" i="67"/>
  <c r="Q74" i="67"/>
  <c r="Q60" i="67"/>
  <c r="Q73" i="67"/>
  <c r="Q74" i="15"/>
  <c r="Q61" i="15"/>
  <c r="C49" i="67"/>
  <c r="F11" i="67"/>
  <c r="M11" i="67"/>
  <c r="J10" i="67"/>
  <c r="J5" i="67"/>
  <c r="M11" i="15"/>
  <c r="M28" i="43"/>
  <c r="P28" i="43"/>
  <c r="N28" i="43"/>
  <c r="Q52" i="67"/>
  <c r="F1" i="67"/>
  <c r="Q52" i="15"/>
  <c r="J18" i="67"/>
  <c r="C32" i="67"/>
  <c r="Q60" i="15"/>
  <c r="Q73" i="15"/>
  <c r="J6" i="15"/>
  <c r="J7" i="36"/>
  <c r="W7" i="36"/>
  <c r="J65" i="40"/>
  <c r="K63" i="40"/>
  <c r="F68" i="39"/>
  <c r="E70" i="39"/>
  <c r="C34" i="11"/>
  <c r="C38" i="11"/>
  <c r="AA10" i="39"/>
  <c r="AQ6" i="1"/>
  <c r="AR6" i="1"/>
  <c r="T6" i="1"/>
  <c r="M20" i="6"/>
  <c r="I20" i="6"/>
  <c r="S20" i="6"/>
  <c r="S16" i="1"/>
  <c r="AY6" i="3"/>
  <c r="AY133" i="3"/>
  <c r="U10" i="40"/>
  <c r="E6" i="3"/>
  <c r="D3" i="34"/>
  <c r="D3" i="33"/>
  <c r="C17" i="4"/>
  <c r="B4" i="52"/>
  <c r="B43" i="72"/>
  <c r="L18" i="9"/>
  <c r="D3" i="37"/>
  <c r="D37" i="11"/>
  <c r="C37" i="11"/>
  <c r="D3" i="21"/>
  <c r="D19" i="11"/>
  <c r="C19" i="11"/>
  <c r="M18" i="9"/>
  <c r="B118" i="9"/>
  <c r="B14" i="74"/>
  <c r="B1" i="74"/>
  <c r="M19" i="6"/>
  <c r="K27" i="6"/>
  <c r="AY92" i="3"/>
  <c r="AY397" i="3"/>
  <c r="AY348" i="3"/>
  <c r="AY215" i="3"/>
  <c r="AY494" i="3"/>
  <c r="AY126" i="3"/>
  <c r="AY438" i="3"/>
  <c r="AY174" i="3"/>
  <c r="AY471" i="3"/>
  <c r="AY506" i="3"/>
  <c r="AY542" i="3"/>
  <c r="AY63" i="3"/>
  <c r="AY135" i="3"/>
  <c r="AY378" i="3"/>
  <c r="AY456" i="3"/>
  <c r="BL6" i="3"/>
  <c r="AY184" i="3"/>
  <c r="AY241" i="3"/>
  <c r="AY338" i="3"/>
  <c r="BD6" i="3"/>
  <c r="AY178" i="3"/>
  <c r="AY57" i="3"/>
  <c r="AY325" i="3"/>
  <c r="AY454" i="3"/>
  <c r="AY525" i="3"/>
  <c r="AY518" i="3"/>
  <c r="AY577" i="3"/>
  <c r="AY205" i="3"/>
  <c r="AY235"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0" i="3"/>
  <c r="AY289" i="3"/>
  <c r="AY261" i="3"/>
  <c r="AY209" i="3"/>
  <c r="AY455" i="3"/>
  <c r="AY116" i="3"/>
  <c r="AY343" i="3"/>
  <c r="AY417" i="3"/>
  <c r="AY539" i="3"/>
  <c r="AY84" i="3"/>
  <c r="AY176" i="3"/>
  <c r="AY188" i="3"/>
  <c r="AY297" i="3"/>
  <c r="AY335" i="3"/>
  <c r="AY409" i="3"/>
  <c r="AY228" i="3"/>
  <c r="AY465" i="3"/>
  <c r="BK6" i="3"/>
  <c r="AY98" i="3"/>
  <c r="AY171" i="3"/>
  <c r="AY163" i="3"/>
  <c r="AY237" i="3"/>
  <c r="AY334" i="3"/>
  <c r="AY526" i="3"/>
  <c r="AY390" i="3"/>
  <c r="AY447" i="3"/>
  <c r="AY574" i="3"/>
  <c r="AY85" i="3"/>
  <c r="AY34" i="3"/>
  <c r="AY95" i="3"/>
  <c r="AY152" i="3"/>
  <c r="AY111" i="3"/>
  <c r="AY253" i="3"/>
  <c r="AY382" i="3"/>
  <c r="AY303" i="3"/>
  <c r="AY460" i="3"/>
  <c r="AY529" i="3"/>
  <c r="AY300" i="3"/>
  <c r="AY217" i="3"/>
  <c r="AY327" i="3"/>
  <c r="AY463" i="3"/>
  <c r="AY401" i="3"/>
  <c r="AY544" i="3"/>
  <c r="BE6" i="3"/>
  <c r="C115" i="43"/>
  <c r="D113" i="43"/>
  <c r="AB10" i="39"/>
  <c r="U10" i="39"/>
  <c r="AC10" i="39"/>
  <c r="W10" i="39"/>
  <c r="AC10" i="40"/>
  <c r="W10" i="40"/>
  <c r="AB7" i="21"/>
  <c r="T48" i="21"/>
  <c r="G48" i="21"/>
  <c r="U7" i="21"/>
  <c r="AC7" i="33"/>
  <c r="V48" i="33"/>
  <c r="I48" i="33"/>
  <c r="W7" i="33"/>
  <c r="I52" i="21"/>
  <c r="J52" i="21"/>
  <c r="F48" i="35"/>
  <c r="R49" i="33"/>
  <c r="E48" i="33"/>
  <c r="AC7" i="36"/>
  <c r="V36" i="36"/>
  <c r="I36" i="36"/>
  <c r="E48" i="21"/>
  <c r="I53" i="21"/>
  <c r="J53" i="21"/>
  <c r="R49" i="21"/>
  <c r="H59" i="34"/>
  <c r="C19" i="67"/>
  <c r="C20" i="67"/>
  <c r="C26" i="67"/>
  <c r="F52" i="37"/>
  <c r="U7" i="33"/>
  <c r="AB7" i="33"/>
  <c r="T48" i="33"/>
  <c r="G48" i="33"/>
  <c r="U7" i="36"/>
  <c r="AB7" i="36"/>
  <c r="T36" i="36"/>
  <c r="G36" i="36"/>
  <c r="AA7" i="36"/>
  <c r="R36" i="36"/>
  <c r="S7" i="36"/>
  <c r="J10" i="15"/>
  <c r="J5" i="15"/>
  <c r="J18" i="15"/>
  <c r="J26" i="67"/>
  <c r="J29" i="67"/>
  <c r="J24" i="67"/>
  <c r="C53" i="15"/>
  <c r="C48" i="15"/>
  <c r="C10" i="67"/>
  <c r="C5" i="67"/>
  <c r="C53" i="67"/>
  <c r="C48" i="67"/>
  <c r="F24" i="67"/>
  <c r="C24" i="67"/>
  <c r="F22" i="69"/>
  <c r="F22" i="11"/>
  <c r="F69" i="15"/>
  <c r="G68" i="39"/>
  <c r="F70" i="39"/>
  <c r="L63" i="40"/>
  <c r="K65" i="40"/>
  <c r="AY97" i="3"/>
  <c r="AY533" i="3"/>
  <c r="AY549" i="3"/>
  <c r="AY420" i="3"/>
  <c r="AY310" i="3"/>
  <c r="AY372" i="3"/>
  <c r="AY260" i="3"/>
  <c r="AY26" i="3"/>
  <c r="AY441" i="3"/>
  <c r="AY473" i="3"/>
  <c r="AY366" i="3"/>
  <c r="AY236" i="3"/>
  <c r="AY168" i="3"/>
  <c r="AY281" i="3"/>
  <c r="AY42" i="3"/>
  <c r="AY144" i="3"/>
  <c r="AY87" i="3"/>
  <c r="AY555" i="3"/>
  <c r="AY535" i="3"/>
  <c r="AY311" i="3"/>
  <c r="AY269" i="3"/>
  <c r="AY444" i="3"/>
  <c r="AY387" i="3"/>
  <c r="AY75" i="3"/>
  <c r="AY90" i="3"/>
  <c r="AY18" i="3"/>
  <c r="AY541" i="3"/>
  <c r="AY433" i="3"/>
  <c r="AY358" i="3"/>
  <c r="AY180" i="3"/>
  <c r="AY470" i="3"/>
  <c r="AY225" i="3"/>
  <c r="AY276" i="3"/>
  <c r="AY115" i="3"/>
  <c r="AY66" i="3"/>
  <c r="AY100" i="3"/>
  <c r="AY573" i="3"/>
  <c r="AY478" i="3"/>
  <c r="AY212" i="3"/>
  <c r="AY497" i="3"/>
  <c r="AY319" i="3"/>
  <c r="AY284" i="3"/>
  <c r="AY183" i="3"/>
  <c r="AY160" i="3"/>
  <c r="AY10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122" i="3"/>
  <c r="AY49" i="3"/>
  <c r="AY508" i="3"/>
  <c r="BN6" i="3"/>
  <c r="AY435" i="3"/>
  <c r="AY467" i="3"/>
  <c r="AY243" i="3"/>
  <c r="AY254" i="3"/>
  <c r="AY586" i="3"/>
  <c r="AY448" i="3"/>
  <c r="AY391" i="3"/>
  <c r="AY128" i="3"/>
  <c r="AY55" i="3"/>
  <c r="AY558" i="3"/>
  <c r="AY346" i="3"/>
  <c r="AY249" i="3"/>
  <c r="AY192" i="3"/>
  <c r="AY578" i="3"/>
  <c r="AY524" i="3"/>
  <c r="AY439" i="3"/>
  <c r="AY364" i="3"/>
  <c r="AY552" i="3"/>
  <c r="AY150" i="3"/>
  <c r="AY287" i="3"/>
  <c r="AY411" i="3"/>
  <c r="AY270" i="3"/>
  <c r="AY166" i="3"/>
  <c r="AY61" i="3"/>
  <c r="AY44" i="3"/>
  <c r="AY154" i="3"/>
  <c r="AY283" i="3"/>
  <c r="AY230" i="3"/>
  <c r="AY360" i="3"/>
  <c r="AY56" i="3"/>
  <c r="AY295" i="3"/>
  <c r="AY353" i="3"/>
  <c r="AY45" i="3"/>
  <c r="AY134" i="3"/>
  <c r="AY373" i="3"/>
  <c r="AY161" i="3"/>
  <c r="AY324" i="3"/>
  <c r="AY430" i="3"/>
  <c r="AY585" i="3"/>
  <c r="BG6" i="3"/>
  <c r="AY101" i="3"/>
  <c r="AY158" i="3"/>
  <c r="AY266" i="3"/>
  <c r="AY182" i="3"/>
  <c r="AY239" i="3"/>
  <c r="AY93" i="3"/>
  <c r="AY226" i="3"/>
  <c r="AY480" i="3"/>
  <c r="AY419" i="3"/>
  <c r="AY536" i="3"/>
  <c r="AY532" i="3"/>
  <c r="AY64" i="3"/>
  <c r="AY113"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 i="3"/>
  <c r="AY157" i="3"/>
  <c r="AY271" i="3"/>
  <c r="AY211" i="3"/>
  <c r="BI6" i="3"/>
  <c r="AY186" i="3"/>
  <c r="AY190" i="3"/>
  <c r="AY247" i="3"/>
  <c r="AY109" i="3"/>
  <c r="AY242" i="3"/>
  <c r="AY193" i="3"/>
  <c r="AY88" i="3"/>
  <c r="AY472" i="3"/>
  <c r="AY571" i="3"/>
  <c r="AY48" i="3"/>
  <c r="AY77" i="3"/>
  <c r="AY389" i="3"/>
  <c r="AY340" i="3"/>
  <c r="AY580" i="3"/>
  <c r="AY523" i="3"/>
  <c r="AY250" i="3"/>
  <c r="AY344" i="3"/>
  <c r="AY458" i="3"/>
  <c r="AY407" i="3"/>
  <c r="AY14" i="3"/>
  <c r="AY565" i="3"/>
  <c r="AY570" i="3"/>
  <c r="AY99" i="3"/>
  <c r="AY46" i="3"/>
  <c r="AY156" i="3"/>
  <c r="AY285" i="3"/>
  <c r="AY232" i="3"/>
  <c r="AY362" i="3"/>
  <c r="AY469" i="3"/>
  <c r="AY437" i="3"/>
  <c r="AY560" i="3"/>
  <c r="AY91" i="3"/>
  <c r="AY38" i="3"/>
  <c r="AY148" i="3"/>
  <c r="AY277" i="3"/>
  <c r="AY224" i="3"/>
  <c r="AY354" i="3"/>
  <c r="AY490" i="3"/>
  <c r="AY429" i="3"/>
  <c r="AY511" i="3"/>
  <c r="AY68" i="3"/>
  <c r="AY117" i="3"/>
  <c r="AY365" i="3"/>
  <c r="AY130" i="3"/>
  <c r="AY393" i="3"/>
  <c r="AY308" i="3"/>
  <c r="AY464" i="3"/>
  <c r="AY422" i="3"/>
  <c r="AY403" i="3"/>
  <c r="AY516" i="3"/>
  <c r="AY527" i="3"/>
  <c r="AY559" i="3"/>
  <c r="AY556" i="3"/>
  <c r="AY112" i="3"/>
  <c r="AY32" i="3"/>
  <c r="AY142" i="3"/>
  <c r="AY298"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7" i="3"/>
  <c r="AY196" i="3"/>
  <c r="AY139" i="3"/>
  <c r="AY74" i="3"/>
  <c r="AY123" i="3"/>
  <c r="AY204" i="3"/>
  <c r="AY252" i="3"/>
  <c r="AY363" i="3"/>
  <c r="AY489" i="3"/>
  <c r="AY412" i="3"/>
  <c r="AY43" i="3"/>
  <c r="AY229" i="3"/>
  <c r="AY379" i="3"/>
  <c r="AY326" i="3"/>
  <c r="AY436" i="3"/>
  <c r="AY557" i="3"/>
  <c r="AY540" i="3"/>
  <c r="AY105" i="3"/>
  <c r="AY69" i="3"/>
  <c r="AY83" i="3"/>
  <c r="AY23" i="3"/>
  <c r="AY155" i="3"/>
  <c r="AY59" i="3"/>
  <c r="AY131" i="3"/>
  <c r="AY58" i="3"/>
  <c r="AY268" i="3"/>
  <c r="AY371" i="3"/>
  <c r="AY318" i="3"/>
  <c r="AY428" i="3"/>
  <c r="AY106" i="3"/>
  <c r="AY245" i="3"/>
  <c r="AY395" i="3"/>
  <c r="AY342" i="3"/>
  <c r="AY452" i="3"/>
  <c r="AY513" i="3"/>
  <c r="AY569" i="3"/>
  <c r="AY553" i="3"/>
  <c r="AY82" i="3"/>
  <c r="AY191" i="3"/>
  <c r="AY132" i="3"/>
  <c r="AY31" i="3"/>
  <c r="AY292" i="3"/>
  <c r="AY147" i="3"/>
  <c r="AY220" i="3"/>
  <c r="AY350" i="3"/>
  <c r="AY486" i="3"/>
  <c r="AY425" i="3"/>
  <c r="AY199" i="3"/>
  <c r="AY244" i="3"/>
  <c r="AY355" i="3"/>
  <c r="AY481" i="3"/>
  <c r="AY404" i="3"/>
  <c r="AY562" i="3"/>
  <c r="BO6" i="3"/>
  <c r="AY89" i="3"/>
  <c r="AY53" i="3"/>
  <c r="AY51" i="3"/>
  <c r="AY207" i="3"/>
  <c r="AY124" i="3"/>
  <c r="C35" i="11"/>
  <c r="C33" i="11"/>
  <c r="AQ7" i="1"/>
  <c r="AR7" i="1"/>
  <c r="T16" i="1"/>
  <c r="AY410" i="3"/>
  <c r="AY442" i="3"/>
  <c r="AY453" i="3"/>
  <c r="AY484" i="3"/>
  <c r="AY487" i="3"/>
  <c r="AY328" i="3"/>
  <c r="AY313" i="3"/>
  <c r="AY345" i="3"/>
  <c r="AY369" i="3"/>
  <c r="AY223" i="3"/>
  <c r="AY267" i="3"/>
  <c r="AY153" i="3"/>
  <c r="AY21" i="3"/>
  <c r="AY81" i="3"/>
  <c r="AY496" i="3"/>
  <c r="AY543" i="3"/>
  <c r="AY520" i="3"/>
  <c r="AY572" i="3"/>
  <c r="AY503" i="3"/>
  <c r="AY406" i="3"/>
  <c r="AY449" i="3"/>
  <c r="AY483" i="3"/>
  <c r="AY356" i="3"/>
  <c r="AY279" i="3"/>
  <c r="AY40" i="3"/>
  <c r="BS6" i="3"/>
  <c r="AY222" i="3"/>
  <c r="AY302" i="3"/>
  <c r="AY146" i="3"/>
  <c r="AY36" i="3"/>
  <c r="AY234" i="3"/>
  <c r="AY251" i="3"/>
  <c r="AY137" i="3"/>
  <c r="AY194" i="3"/>
  <c r="AY65" i="3"/>
  <c r="AY582" i="3"/>
  <c r="AY501" i="3"/>
  <c r="AY495" i="3"/>
  <c r="AY534" i="3"/>
  <c r="BQ6" i="3"/>
  <c r="AY398" i="3"/>
  <c r="AY462" i="3"/>
  <c r="AY475" i="3"/>
  <c r="AY341" i="3"/>
  <c r="AY275" i="3"/>
  <c r="AY29" i="3"/>
  <c r="AY507" i="3"/>
  <c r="AY227" i="3"/>
  <c r="AY286" i="3"/>
  <c r="AY173" i="3"/>
  <c r="AY20" i="3"/>
  <c r="AY316" i="3"/>
  <c r="AY333" i="3"/>
  <c r="AY388" i="3"/>
  <c r="AY259" i="3"/>
  <c r="AY145" i="3"/>
  <c r="AY202" i="3"/>
  <c r="AY73" i="3"/>
  <c r="BH6" i="3"/>
  <c r="AY374" i="3"/>
  <c r="AY219" i="3"/>
  <c r="AY262" i="3"/>
  <c r="AY278" i="3"/>
  <c r="AY125" i="3"/>
  <c r="AY165" i="3"/>
  <c r="AY185" i="3"/>
  <c r="AY33" i="3"/>
  <c r="AY76" i="3"/>
  <c r="AY282" i="3"/>
  <c r="AY129" i="3"/>
  <c r="AY169" i="3"/>
  <c r="AY189" i="3"/>
  <c r="AY37" i="3"/>
  <c r="AY80" i="3"/>
  <c r="AY96" i="3"/>
  <c r="AY519" i="3"/>
  <c r="AY514" i="3"/>
  <c r="AY584" i="3"/>
  <c r="AY16" i="3"/>
  <c r="AY510" i="3"/>
  <c r="AY546" i="3"/>
  <c r="BF6" i="3"/>
  <c r="AY561" i="3"/>
  <c r="BM6" i="3"/>
  <c r="AY581" i="3"/>
  <c r="AY427" i="3"/>
  <c r="AY414" i="3"/>
  <c r="AY446" i="3"/>
  <c r="AY457" i="3"/>
  <c r="AY488" i="3"/>
  <c r="AY491" i="3"/>
  <c r="AY309" i="3"/>
  <c r="AY370" i="3"/>
  <c r="AY258" i="3"/>
  <c r="AY121" i="3"/>
  <c r="AY181" i="3"/>
  <c r="AY72" i="3"/>
  <c r="BB6" i="3"/>
  <c r="AY368" i="3"/>
  <c r="AY384" i="3"/>
  <c r="AY238" i="3"/>
  <c r="AY255" i="3"/>
  <c r="AY291" i="3"/>
  <c r="AY141" i="3"/>
  <c r="AY162" i="3"/>
  <c r="AY198" i="3"/>
  <c r="AY52" i="3"/>
  <c r="AY108"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M27" i="6"/>
  <c r="I19" i="6"/>
  <c r="M19" i="9"/>
  <c r="C118" i="9"/>
  <c r="C14" i="74"/>
  <c r="B2" i="74"/>
  <c r="D19" i="6"/>
  <c r="D26" i="6"/>
  <c r="C18" i="4"/>
  <c r="D8" i="6"/>
  <c r="D23" i="6"/>
  <c r="D14" i="6"/>
  <c r="D6" i="6"/>
  <c r="D9" i="6"/>
  <c r="D10" i="6"/>
  <c r="L19" i="9"/>
  <c r="D29" i="6"/>
  <c r="D25" i="6"/>
  <c r="D15" i="6"/>
  <c r="D22" i="6"/>
  <c r="D21" i="6"/>
  <c r="D24" i="6"/>
  <c r="D20" i="6"/>
  <c r="D5" i="6"/>
  <c r="D12" i="6"/>
  <c r="D11" i="6"/>
  <c r="D13" i="6"/>
  <c r="D28" i="6"/>
  <c r="E61" i="40"/>
  <c r="H22" i="6"/>
  <c r="R22" i="6"/>
  <c r="H23" i="6"/>
  <c r="R23" i="6"/>
  <c r="H20" i="6"/>
  <c r="H25" i="6"/>
  <c r="H26" i="6"/>
  <c r="R26" i="6"/>
  <c r="H21" i="6"/>
  <c r="R21" i="6"/>
  <c r="H24" i="6"/>
  <c r="R24" i="6"/>
  <c r="C8" i="74"/>
  <c r="C7" i="74"/>
  <c r="C20" i="11"/>
  <c r="C28" i="11"/>
  <c r="C27" i="11"/>
  <c r="D10" i="11"/>
  <c r="C10" i="11"/>
  <c r="D10" i="69"/>
  <c r="G40" i="36"/>
  <c r="H40" i="36"/>
  <c r="G41" i="36"/>
  <c r="H41" i="36"/>
  <c r="G52" i="33"/>
  <c r="H52" i="33"/>
  <c r="G53" i="33"/>
  <c r="H53" i="33"/>
  <c r="I59" i="34"/>
  <c r="E52" i="21"/>
  <c r="F52" i="21"/>
  <c r="E53" i="21"/>
  <c r="F53" i="21"/>
  <c r="C49" i="33"/>
  <c r="B2" i="33"/>
  <c r="B3" i="33"/>
  <c r="C48" i="33"/>
  <c r="G48" i="35"/>
  <c r="I52" i="33"/>
  <c r="J52" i="33"/>
  <c r="I53" i="33"/>
  <c r="J53" i="33"/>
  <c r="G53" i="21"/>
  <c r="H53" i="21"/>
  <c r="G52" i="21"/>
  <c r="H52" i="21"/>
  <c r="R37" i="36"/>
  <c r="E36" i="36"/>
  <c r="G52" i="37"/>
  <c r="C48" i="21"/>
  <c r="C49" i="21"/>
  <c r="B2" i="21"/>
  <c r="B3" i="21"/>
  <c r="I41" i="36"/>
  <c r="J41" i="36"/>
  <c r="I40" i="36"/>
  <c r="J40" i="36"/>
  <c r="E53" i="33"/>
  <c r="F53" i="33"/>
  <c r="E52" i="33"/>
  <c r="F52" i="33"/>
  <c r="C23" i="67"/>
  <c r="C29" i="67"/>
  <c r="C66" i="67"/>
  <c r="C60" i="67"/>
  <c r="C44" i="69"/>
  <c r="D41" i="69"/>
  <c r="C26" i="69"/>
  <c r="D22" i="69"/>
  <c r="C60" i="15"/>
  <c r="C66" i="15"/>
  <c r="C44" i="11"/>
  <c r="D41" i="11"/>
  <c r="C26" i="11"/>
  <c r="D22" i="11"/>
  <c r="C23" i="11"/>
  <c r="C24" i="11"/>
  <c r="C38" i="67"/>
  <c r="J26" i="15"/>
  <c r="J29" i="15"/>
  <c r="J24" i="15"/>
  <c r="L65" i="40"/>
  <c r="M63" i="40"/>
  <c r="H68" i="39"/>
  <c r="G70" i="39"/>
  <c r="D30" i="6"/>
  <c r="C39" i="11"/>
  <c r="C46" i="11"/>
  <c r="C45" i="11"/>
  <c r="C42" i="11"/>
  <c r="C43" i="11"/>
  <c r="C25" i="11"/>
  <c r="C22" i="11"/>
  <c r="C31" i="11"/>
  <c r="R25" i="6"/>
  <c r="D16" i="6"/>
  <c r="A7" i="51"/>
  <c r="B7" i="72"/>
  <c r="A10" i="51"/>
  <c r="B9" i="72"/>
  <c r="C4" i="52"/>
  <c r="B45" i="72"/>
  <c r="D27" i="6"/>
  <c r="D31" i="6"/>
  <c r="H19" i="6"/>
  <c r="H27" i="6"/>
  <c r="I27" i="6"/>
  <c r="S19" i="6"/>
  <c r="S27" i="6"/>
  <c r="C10" i="69"/>
  <c r="C8" i="69"/>
  <c r="C5" i="69"/>
  <c r="D19" i="69"/>
  <c r="R20" i="6"/>
  <c r="D8" i="74"/>
  <c r="D7" i="74"/>
  <c r="E40" i="36"/>
  <c r="F40" i="36"/>
  <c r="E41" i="36"/>
  <c r="F41" i="36"/>
  <c r="H48" i="35"/>
  <c r="J59" i="34"/>
  <c r="H52" i="37"/>
  <c r="I52" i="37"/>
  <c r="J52" i="37"/>
  <c r="K52" i="37"/>
  <c r="L52" i="37"/>
  <c r="M52" i="37"/>
  <c r="N52" i="37"/>
  <c r="O52" i="37"/>
  <c r="H7" i="37"/>
  <c r="C37" i="36"/>
  <c r="B2" i="36"/>
  <c r="B3" i="36"/>
  <c r="C36" i="36"/>
  <c r="J14" i="15"/>
  <c r="J19" i="67"/>
  <c r="J17" i="67"/>
  <c r="C33" i="67"/>
  <c r="C31" i="67"/>
  <c r="C13" i="67"/>
  <c r="C57" i="67"/>
  <c r="Q49" i="67"/>
  <c r="C36" i="67"/>
  <c r="J14" i="67"/>
  <c r="J59" i="67"/>
  <c r="J60" i="67"/>
  <c r="M21" i="15"/>
  <c r="N63" i="40"/>
  <c r="M65" i="40"/>
  <c r="H70" i="39"/>
  <c r="I68" i="39"/>
  <c r="C41" i="11"/>
  <c r="C49" i="11"/>
  <c r="C51" i="11"/>
  <c r="F63" i="15"/>
  <c r="C62" i="15"/>
  <c r="J20" i="15"/>
  <c r="C52" i="11"/>
  <c r="B2" i="11"/>
  <c r="B3" i="11"/>
  <c r="R19" i="6"/>
  <c r="D37" i="69"/>
  <c r="C37" i="69"/>
  <c r="C33" i="69"/>
  <c r="C19" i="69"/>
  <c r="C24" i="69"/>
  <c r="I6" i="6"/>
  <c r="I5" i="6"/>
  <c r="C23" i="69"/>
  <c r="Q49" i="15"/>
  <c r="J19" i="15"/>
  <c r="AB7" i="37"/>
  <c r="T42" i="37"/>
  <c r="G42" i="37"/>
  <c r="U7" i="37"/>
  <c r="I48" i="35"/>
  <c r="J59" i="15"/>
  <c r="J60" i="15"/>
  <c r="Q48" i="15"/>
  <c r="F7" i="37"/>
  <c r="K59" i="34"/>
  <c r="J7" i="37"/>
  <c r="Q70" i="15"/>
  <c r="C57" i="15"/>
  <c r="C61" i="15"/>
  <c r="J22" i="15"/>
  <c r="J13" i="15"/>
  <c r="J23" i="15"/>
  <c r="Q48" i="67"/>
  <c r="L46" i="67"/>
  <c r="C64" i="67"/>
  <c r="C61" i="67"/>
  <c r="C59" i="67"/>
  <c r="J13" i="67"/>
  <c r="J23" i="67"/>
  <c r="J22" i="67"/>
  <c r="C75" i="67"/>
  <c r="C56" i="67"/>
  <c r="C65" i="67"/>
  <c r="C37" i="67"/>
  <c r="C30" i="67"/>
  <c r="C39" i="67"/>
  <c r="Q70" i="67"/>
  <c r="I70" i="39"/>
  <c r="J68" i="39"/>
  <c r="N65" i="40"/>
  <c r="O63" i="40"/>
  <c r="O65" i="40"/>
  <c r="F7" i="40"/>
  <c r="J7" i="40"/>
  <c r="J17" i="15"/>
  <c r="J16" i="15"/>
  <c r="J25" i="15"/>
  <c r="C59" i="15"/>
  <c r="C56" i="11"/>
  <c r="C57" i="11"/>
  <c r="R27" i="6"/>
  <c r="R6" i="1"/>
  <c r="R16" i="1"/>
  <c r="C20" i="69"/>
  <c r="C39" i="69"/>
  <c r="C42" i="69"/>
  <c r="C64" i="15"/>
  <c r="C75" i="15"/>
  <c r="C56" i="15"/>
  <c r="C65" i="15"/>
  <c r="W7" i="37"/>
  <c r="AC7" i="37"/>
  <c r="V42" i="37"/>
  <c r="I42" i="37"/>
  <c r="G47" i="37"/>
  <c r="H47" i="37"/>
  <c r="L59" i="34"/>
  <c r="M59" i="34"/>
  <c r="N59" i="34"/>
  <c r="O59" i="34"/>
  <c r="J7" i="34"/>
  <c r="F7" i="34"/>
  <c r="AA7" i="37"/>
  <c r="R42" i="37"/>
  <c r="S7" i="37"/>
  <c r="J48" i="35"/>
  <c r="G46" i="37"/>
  <c r="H46" i="37"/>
  <c r="J16" i="67"/>
  <c r="J25" i="67"/>
  <c r="Q69" i="67"/>
  <c r="Q68" i="67"/>
  <c r="C40" i="67"/>
  <c r="C80" i="67"/>
  <c r="C79" i="67"/>
  <c r="C58" i="67"/>
  <c r="C67" i="67"/>
  <c r="C68" i="67"/>
  <c r="L51" i="67"/>
  <c r="Q69" i="15"/>
  <c r="Q68" i="15"/>
  <c r="S7" i="40"/>
  <c r="AA7" i="40"/>
  <c r="R42" i="40"/>
  <c r="W7" i="40"/>
  <c r="AC7" i="40"/>
  <c r="V42" i="40"/>
  <c r="I42" i="40"/>
  <c r="I46" i="40"/>
  <c r="J46" i="40"/>
  <c r="H7" i="40"/>
  <c r="J70" i="39"/>
  <c r="K68" i="39"/>
  <c r="H7" i="34"/>
  <c r="U7" i="34"/>
  <c r="C28" i="69"/>
  <c r="C27" i="69"/>
  <c r="C25" i="69"/>
  <c r="C22" i="69"/>
  <c r="C46" i="69"/>
  <c r="C45" i="69"/>
  <c r="C43" i="69"/>
  <c r="C41" i="69"/>
  <c r="C58" i="15"/>
  <c r="C67" i="15"/>
  <c r="C68" i="15"/>
  <c r="C71" i="15"/>
  <c r="K48" i="35"/>
  <c r="R43" i="37"/>
  <c r="E42" i="37"/>
  <c r="I47" i="37"/>
  <c r="J47" i="37"/>
  <c r="I46" i="37"/>
  <c r="J46" i="37"/>
  <c r="S7" i="34"/>
  <c r="AA7" i="34"/>
  <c r="R49" i="34"/>
  <c r="W7" i="34"/>
  <c r="AC7" i="34"/>
  <c r="V49" i="34"/>
  <c r="I49" i="34"/>
  <c r="Q67" i="67"/>
  <c r="L57" i="67"/>
  <c r="L60" i="67"/>
  <c r="L57" i="15"/>
  <c r="L60" i="15"/>
  <c r="L46" i="15"/>
  <c r="C45" i="67"/>
  <c r="C46" i="67"/>
  <c r="C71" i="67"/>
  <c r="Q56" i="67"/>
  <c r="C43" i="67"/>
  <c r="Q47" i="67"/>
  <c r="Q53" i="67"/>
  <c r="Q65" i="67"/>
  <c r="D2" i="67"/>
  <c r="C83" i="67"/>
  <c r="C82" i="67"/>
  <c r="L51" i="15"/>
  <c r="AB7" i="34"/>
  <c r="T49" i="34"/>
  <c r="G49" i="34"/>
  <c r="G53" i="34"/>
  <c r="H53" i="34"/>
  <c r="C80" i="15"/>
  <c r="C79" i="15"/>
  <c r="Q67" i="15"/>
  <c r="B2" i="15"/>
  <c r="R43" i="40"/>
  <c r="E42" i="40"/>
  <c r="K70" i="39"/>
  <c r="L68" i="39"/>
  <c r="AB7" i="40"/>
  <c r="T42" i="40"/>
  <c r="G42" i="40"/>
  <c r="U7" i="40"/>
  <c r="C31" i="69"/>
  <c r="C49" i="69"/>
  <c r="C51" i="69"/>
  <c r="I53" i="34"/>
  <c r="J53" i="34"/>
  <c r="R50" i="34"/>
  <c r="E49" i="34"/>
  <c r="G54" i="34"/>
  <c r="H54" i="34"/>
  <c r="E47" i="37"/>
  <c r="F47" i="37"/>
  <c r="E46" i="37"/>
  <c r="F46" i="37"/>
  <c r="C43" i="37"/>
  <c r="B2" i="37"/>
  <c r="B3" i="37"/>
  <c r="C42" i="37"/>
  <c r="L48" i="35"/>
  <c r="M48" i="35"/>
  <c r="N48" i="35"/>
  <c r="O48" i="35"/>
  <c r="J7" i="35"/>
  <c r="F7" i="35"/>
  <c r="H7" i="35"/>
  <c r="B3" i="67"/>
  <c r="B2" i="67"/>
  <c r="Q66" i="15"/>
  <c r="Q57" i="15"/>
  <c r="Q66" i="67"/>
  <c r="Q75" i="67"/>
  <c r="Q57" i="67"/>
  <c r="Q62" i="67"/>
  <c r="AO7" i="1"/>
  <c r="C46" i="15"/>
  <c r="B7" i="70"/>
  <c r="B2" i="70"/>
  <c r="B3" i="70"/>
  <c r="B3" i="15"/>
  <c r="Q47" i="15"/>
  <c r="Q53" i="15"/>
  <c r="C43" i="15"/>
  <c r="D6" i="12"/>
  <c r="Q65" i="15"/>
  <c r="Q75" i="15"/>
  <c r="Q56" i="15"/>
  <c r="Q62" i="15"/>
  <c r="C83" i="15"/>
  <c r="C82" i="15"/>
  <c r="M68" i="39"/>
  <c r="L70" i="39"/>
  <c r="I47" i="40"/>
  <c r="J47" i="40"/>
  <c r="E47" i="40"/>
  <c r="F47" i="40"/>
  <c r="E46" i="40"/>
  <c r="F46" i="40"/>
  <c r="G47" i="40"/>
  <c r="H47" i="40"/>
  <c r="G46" i="40"/>
  <c r="H46" i="40"/>
  <c r="C43" i="40"/>
  <c r="C42" i="40"/>
  <c r="C52" i="69"/>
  <c r="B2" i="69"/>
  <c r="B3" i="69"/>
  <c r="AB7" i="35"/>
  <c r="T38" i="35"/>
  <c r="G38" i="35"/>
  <c r="U7" i="35"/>
  <c r="AC7" i="35"/>
  <c r="V38" i="35"/>
  <c r="I38" i="35"/>
  <c r="W7" i="35"/>
  <c r="E54" i="34"/>
  <c r="F54" i="34"/>
  <c r="E53" i="34"/>
  <c r="F53" i="34"/>
  <c r="I54" i="34"/>
  <c r="J54" i="34"/>
  <c r="AA7" i="35"/>
  <c r="R38" i="35"/>
  <c r="S7" i="35"/>
  <c r="C50" i="34"/>
  <c r="B2" i="34"/>
  <c r="B3" i="34"/>
  <c r="C49" i="34"/>
  <c r="B57" i="40"/>
  <c r="F57" i="40"/>
  <c r="B59" i="40"/>
  <c r="F59" i="40"/>
  <c r="B55" i="40"/>
  <c r="F55" i="40"/>
  <c r="B56" i="40"/>
  <c r="F56" i="40"/>
  <c r="B58" i="40"/>
  <c r="F58" i="40"/>
  <c r="B60" i="40"/>
  <c r="F60" i="40"/>
  <c r="B54" i="40"/>
  <c r="F54" i="40"/>
  <c r="B52" i="40"/>
  <c r="F52" i="40"/>
  <c r="B53" i="40"/>
  <c r="F53" i="40"/>
  <c r="B51" i="40"/>
  <c r="F51" i="40"/>
  <c r="F61" i="40"/>
  <c r="B2" i="40"/>
  <c r="B3" i="40"/>
  <c r="M70" i="39"/>
  <c r="N68" i="39"/>
  <c r="C57" i="69"/>
  <c r="C56" i="69"/>
  <c r="I42" i="35"/>
  <c r="J42" i="35"/>
  <c r="E38" i="35"/>
  <c r="R39" i="35"/>
  <c r="G42" i="35"/>
  <c r="H42" i="35"/>
  <c r="G43" i="35"/>
  <c r="H43" i="35"/>
  <c r="N70" i="39"/>
  <c r="O68" i="39"/>
  <c r="O70" i="39"/>
  <c r="J7" i="39"/>
  <c r="H7" i="39"/>
  <c r="F7" i="39"/>
  <c r="C38" i="35"/>
  <c r="C39" i="35"/>
  <c r="B2" i="35"/>
  <c r="B3" i="35"/>
  <c r="E42" i="35"/>
  <c r="F42" i="35"/>
  <c r="E43" i="35"/>
  <c r="F43" i="35"/>
  <c r="I43" i="35"/>
  <c r="J43" i="35"/>
  <c r="B3" i="12"/>
  <c r="AA7" i="39"/>
  <c r="R47" i="39"/>
  <c r="S7" i="39"/>
  <c r="U7" i="39"/>
  <c r="AB7" i="39"/>
  <c r="T47" i="39"/>
  <c r="G47" i="39"/>
  <c r="W7" i="39"/>
  <c r="AC7" i="39"/>
  <c r="V47" i="39"/>
  <c r="I47" i="39"/>
  <c r="D20" i="9"/>
  <c r="D102" i="9"/>
  <c r="D21" i="9"/>
  <c r="D103" i="9"/>
  <c r="E47" i="39"/>
  <c r="R48" i="39"/>
  <c r="I51" i="39"/>
  <c r="J51" i="39"/>
  <c r="G52" i="39"/>
  <c r="H52" i="39"/>
  <c r="G51" i="39"/>
  <c r="H51" i="39"/>
  <c r="E52" i="39"/>
  <c r="F52" i="39"/>
  <c r="E51" i="39"/>
  <c r="F51" i="39"/>
  <c r="I52" i="39"/>
  <c r="J52" i="39"/>
  <c r="C48" i="39"/>
  <c r="C47" i="39"/>
  <c r="B56" i="39"/>
  <c r="F56" i="39"/>
  <c r="F66" i="39"/>
  <c r="B2" i="39"/>
  <c r="B3" i="39"/>
  <c r="B65" i="39"/>
  <c r="F65" i="39"/>
  <c r="B60" i="39"/>
  <c r="F60" i="39"/>
  <c r="B64" i="39"/>
  <c r="F64" i="39"/>
  <c r="B62" i="39"/>
  <c r="F62" i="39"/>
  <c r="B61" i="39"/>
  <c r="F61" i="39"/>
  <c r="B59" i="39"/>
  <c r="F59" i="39"/>
  <c r="B63" i="39"/>
  <c r="F63" i="39"/>
  <c r="B58" i="39"/>
  <c r="F58" i="39"/>
  <c r="B57" i="39"/>
  <c r="F57" i="39"/>
  <c r="X5" i="71"/>
  <c r="Y5" i="71"/>
  <c r="Z5" i="71"/>
  <c r="AA5" i="71"/>
  <c r="AB5" i="71"/>
  <c r="X6" i="71"/>
  <c r="Y6" i="71"/>
  <c r="Z6" i="71"/>
  <c r="AA6" i="71"/>
  <c r="AB6" i="71"/>
  <c r="C19" i="43"/>
  <c r="N60" i="9"/>
  <c r="D122" i="9"/>
  <c r="G14" i="74"/>
  <c r="C72" i="9"/>
  <c r="C78" i="9"/>
  <c r="C73" i="9"/>
  <c r="C79" i="9"/>
  <c r="C80" i="9"/>
  <c r="C81" i="9"/>
  <c r="N58" i="9"/>
  <c r="E80" i="9"/>
  <c r="E81" i="9"/>
  <c r="D13" i="53"/>
  <c r="D14" i="53"/>
  <c r="B32" i="72"/>
  <c r="B30" i="72"/>
  <c r="L63" i="9"/>
  <c r="M63" i="9"/>
  <c r="L64" i="9"/>
  <c r="M64" i="9"/>
  <c r="L65" i="9"/>
  <c r="M65" i="9"/>
  <c r="L66" i="9"/>
  <c r="M66" i="9"/>
  <c r="L67" i="9"/>
  <c r="M67" i="9"/>
  <c r="L68" i="9"/>
  <c r="M68" i="9"/>
  <c r="M69" i="9"/>
  <c r="N69" i="9"/>
  <c r="D8" i="52"/>
  <c r="D123" i="9"/>
  <c r="D9" i="52"/>
  <c r="P57" i="9"/>
  <c r="E96" i="9"/>
  <c r="E97" i="9"/>
  <c r="H108" i="9"/>
  <c r="D15" i="53"/>
  <c r="B31" i="72"/>
  <c r="D14" i="74"/>
  <c r="I118" i="9"/>
  <c r="B3" i="68"/>
  <c r="C57" i="68"/>
  <c r="D35" i="9"/>
  <c r="C35" i="9"/>
  <c r="F118" i="9"/>
  <c r="G118" i="9"/>
  <c r="E118" i="9"/>
  <c r="E4" i="52"/>
  <c r="B48" i="72"/>
  <c r="D5" i="53"/>
  <c r="D6" i="53"/>
  <c r="B22" i="72"/>
  <c r="B20" i="72"/>
  <c r="D52" i="9"/>
  <c r="C64" i="9"/>
  <c r="C63" i="9"/>
  <c r="C67" i="9"/>
  <c r="C68" i="9"/>
  <c r="D54" i="9"/>
  <c r="F119" i="9"/>
  <c r="F5" i="52"/>
  <c r="B53" i="72"/>
  <c r="G4" i="52"/>
  <c r="B52" i="72"/>
  <c r="F4" i="52"/>
  <c r="B51" i="72"/>
  <c r="M48" i="9"/>
  <c r="C34" i="9"/>
  <c r="D118" i="9"/>
  <c r="D4" i="52"/>
  <c r="B47" i="72"/>
  <c r="D119" i="9"/>
  <c r="D5" i="52"/>
  <c r="B49" i="72"/>
  <c r="I4" i="52"/>
  <c r="C105" i="9"/>
  <c r="H102" i="9"/>
  <c r="D7" i="53"/>
  <c r="B21" i="72"/>
  <c r="E14" i="74"/>
  <c r="F14" i="74"/>
  <c r="C104" i="9"/>
  <c r="H119" i="9"/>
  <c r="H5" i="52"/>
  <c r="H4" i="52"/>
  <c r="G21" i="9"/>
  <c r="C20" i="9"/>
  <c r="G20" i="9"/>
  <c r="D22" i="9"/>
  <c r="C103" i="9"/>
  <c r="C21" i="9"/>
  <c r="C102" i="9"/>
  <c r="B2" i="43"/>
  <c r="B6" i="76"/>
  <c r="B2" i="76"/>
  <c r="C30" i="43"/>
  <c r="E30" i="43"/>
  <c r="G33" i="43"/>
  <c r="I33" i="43"/>
  <c r="G34" i="43"/>
  <c r="I34" i="43"/>
  <c r="G35" i="43"/>
  <c r="I35" i="43"/>
  <c r="G36" i="43"/>
  <c r="I36" i="43"/>
  <c r="G37" i="43"/>
  <c r="I37" i="43"/>
  <c r="G38" i="43"/>
  <c r="I38" i="43"/>
  <c r="G39" i="43"/>
  <c r="I39" i="43"/>
  <c r="C27" i="43"/>
  <c r="E6" i="76"/>
  <c r="E2" i="76"/>
  <c r="B3" i="76"/>
  <c r="B3" i="43"/>
  <c r="T2" i="43"/>
  <c r="V2" i="43"/>
  <c r="T5" i="43"/>
  <c r="V5" i="43"/>
  <c r="T15" i="43"/>
  <c r="V15" i="43"/>
  <c r="T12" i="43"/>
  <c r="V12" i="43"/>
  <c r="T4" i="43"/>
  <c r="V4" i="43"/>
  <c r="T13" i="43"/>
  <c r="V13" i="43"/>
  <c r="T10" i="43"/>
  <c r="V10" i="43"/>
  <c r="T6" i="43"/>
  <c r="V6" i="43"/>
  <c r="T9" i="43"/>
  <c r="V9" i="43"/>
  <c r="T11" i="43"/>
  <c r="V11" i="43"/>
  <c r="T3" i="43"/>
  <c r="V3" i="43"/>
  <c r="T8" i="43"/>
  <c r="V8" i="43"/>
  <c r="T16" i="43"/>
  <c r="V16" i="43"/>
  <c r="T7" i="43"/>
  <c r="V7" i="43"/>
  <c r="T14" i="43"/>
  <c r="V14" i="43"/>
  <c r="C56" i="68"/>
  <c r="D34" i="9"/>
  <c r="D15" i="74"/>
  <c r="B5" i="74"/>
  <c r="D5" i="74"/>
  <c r="C5" i="74"/>
  <c r="G15" i="74"/>
  <c r="B6" i="74"/>
  <c r="D6" i="74"/>
  <c r="C6"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<sst xmlns="http://schemas.openxmlformats.org/spreadsheetml/2006/main" count="7321" uniqueCount="3100">
  <si>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</si>
  <si>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</si>
  <si>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</si>
  <si>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</si>
  <si>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</si>
  <si>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</si>
  <si>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</si>
  <si>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</si>
  <si>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</si>
  <si>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</si>
  <si>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</si>
  <si>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</si>
  <si>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</si>
  <si>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</si>
  <si>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</si>
  <si>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</si>
  <si>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</si>
  <si>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</si>
  <si>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</si>
  <si>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</si>
  <si>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</si>
  <si>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</si>
  <si>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</si>
  <si>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</si>
  <si>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</si>
  <si>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</si>
  <si>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</si>
  <si>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</si>
  <si>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</si>
  <si>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</si>
  <si>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</si>
  <si>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</si>
  <si>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</si>
  <si>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</si>
  <si>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</si>
  <si>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</si>
  <si>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</si>
  <si>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</si>
  <si>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</si>
  <si>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</si>
  <si>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</si>
  <si>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</si>
  <si>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</si>
  <si>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</si>
  <si>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</si>
  <si>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</si>
  <si>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</si>
  <si>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</si>
  <si>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</si>
  <si>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</si>
  <si>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</si>
  <si>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</si>
  <si>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</si>
  <si>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</si>
  <si>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</si>
  <si>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</si>
  <si>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</si>
  <si>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</si>
  <si>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</si>
  <si>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</si>
  <si>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</si>
  <si>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</si>
  <si>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</si>
  <si>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</si>
  <si>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</si>
  <si>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</si>
  <si>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</si>
  <si>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</si>
  <si>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</si>
  <si>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</si>
  <si>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</si>
  <si>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</si>
  <si>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</si>
  <si>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</si>
  <si>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</si>
  <si>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</si>
  <si>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</si>
  <si>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</si>
  <si>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</si>
  <si>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</si>
  <si>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</si>
  <si>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</si>
  <si>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</si>
  <si>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</si>
  <si>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</si>
  <si>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</si>
  <si>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</si>
  <si>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</si>
  <si>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</si>
  <si>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</si>
  <si>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</si>
  <si>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</si>
  <si>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</si>
  <si>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</si>
  <si>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</si>
  <si>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</si>
  <si>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</si>
  <si>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</si>
  <si>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</si>
  <si>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</si>
  <si>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</si>
  <si>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</si>
  <si>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</si>
  <si>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</si>
  <si>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</si>
  <si>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</si>
  <si>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</si>
  <si>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</si>
  <si>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</si>
  <si>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</si>
  <si>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</si>
  <si>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</si>
  <si>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</si>
  <si>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</si>
  <si>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</si>
  <si>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</si>
  <si>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</si>
  <si>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</si>
  <si>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</si>
  <si>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</si>
  <si>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</si>
  <si>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</si>
  <si>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</si>
  <si>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</si>
  <si>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</si>
  <si>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</si>
  <si>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</si>
  <si>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</si>
  <si>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</si>
  <si>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</si>
  <si>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</si>
  <si>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</si>
  <si>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</si>
  <si>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</si>
  <si>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</si>
  <si>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</si>
  <si>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</si>
  <si>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</si>
  <si>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</si>
  <si>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</si>
  <si>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</si>
  <si>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</si>
  <si>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</si>
  <si>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</si>
  <si>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</si>
  <si>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</si>
  <si>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</si>
  <si>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</si>
  <si>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</si>
  <si>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</si>
  <si>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</si>
  <si>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</si>
  <si>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</si>
  <si>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</si>
  <si>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</si>
  <si>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</si>
  <si>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</si>
  <si>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</si>
  <si>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</si>
  <si>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</si>
  <si>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</si>
  <si>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</si>
  <si>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</si>
  <si>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</si>
  <si>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</si>
  <si>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</si>
  <si>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</si>
  <si>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</si>
  <si>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</si>
  <si>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</si>
  <si>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</si>
  <si>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</si>
  <si>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</si>
  <si>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</si>
  <si>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</si>
  <si>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</si>
  <si>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</si>
  <si>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</si>
  <si>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</si>
  <si>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</si>
  <si>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</si>
  <si>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</si>
  <si>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</si>
  <si>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</si>
  <si>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</si>
  <si>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</si>
  <si>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</si>
  <si>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</si>
  <si>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</si>
  <si>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</si>
  <si>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</si>
  <si>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</si>
  <si>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</si>
  <si>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</si>
  <si>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</si>
  <si>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</si>
  <si>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</si>
  <si>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</si>
  <si>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</si>
  <si>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</si>
  <si>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</si>
  <si>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</si>
  <si>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</si>
  <si>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</si>
  <si>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</si>
  <si>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</si>
  <si>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</si>
  <si>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</si>
  <si>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</si>
  <si>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</si>
  <si>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</si>
  <si>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</si>
  <si>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</si>
  <si>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</si>
  <si>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</si>
  <si>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</si>
  <si>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</si>
  <si>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</si>
  <si>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</si>
  <si>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</si>
  <si>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</si>
  <si>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</si>
  <si>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</si>
  <si>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</si>
  <si>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</si>
  <si>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</si>
  <si>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</si>
  <si>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</si>
  <si>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</si>
  <si>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</si>
  <si>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</si>
  <si>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</si>
  <si>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</si>
  <si>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</si>
  <si>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</si>
  <si>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</si>
  <si>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</si>
  <si>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</si>
  <si>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</si>
  <si>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</si>
  <si>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</si>
  <si>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</si>
  <si>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</si>
  <si>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</si>
  <si>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</si>
  <si>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</si>
  <si>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</si>
  <si>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</si>
  <si>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</si>
  <si>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</si>
  <si>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</si>
  <si>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</si>
  <si>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</si>
  <si>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</si>
  <si>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</si>
  <si>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</si>
  <si>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</si>
  <si>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</si>
  <si>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</si>
  <si>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</si>
  <si>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</si>
  <si>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</si>
  <si>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</si>
  <si>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</si>
  <si>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</si>
  <si>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</si>
  <si>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</si>
  <si>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</si>
  <si>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</si>
  <si>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</si>
  <si>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</si>
  <si>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</si>
  <si>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</si>
  <si>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</si>
  <si>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</si>
  <si>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</si>
  <si>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</si>
  <si>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</si>
  <si>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</si>
  <si>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</si>
  <si>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</si>
  <si>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</si>
  <si>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</si>
  <si>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</si>
  <si>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</si>
  <si>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</si>
  <si>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</si>
  <si>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</si>
  <si>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</si>
  <si>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</si>
  <si>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</si>
  <si>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</si>
  <si>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</si>
  <si>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</si>
  <si>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</si>
  <si>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</si>
  <si>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</si>
  <si>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</si>
  <si>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</si>
  <si>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</si>
  <si>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</si>
  <si>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</si>
  <si>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</si>
  <si>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</si>
  <si>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</si>
  <si>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</si>
  <si>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</si>
  <si>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</si>
  <si>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</si>
  <si>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</si>
  <si>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</si>
  <si>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</si>
  <si>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</si>
  <si>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</si>
  <si>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</si>
  <si>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</si>
  <si>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</si>
  <si>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</si>
  <si>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</si>
  <si>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</si>
  <si>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</si>
  <si>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</si>
  <si>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</si>
  <si>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</si>
  <si>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</si>
  <si>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</si>
  <si>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</si>
  <si>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</si>
  <si>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</si>
  <si>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</si>
  <si>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</si>
  <si>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</si>
  <si>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</si>
  <si>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</si>
  <si>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</si>
  <si>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</si>
  <si>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</si>
  <si>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</si>
  <si>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</si>
  <si>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</si>
  <si>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</si>
  <si>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</si>
  <si>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</si>
  <si>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</si>
  <si>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</si>
  <si>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</si>
  <si>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</si>
  <si>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</si>
  <si>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</si>
  <si>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</si>
  <si>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</si>
  <si>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</si>
  <si>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</si>
  <si>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</si>
  <si>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</si>
  <si>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</si>
  <si>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</si>
  <si>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</si>
  <si>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</si>
  <si>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</si>
  <si>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</si>
  <si>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</si>
  <si>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</si>
  <si>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</si>
  <si>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</si>
  <si>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</si>
  <si>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</si>
  <si>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</si>
  <si>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</si>
  <si>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</si>
  <si>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</si>
  <si>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</si>
  <si>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</si>
  <si>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</si>
  <si>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</si>
  <si>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</si>
  <si>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</si>
  <si>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</si>
  <si>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</si>
  <si>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</si>
  <si>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</si>
  <si>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</si>
  <si>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</si>
  <si>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</si>
  <si>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</si>
  <si>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</si>
  <si>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</si>
  <si>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</si>
  <si>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</si>
  <si>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</si>
  <si>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</si>
  <si>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</si>
  <si>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</si>
  <si>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</si>
  <si>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</si>
  <si>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</si>
  <si>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</si>
  <si>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</si>
  <si>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</si>
  <si>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</si>
  <si>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</si>
  <si>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</si>
  <si>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</si>
  <si>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</si>
  <si>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</si>
  <si>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</si>
  <si>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</si>
  <si>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</si>
  <si>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</si>
  <si>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</si>
  <si>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</si>
  <si>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</si>
  <si>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</si>
  <si>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</si>
  <si>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</si>
  <si>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</si>
  <si>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</si>
  <si>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</si>
  <si>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</si>
  <si>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</si>
  <si>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</si>
  <si>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</si>
  <si>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</si>
  <si>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</si>
  <si>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</si>
  <si>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</si>
  <si>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</si>
  <si>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</si>
  <si>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</si>
  <si>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</si>
  <si>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</si>
  <si>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</si>
  <si>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</si>
  <si>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</si>
  <si>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</si>
  <si>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</si>
  <si>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</si>
  <si>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</si>
  <si>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</si>
  <si>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</si>
  <si>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</si>
  <si>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</si>
  <si>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</si>
  <si>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</si>
  <si>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</si>
  <si>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</si>
  <si>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</si>
  <si>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</si>
  <si>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</si>
  <si>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</si>
  <si>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</si>
  <si>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</si>
  <si>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</si>
  <si>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</si>
  <si>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</si>
  <si>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</si>
  <si>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</si>
  <si>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</si>
  <si>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</si>
  <si>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</si>
  <si>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</si>
  <si>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</si>
  <si>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</si>
  <si>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</si>
  <si>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</si>
  <si>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</si>
  <si>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</si>
  <si>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</si>
  <si>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</si>
  <si>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</si>
  <si>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</si>
  <si>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</si>
  <si>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</si>
  <si>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</si>
  <si>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</si>
  <si>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</si>
  <si>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</si>
  <si>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</si>
  <si>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</si>
  <si>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</si>
  <si>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</si>
  <si>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</si>
  <si>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</si>
  <si>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</si>
  <si>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</si>
  <si>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</si>
  <si>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</si>
  <si>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</si>
  <si>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</si>
  <si>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</si>
  <si>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</si>
  <si>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</si>
  <si>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</si>
  <si>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</si>
  <si>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</si>
  <si>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</si>
  <si>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</si>
  <si>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</si>
  <si>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</si>
  <si>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</si>
  <si>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</si>
  <si>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</si>
  <si>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</si>
  <si>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</si>
  <si>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</si>
  <si>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</si>
  <si>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</si>
  <si>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</si>
  <si>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</si>
  <si>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</si>
  <si>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</si>
  <si>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</si>
  <si>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</si>
  <si>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</si>
  <si>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</si>
  <si>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</si>
  <si>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</si>
  <si>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</si>
  <si>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</si>
  <si>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</si>
  <si>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</si>
  <si>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</si>
  <si>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</si>
  <si>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</si>
  <si>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</si>
  <si>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</si>
  <si>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</si>
  <si>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</si>
  <si>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</si>
  <si>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</si>
  <si>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</si>
  <si>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</si>
  <si>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</si>
  <si>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</si>
  <si>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</si>
  <si>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</si>
  <si>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</si>
  <si>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</si>
  <si>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</si>
  <si>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</si>
  <si>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</si>
  <si>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</si>
  <si>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</si>
  <si>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</si>
  <si>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</si>
  <si>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</si>
  <si>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</si>
  <si>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</si>
  <si>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</si>
  <si>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</si>
  <si>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</si>
  <si>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</si>
  <si>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</si>
  <si>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</si>
  <si>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</si>
  <si>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</si>
  <si>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</si>
  <si>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</si>
  <si>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</si>
  <si>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</si>
  <si>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</si>
  <si>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</si>
  <si>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</si>
  <si>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</si>
  <si>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</si>
  <si>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</si>
  <si>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</si>
  <si>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</si>
  <si>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</si>
  <si>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</si>
  <si>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</si>
  <si>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</si>
  <si>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</si>
  <si>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</si>
  <si>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</si>
  <si>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</si>
  <si>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</si>
  <si>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</si>
  <si>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</si>
  <si>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</si>
  <si>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</si>
  <si>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</si>
  <si>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</si>
  <si>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</si>
  <si>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</si>
  <si>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</si>
  <si>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</si>
  <si>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</si>
  <si>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</si>
  <si>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</si>
  <si>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</si>
  <si>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</si>
  <si>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</si>
  <si>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</si>
  <si>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</si>
  <si>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</si>
  <si>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</si>
  <si>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</si>
  <si>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</si>
  <si>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</si>
  <si>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</si>
  <si>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</si>
  <si>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</si>
  <si>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</si>
  <si>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</si>
  <si>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</si>
  <si>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</si>
  <si>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</si>
  <si>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</si>
  <si>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</si>
  <si>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</si>
  <si>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</si>
  <si>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</si>
  <si>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</si>
  <si>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</si>
  <si>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</si>
  <si>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</si>
  <si>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</si>
  <si>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</si>
  <si>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</si>
  <si>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</si>
  <si>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</si>
  <si>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</si>
  <si>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</si>
  <si>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</si>
  <si>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</si>
  <si>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</si>
  <si>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</si>
  <si>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</si>
  <si>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</si>
  <si>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</si>
  <si>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</si>
  <si>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</si>
  <si>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</si>
  <si>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</si>
  <si>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</si>
  <si>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</si>
  <si>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</si>
  <si>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</si>
  <si>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</si>
  <si>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</si>
  <si>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</si>
  <si>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</si>
  <si>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</si>
  <si>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</si>
  <si>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</si>
  <si>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</si>
  <si>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</si>
  <si>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</si>
  <si>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</si>
  <si>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</si>
  <si>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</si>
  <si>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</si>
  <si>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</si>
  <si>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</si>
  <si>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</si>
  <si>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</si>
  <si>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</si>
  <si>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</si>
  <si>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</si>
  <si>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</si>
  <si>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</si>
  <si>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</si>
  <si>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</si>
  <si>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</si>
  <si>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</si>
  <si>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</si>
  <si>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</si>
  <si>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</si>
  <si>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</si>
  <si>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</si>
  <si>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</si>
  <si>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</si>
  <si>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</si>
  <si>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</si>
  <si>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</si>
  <si>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</si>
  <si>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</si>
  <si>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</si>
  <si>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</si>
  <si>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</si>
  <si>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</si>
  <si>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</si>
  <si>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</si>
  <si>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</si>
  <si>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</si>
  <si>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</si>
  <si>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</si>
  <si>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</si>
  <si>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</si>
  <si>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</si>
  <si>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</si>
  <si>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</si>
  <si>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</si>
  <si>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</si>
  <si>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</si>
  <si>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</si>
  <si>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</si>
  <si>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</si>
  <si>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</si>
  <si>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</si>
  <si>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</si>
  <si>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</si>
  <si>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</si>
  <si>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</si>
  <si>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</si>
  <si>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</si>
  <si>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</si>
  <si>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</si>
  <si>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</si>
  <si>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</si>
  <si>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</si>
  <si>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</si>
  <si>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</si>
  <si>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</si>
  <si>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</si>
  <si>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</si>
  <si>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</si>
  <si>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</si>
  <si>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</si>
  <si>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</si>
  <si>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</si>
  <si>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</si>
  <si>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</si>
  <si>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</si>
  <si>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</si>
  <si>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</si>
  <si>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</si>
  <si>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</si>
  <si>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3" type="noConversion"/>
  </si>
  <si>
    <r>
      <rPr>
        <sz val="10"/>
        <color indexed="8"/>
        <rFont val="宋体"/>
        <family val="3"/>
        <charset val="134"/>
      </rPr>
      <t>修正系数</t>
    </r>
    <phoneticPr fontId="77"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</si>
  <si>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</si>
  <si>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</si>
  <si>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</si>
  <si>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</si>
  <si>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</si>
  <si>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</si>
  <si>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</si>
  <si>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</si>
  <si>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</si>
  <si>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</si>
  <si>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</si>
  <si>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</si>
  <si>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</si>
  <si>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</si>
  <si>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</si>
  <si>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</si>
  <si>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</si>
  <si>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</si>
  <si>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</si>
  <si>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</si>
  <si>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</si>
  <si>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</si>
  <si>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</si>
  <si>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</si>
  <si>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</si>
  <si>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</si>
  <si>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</si>
  <si>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</si>
  <si>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</si>
  <si>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</si>
  <si>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</si>
  <si>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</si>
  <si>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</si>
  <si>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</si>
  <si>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</si>
  <si>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</si>
  <si>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</si>
  <si>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</si>
  <si>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</si>
  <si>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</si>
  <si>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</si>
  <si>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</si>
  <si>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</si>
  <si>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</si>
  <si>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</si>
  <si>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</si>
  <si>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</si>
  <si>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</si>
  <si>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</si>
  <si>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</si>
  <si>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</si>
  <si>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</si>
  <si>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7" type="noConversion"/>
  </si>
  <si>
    <t>2.</t>
    <phoneticPr fontId="77" type="noConversion"/>
  </si>
  <si>
    <t>3.</t>
    <phoneticPr fontId="77" type="noConversion"/>
  </si>
  <si>
    <t>4.</t>
    <phoneticPr fontId="3" type="noConversion"/>
  </si>
  <si>
    <t>5.</t>
    <phoneticPr fontId="3" type="noConversion"/>
  </si>
  <si>
    <t>6.</t>
    <phoneticPr fontId="3" type="noConversion"/>
  </si>
  <si>
    <t>7.</t>
    <phoneticPr fontId="3" type="noConversion"/>
  </si>
  <si>
    <t>十一级</t>
  </si>
  <si>
    <t>十二级</t>
  </si>
  <si>
    <t>一级</t>
    <phoneticPr fontId="77" type="noConversion"/>
  </si>
  <si>
    <t>Ⅰ—01</t>
    <phoneticPr fontId="3"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</si>
  <si>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</si>
  <si>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</si>
  <si>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</si>
  <si>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</si>
  <si>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</si>
  <si>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</si>
  <si>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</si>
  <si>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今日</t>
    <phoneticPr fontId="83" type="noConversion"/>
  </si>
  <si>
    <t>资质过期显示为红色</t>
    <phoneticPr fontId="83" type="noConversion"/>
  </si>
  <si>
    <t>注册房地产估价师</t>
    <phoneticPr fontId="83" type="noConversion"/>
  </si>
  <si>
    <t>注册证号</t>
    <phoneticPr fontId="83" type="noConversion"/>
  </si>
  <si>
    <t>资质有效期</t>
    <phoneticPr fontId="83" type="noConversion"/>
  </si>
  <si>
    <t>土地估价师</t>
    <phoneticPr fontId="83" type="noConversion"/>
  </si>
  <si>
    <t>证号</t>
    <phoneticPr fontId="83" type="noConversion"/>
  </si>
  <si>
    <t>梁津</t>
    <phoneticPr fontId="83" type="noConversion"/>
  </si>
  <si>
    <t>叶凌</t>
    <phoneticPr fontId="83" type="noConversion"/>
  </si>
  <si>
    <t>王鹏</t>
    <phoneticPr fontId="83" type="noConversion"/>
  </si>
  <si>
    <t>欧红伟</t>
    <phoneticPr fontId="83" type="noConversion"/>
  </si>
  <si>
    <t>吴薇</t>
    <phoneticPr fontId="83" type="noConversion"/>
  </si>
  <si>
    <t>陈颖</t>
    <phoneticPr fontId="83" type="noConversion"/>
  </si>
  <si>
    <t>崔锴</t>
    <phoneticPr fontId="83" type="noConversion"/>
  </si>
  <si>
    <t>郑燚</t>
    <phoneticPr fontId="83" type="noConversion"/>
  </si>
  <si>
    <t>赵雯</t>
    <phoneticPr fontId="83" type="noConversion"/>
  </si>
  <si>
    <t>刘敬东</t>
    <phoneticPr fontId="83" type="noConversion"/>
  </si>
  <si>
    <t>估价机构</t>
    <phoneticPr fontId="83" type="noConversion"/>
  </si>
  <si>
    <t>房地产</t>
    <phoneticPr fontId="83" type="noConversion"/>
  </si>
  <si>
    <t>土地</t>
    <phoneticPr fontId="83" type="noConversion"/>
  </si>
  <si>
    <t>证书名称</t>
    <phoneticPr fontId="83" type="noConversion"/>
  </si>
  <si>
    <t>号码</t>
    <phoneticPr fontId="83" type="noConversion"/>
  </si>
  <si>
    <t>资质有效期</t>
    <phoneticPr fontId="83" type="noConversion"/>
  </si>
  <si>
    <t>资质证书：一级</t>
    <phoneticPr fontId="83" type="noConversion"/>
  </si>
  <si>
    <t>建房估证字[2013]081号</t>
    <phoneticPr fontId="83" type="noConversion"/>
  </si>
  <si>
    <t>注册证书</t>
    <phoneticPr fontId="83" type="noConversion"/>
  </si>
  <si>
    <t>A201111009</t>
    <phoneticPr fontId="83" type="noConversion"/>
  </si>
  <si>
    <t>资信等级：A级</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</si>
  <si>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</si>
  <si>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</si>
  <si>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</si>
  <si>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</si>
  <si>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</si>
  <si>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</si>
  <si>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</si>
  <si>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</si>
  <si>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</si>
  <si>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</si>
  <si>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</si>
  <si>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6" type="noConversion"/>
  </si>
  <si>
    <t>XX</t>
  </si>
  <si>
    <t>附表：</t>
    <phoneticPr fontId="9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</si>
  <si>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</si>
  <si>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</si>
  <si>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</si>
  <si>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</si>
  <si>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</si>
  <si>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</si>
  <si>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</si>
  <si>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</si>
  <si>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</si>
  <si>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</si>
  <si>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</si>
  <si>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</si>
  <si>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</si>
  <si>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</si>
  <si>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</si>
  <si>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</si>
  <si>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</si>
  <si>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</si>
  <si>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</si>
  <si>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</si>
  <si>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</si>
  <si>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</si>
  <si>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</si>
  <si>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</si>
  <si>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</si>
  <si>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</si>
  <si>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</si>
  <si>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</si>
  <si>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</si>
  <si>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</si>
  <si>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</si>
  <si>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</si>
  <si>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</si>
  <si>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</si>
  <si>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</si>
  <si>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</si>
  <si>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</si>
  <si>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</si>
  <si>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</si>
  <si>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</si>
  <si>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</si>
  <si>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</si>
  <si>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</si>
  <si>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</si>
  <si>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</si>
  <si>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</si>
  <si>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</si>
  <si>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</si>
  <si>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</si>
  <si>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</si>
  <si>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</si>
  <si>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</si>
  <si>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</si>
  <si>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</si>
  <si>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</si>
  <si>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</si>
  <si>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</si>
  <si>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</si>
  <si>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</si>
  <si>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</si>
  <si>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</si>
  <si>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</si>
  <si>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</si>
  <si>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</si>
  <si>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</si>
  <si>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</si>
  <si>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</si>
  <si>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</si>
  <si>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</si>
  <si>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</si>
  <si>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</si>
  <si>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</si>
  <si>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</si>
  <si>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</si>
  <si>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</si>
  <si>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</si>
  <si>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</si>
  <si>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</si>
  <si>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</si>
  <si>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</si>
  <si>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</si>
  <si>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</si>
  <si>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</si>
  <si>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</si>
  <si>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</si>
  <si>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</si>
  <si>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</si>
  <si>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</si>
  <si>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</si>
  <si>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</si>
  <si>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</si>
  <si>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</si>
  <si>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</si>
  <si>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</si>
  <si>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</si>
  <si>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</si>
  <si>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</si>
  <si>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</si>
  <si>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</si>
  <si>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</si>
  <si>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</si>
  <si>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</si>
  <si>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</si>
  <si>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</si>
  <si>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</si>
  <si>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</si>
  <si>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</si>
  <si>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</si>
  <si>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</si>
  <si>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</si>
  <si>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</si>
  <si>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</si>
  <si>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</si>
  <si>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</si>
  <si>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</si>
  <si>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</si>
  <si>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</si>
  <si>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</si>
  <si>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</si>
  <si>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</si>
  <si>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</si>
  <si>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</si>
  <si>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</si>
  <si>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</si>
  <si>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</si>
  <si>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</si>
  <si>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</si>
  <si>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</si>
  <si>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</si>
  <si>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</si>
  <si>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</si>
  <si>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</si>
  <si>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</si>
  <si>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</si>
  <si>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</si>
  <si>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</si>
  <si>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</si>
  <si>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</si>
  <si>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</si>
  <si>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</si>
  <si>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</si>
  <si>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</si>
  <si>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</si>
  <si>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</si>
  <si>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</si>
  <si>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</si>
  <si>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</si>
  <si>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</si>
  <si>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</si>
  <si>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</si>
  <si>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</si>
  <si>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</si>
  <si>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</si>
  <si>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</si>
  <si>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</si>
  <si>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</si>
  <si>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</si>
  <si>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</si>
  <si>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</si>
  <si>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</si>
  <si>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</si>
  <si>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</si>
  <si>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</si>
  <si>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</si>
  <si>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</si>
  <si>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</si>
  <si>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</si>
  <si>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</si>
  <si>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</si>
  <si>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</si>
  <si>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</si>
  <si>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</si>
  <si>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</si>
  <si>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</si>
  <si>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</si>
  <si>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</si>
  <si>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</si>
  <si>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</si>
  <si>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</si>
  <si>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</si>
  <si>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</si>
  <si>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</si>
  <si>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</si>
  <si>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</si>
  <si>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</si>
  <si>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</si>
  <si>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</si>
  <si>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</si>
  <si>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</si>
  <si>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</si>
  <si>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</si>
  <si>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</si>
  <si>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</si>
  <si>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</si>
  <si>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</si>
  <si>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</si>
  <si>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</si>
  <si>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</si>
  <si>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</si>
  <si>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</si>
  <si>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</si>
  <si>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</si>
  <si>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</si>
  <si>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</si>
  <si>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</si>
  <si>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</si>
  <si>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</si>
  <si>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</si>
  <si>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</si>
  <si>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</si>
  <si>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</si>
  <si>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</si>
  <si>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</si>
  <si>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</si>
  <si>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</si>
  <si>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</si>
  <si>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</si>
  <si>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</si>
  <si>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</si>
  <si>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</si>
  <si>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</si>
  <si>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</si>
  <si>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</si>
  <si>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</si>
  <si>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</si>
  <si>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</si>
  <si>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</si>
  <si>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</si>
  <si>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</si>
  <si>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</si>
  <si>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</si>
  <si>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</si>
  <si>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</si>
  <si>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</si>
  <si>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</si>
  <si>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</si>
  <si>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</si>
  <si>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</si>
  <si>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</si>
  <si>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</si>
  <si>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</si>
  <si>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</si>
  <si>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</si>
  <si>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</si>
  <si>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</si>
  <si>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</si>
  <si>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</si>
  <si>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</si>
  <si>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</si>
  <si>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</si>
  <si>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</si>
  <si>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</si>
  <si>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</si>
  <si>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</si>
  <si>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</si>
  <si>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</si>
  <si>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</si>
  <si>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</si>
  <si>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</si>
  <si>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</si>
  <si>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</si>
  <si>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</si>
  <si>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</si>
  <si>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</si>
  <si>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</si>
  <si>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</si>
  <si>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</si>
  <si>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</si>
  <si>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</si>
  <si>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</si>
  <si>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</si>
  <si>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</si>
  <si>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</si>
  <si>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</si>
  <si>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</si>
  <si>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</si>
  <si>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</si>
  <si>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</si>
  <si>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</si>
  <si>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</si>
  <si>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</si>
  <si>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</si>
  <si>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</si>
  <si>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</si>
  <si>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</si>
  <si>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</si>
  <si>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</si>
  <si>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</si>
  <si>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</si>
  <si>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</si>
  <si>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</si>
  <si>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</si>
  <si>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</si>
  <si>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</si>
  <si>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</si>
  <si>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</si>
  <si>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</si>
  <si>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</si>
  <si>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</si>
  <si>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</si>
  <si>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</si>
  <si>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</si>
  <si>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</si>
  <si>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</si>
  <si>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</si>
  <si>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</si>
  <si>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</si>
  <si>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</si>
  <si>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</si>
  <si>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</si>
  <si>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</si>
  <si>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</si>
  <si>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</si>
  <si>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</si>
  <si>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</si>
  <si>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</si>
  <si>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</si>
  <si>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</si>
  <si>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</si>
  <si>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</si>
  <si>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</si>
  <si>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</si>
  <si>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</si>
  <si>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</si>
  <si>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</si>
  <si>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</si>
  <si>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</si>
  <si>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</si>
  <si>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</si>
  <si>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</si>
  <si>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</si>
  <si>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</si>
  <si>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</si>
  <si>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</si>
  <si>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</si>
  <si>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</si>
  <si>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</si>
  <si>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</si>
  <si>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</si>
  <si>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</si>
  <si>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</si>
  <si>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</si>
  <si>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</si>
  <si>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</si>
  <si>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</si>
  <si>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</si>
  <si>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</si>
  <si>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</si>
  <si>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</si>
  <si>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</si>
  <si>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</si>
  <si>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</si>
  <si>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</si>
  <si>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</si>
  <si>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</si>
  <si>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</si>
  <si>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</si>
  <si>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</si>
  <si>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</si>
  <si>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</si>
  <si>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</si>
  <si>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</si>
  <si>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</si>
  <si>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</si>
  <si>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</si>
  <si>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</si>
  <si>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</si>
  <si>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</si>
  <si>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</si>
  <si>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</si>
  <si>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</si>
  <si>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</si>
  <si>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</si>
  <si>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</si>
  <si>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</si>
  <si>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</si>
  <si>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</si>
  <si>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</si>
  <si>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</si>
  <si>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</si>
  <si>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</si>
  <si>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</si>
  <si>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</si>
  <si>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</si>
  <si>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</si>
  <si>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</si>
  <si>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</si>
  <si>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</si>
  <si>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</si>
  <si>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</si>
  <si>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</si>
  <si>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</si>
  <si>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</si>
  <si>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</si>
  <si>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</si>
  <si>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</si>
  <si>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</si>
  <si>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</si>
  <si>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</si>
  <si>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</si>
  <si>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</si>
  <si>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</si>
  <si>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</si>
  <si>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</si>
  <si>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</si>
  <si>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</si>
  <si>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</si>
  <si>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</si>
  <si>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</si>
  <si>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</si>
  <si>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</si>
  <si>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</si>
  <si>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</si>
  <si>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</si>
  <si>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</si>
  <si>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</si>
  <si>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</si>
  <si>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</si>
  <si>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</si>
  <si>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</si>
  <si>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</si>
  <si>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</si>
  <si>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</si>
  <si>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</si>
  <si>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</si>
  <si>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</si>
  <si>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</si>
  <si>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</si>
  <si>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</si>
  <si>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</si>
  <si>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</si>
  <si>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</si>
  <si>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</si>
  <si>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</si>
  <si>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</si>
  <si>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</si>
  <si>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</si>
  <si>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</si>
  <si>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</si>
  <si>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</si>
  <si>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</si>
  <si>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</si>
  <si>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</si>
  <si>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</si>
  <si>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</si>
  <si>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</si>
  <si>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</si>
  <si>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</si>
  <si>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</si>
  <si>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</si>
  <si>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</si>
  <si>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</si>
  <si>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</si>
  <si>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</si>
  <si>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</si>
  <si>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</si>
  <si>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</si>
  <si>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</si>
  <si>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</si>
  <si>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</si>
  <si>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</si>
  <si>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4"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</si>
  <si>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</si>
  <si>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</si>
  <si>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</si>
  <si>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</si>
  <si>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</si>
  <si>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</si>
  <si>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</si>
  <si>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</si>
  <si>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</si>
  <si>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</si>
  <si>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</si>
  <si>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</si>
  <si>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</si>
  <si>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</si>
  <si>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</si>
  <si>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</si>
  <si>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</si>
  <si>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</si>
  <si>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</si>
  <si>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</si>
  <si>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</si>
  <si>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</si>
  <si>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</si>
  <si>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</si>
  <si>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</si>
  <si>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</si>
  <si>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</si>
  <si>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</si>
  <si>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</si>
  <si>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</si>
  <si>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</si>
  <si>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</si>
  <si>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</si>
  <si>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</si>
  <si>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</si>
  <si>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</si>
  <si>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</si>
  <si>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</si>
  <si>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</si>
  <si>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</si>
  <si>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</si>
  <si>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</si>
  <si>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</si>
  <si>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</si>
  <si>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</si>
  <si>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</si>
  <si>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</si>
  <si>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</si>
  <si>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</si>
  <si>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</si>
  <si>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</si>
  <si>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</si>
  <si>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</si>
  <si>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</si>
  <si>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</si>
  <si>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</si>
  <si>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</si>
  <si>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</si>
  <si>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</si>
  <si>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</si>
  <si>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</si>
  <si>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</si>
  <si>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</si>
  <si>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</si>
  <si>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</si>
  <si>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</si>
  <si>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</si>
  <si>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</si>
  <si>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</si>
  <si>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</si>
  <si>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</si>
  <si>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</si>
  <si>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</si>
  <si>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</si>
  <si>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</si>
  <si>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</si>
  <si>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</si>
  <si>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</si>
  <si>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</si>
  <si>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</si>
  <si>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</si>
  <si>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</si>
  <si>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</si>
  <si>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</si>
  <si>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</si>
  <si>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</si>
  <si>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</si>
  <si>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</si>
  <si>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</si>
  <si>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</si>
  <si>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</si>
  <si>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</si>
  <si>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</si>
  <si>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</si>
  <si>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</si>
  <si>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</si>
  <si>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</si>
  <si>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</si>
  <si>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</si>
  <si>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</si>
  <si>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</si>
  <si>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</si>
  <si>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</si>
  <si>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</si>
  <si>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</si>
  <si>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</si>
  <si>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</si>
  <si>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</si>
  <si>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</si>
  <si>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</si>
  <si>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</si>
  <si>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</si>
  <si>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</si>
  <si>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</si>
  <si>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</si>
  <si>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</si>
  <si>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</si>
  <si>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</si>
  <si>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</si>
  <si>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</si>
  <si>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</si>
  <si>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</si>
  <si>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</si>
  <si>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</si>
  <si>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</si>
  <si>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</si>
  <si>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</si>
  <si>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</si>
  <si>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</si>
  <si>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</si>
  <si>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</si>
  <si>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</si>
  <si>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</si>
  <si>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</si>
  <si>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</si>
  <si>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</si>
  <si>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</si>
  <si>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</si>
  <si>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</si>
  <si>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</si>
  <si>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</si>
  <si>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</si>
  <si>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</si>
  <si>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</si>
  <si>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</si>
  <si>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</si>
  <si>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</si>
  <si>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</si>
  <si>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</si>
  <si>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</si>
  <si>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</si>
  <si>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</si>
  <si>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</si>
  <si>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</si>
  <si>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</si>
  <si>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</si>
  <si>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</si>
  <si>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</si>
  <si>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</si>
  <si>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</si>
  <si>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</si>
  <si>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</si>
  <si>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</si>
  <si>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</si>
  <si>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</si>
  <si>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</si>
  <si>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</si>
  <si>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</si>
  <si>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</si>
  <si>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</si>
  <si>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</si>
  <si>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</si>
  <si>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</si>
  <si>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</si>
  <si>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</si>
  <si>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</si>
  <si>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</si>
  <si>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</si>
  <si>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</si>
  <si>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</si>
  <si>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</si>
  <si>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</si>
  <si>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</si>
  <si>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</si>
  <si>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</si>
  <si>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</si>
  <si>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</si>
  <si>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</si>
  <si>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</si>
  <si>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</si>
  <si>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</si>
  <si>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</si>
  <si>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</si>
  <si>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</si>
  <si>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</si>
  <si>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</si>
  <si>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</si>
  <si>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</si>
  <si>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</si>
  <si>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</si>
  <si>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</si>
  <si>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</si>
  <si>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</si>
  <si>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</si>
  <si>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</si>
  <si>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</si>
  <si>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</si>
  <si>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</si>
  <si>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</si>
  <si>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</si>
  <si>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</si>
  <si>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</si>
  <si>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</si>
  <si>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</si>
  <si>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</si>
  <si>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</si>
  <si>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</si>
  <si>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</si>
  <si>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</si>
  <si>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</si>
  <si>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</si>
  <si>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</si>
  <si>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</si>
  <si>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</si>
  <si>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</si>
  <si>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</si>
  <si>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</si>
  <si>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</si>
  <si>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</si>
  <si>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</si>
  <si>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</si>
  <si>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</si>
  <si>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</si>
  <si>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</si>
  <si>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</si>
  <si>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</si>
  <si>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</si>
  <si>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</si>
  <si>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</si>
  <si>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</si>
  <si>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</si>
  <si>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</si>
  <si>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</si>
  <si>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</si>
  <si>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</si>
  <si>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</si>
  <si>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</si>
  <si>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</si>
  <si>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</si>
  <si>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</si>
  <si>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</si>
  <si>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</si>
  <si>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</si>
  <si>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</si>
  <si>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</si>
  <si>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</si>
  <si>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</si>
  <si>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</si>
  <si>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</si>
  <si>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</si>
  <si>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</si>
  <si>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</si>
  <si>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</si>
  <si>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</si>
  <si>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</si>
  <si>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</si>
  <si>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</si>
  <si>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</si>
  <si>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</si>
  <si>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</si>
  <si>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</si>
  <si>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</si>
  <si>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</si>
  <si>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</si>
  <si>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</si>
  <si>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</si>
  <si>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</si>
  <si>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</si>
  <si>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</si>
  <si>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</si>
  <si>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</si>
  <si>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</si>
  <si>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</si>
  <si>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</si>
  <si>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</si>
  <si>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</si>
  <si>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</si>
  <si>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</si>
  <si>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</si>
  <si>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</si>
  <si>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</si>
  <si>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</si>
  <si>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</si>
  <si>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</si>
  <si>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</si>
  <si>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</si>
  <si>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</si>
  <si>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</si>
  <si>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</si>
  <si>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</si>
  <si>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</si>
  <si>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</si>
  <si>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</si>
  <si>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</si>
  <si>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</si>
  <si>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</si>
  <si>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</si>
  <si>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</si>
  <si>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</si>
  <si>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</si>
  <si>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</si>
  <si>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</si>
  <si>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</si>
  <si>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</si>
  <si>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</si>
  <si>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</si>
  <si>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</si>
  <si>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</si>
  <si>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</si>
  <si>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</si>
  <si>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</si>
  <si>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</si>
  <si>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</si>
  <si>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</si>
  <si>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</si>
  <si>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</si>
  <si>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</si>
  <si>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</si>
  <si>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</si>
  <si>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</si>
  <si>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</si>
  <si>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</si>
  <si>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</si>
  <si>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</si>
  <si>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</si>
  <si>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</si>
  <si>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</si>
  <si>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</si>
  <si>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</si>
  <si>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</si>
  <si>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</si>
  <si>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</si>
  <si>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</si>
  <si>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</si>
  <si>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</si>
  <si>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</si>
  <si>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</si>
  <si>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</si>
  <si>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</si>
  <si>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</si>
  <si>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</si>
  <si>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</si>
  <si>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</si>
  <si>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</si>
  <si>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</si>
  <si>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</si>
  <si>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</si>
  <si>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</si>
  <si>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</si>
  <si>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</si>
  <si>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</si>
  <si>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</si>
  <si>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</si>
  <si>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</si>
  <si>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</si>
  <si>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</si>
  <si>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</si>
  <si>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</si>
  <si>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</si>
  <si>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</si>
  <si>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</si>
  <si>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</si>
  <si>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</si>
  <si>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</si>
  <si>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</si>
  <si>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</si>
  <si>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</si>
  <si>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</si>
  <si>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</si>
  <si>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</si>
  <si>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</si>
  <si>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</si>
  <si>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</si>
  <si>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</si>
  <si>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</si>
  <si>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</si>
  <si>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</si>
  <si>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</si>
  <si>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</si>
  <si>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</si>
  <si>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</si>
  <si>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</si>
  <si>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</si>
  <si>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</si>
  <si>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</si>
  <si>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</si>
  <si>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</si>
  <si>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</si>
  <si>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</si>
  <si>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</si>
  <si>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</si>
  <si>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</si>
  <si>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</si>
  <si>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</si>
  <si>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</si>
  <si>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</si>
  <si>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</si>
  <si>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</si>
  <si>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</si>
  <si>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</si>
  <si>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</si>
  <si>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</si>
  <si>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</si>
  <si>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</si>
  <si>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</si>
  <si>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</si>
  <si>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</si>
  <si>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</si>
  <si>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</si>
  <si>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</si>
  <si>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</si>
  <si>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</si>
  <si>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</si>
  <si>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</si>
  <si>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</si>
  <si>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</si>
  <si>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</si>
  <si>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</si>
  <si>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</si>
  <si>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</si>
  <si>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</si>
  <si>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</si>
  <si>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</si>
  <si>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</si>
  <si>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</si>
  <si>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</si>
  <si>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</si>
  <si>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</si>
  <si>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</si>
  <si>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</si>
  <si>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</si>
  <si>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</si>
  <si>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</si>
  <si>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5" type="noConversion"/>
  </si>
  <si>
    <r>
      <rPr>
        <sz val="12"/>
        <color indexed="8"/>
        <rFont val="宋体"/>
        <family val="3"/>
        <charset val="134"/>
      </rPr>
      <t>价值时点</t>
    </r>
    <phoneticPr fontId="85" type="noConversion"/>
  </si>
  <si>
    <r>
      <rPr>
        <sz val="12"/>
        <color indexed="8"/>
        <rFont val="宋体"/>
        <family val="3"/>
        <charset val="134"/>
      </rPr>
      <t>签字估价师</t>
    </r>
    <phoneticPr fontId="85" type="noConversion"/>
  </si>
  <si>
    <r>
      <rPr>
        <sz val="12"/>
        <color indexed="8"/>
        <rFont val="宋体"/>
        <family val="3"/>
        <charset val="134"/>
      </rPr>
      <t>估价委托人</t>
    </r>
    <r>
      <rPr>
        <sz val="12"/>
        <color indexed="8"/>
        <rFont val="Arial"/>
        <family val="2"/>
      </rPr>
      <t xml:space="preserve">  </t>
    </r>
    <phoneticPr fontId="83"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</si>
  <si>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3" type="noConversion"/>
  </si>
  <si>
    <r>
      <rPr>
        <sz val="12"/>
        <color indexed="8"/>
        <rFont val="宋体"/>
        <family val="3"/>
        <charset val="134"/>
      </rPr>
      <t>借款方</t>
    </r>
    <phoneticPr fontId="6" type="noConversion"/>
  </si>
  <si>
    <r>
      <rPr>
        <sz val="12"/>
        <color indexed="8"/>
        <rFont val="宋体"/>
        <family val="3"/>
        <charset val="134"/>
      </rPr>
      <t>估价目的</t>
    </r>
    <phoneticPr fontId="83" type="noConversion"/>
  </si>
  <si>
    <r>
      <rPr>
        <sz val="12"/>
        <color indexed="8"/>
        <rFont val="宋体"/>
        <family val="3"/>
        <charset val="134"/>
      </rPr>
      <t>抵押结果包含：</t>
    </r>
    <phoneticPr fontId="85" type="noConversion"/>
  </si>
  <si>
    <r>
      <rPr>
        <sz val="12"/>
        <color indexed="8"/>
        <rFont val="宋体"/>
        <family val="3"/>
        <charset val="134"/>
      </rPr>
      <t>价值类型</t>
    </r>
    <phoneticPr fontId="83" type="noConversion"/>
  </si>
  <si>
    <r>
      <rPr>
        <sz val="12"/>
        <color indexed="8"/>
        <rFont val="宋体"/>
        <family val="3"/>
        <charset val="134"/>
      </rPr>
      <t>项目所在城市</t>
    </r>
    <phoneticPr fontId="6" type="noConversion"/>
  </si>
  <si>
    <r>
      <rPr>
        <sz val="12"/>
        <color indexed="8"/>
        <rFont val="宋体"/>
        <family val="3"/>
        <charset val="134"/>
      </rPr>
      <t>坐落</t>
    </r>
    <phoneticPr fontId="83" type="noConversion"/>
  </si>
  <si>
    <r>
      <rPr>
        <sz val="12"/>
        <color indexed="8"/>
        <rFont val="宋体"/>
        <family val="3"/>
        <charset val="134"/>
      </rPr>
      <t>不动产权利人</t>
    </r>
    <phoneticPr fontId="6" type="noConversion"/>
  </si>
  <si>
    <r>
      <rPr>
        <sz val="12"/>
        <color indexed="8"/>
        <rFont val="宋体"/>
        <family val="3"/>
        <charset val="134"/>
      </rPr>
      <t>土地性质</t>
    </r>
    <phoneticPr fontId="83"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</si>
  <si>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</si>
  <si>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</si>
  <si>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</si>
  <si>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</si>
  <si>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</si>
  <si>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</si>
  <si>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</si>
  <si>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</si>
  <si>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</si>
  <si>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</si>
  <si>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3" type="noConversion"/>
  </si>
  <si>
    <r>
      <rPr>
        <sz val="12"/>
        <color indexed="8"/>
        <rFont val="宋体"/>
        <family val="3"/>
        <charset val="134"/>
      </rPr>
      <t>剩余土地年限</t>
    </r>
    <phoneticPr fontId="6" type="noConversion"/>
  </si>
  <si>
    <r>
      <rPr>
        <sz val="12"/>
        <color indexed="8"/>
        <rFont val="宋体"/>
        <family val="3"/>
        <charset val="134"/>
      </rPr>
      <t>面积指标</t>
    </r>
    <phoneticPr fontId="83" type="noConversion"/>
  </si>
  <si>
    <r>
      <rPr>
        <sz val="12"/>
        <color indexed="8"/>
        <rFont val="宋体"/>
        <family val="3"/>
        <charset val="134"/>
      </rPr>
      <t>建筑面积</t>
    </r>
    <phoneticPr fontId="83" type="noConversion"/>
  </si>
  <si>
    <r>
      <rPr>
        <sz val="12"/>
        <color indexed="8"/>
        <rFont val="宋体"/>
        <family val="3"/>
        <charset val="134"/>
      </rPr>
      <t>面积依据</t>
    </r>
    <phoneticPr fontId="8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</si>
  <si>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</si>
  <si>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</si>
  <si>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3"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</si>
  <si>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</si>
  <si>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5"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</si>
  <si>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</si>
  <si>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</si>
  <si>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</si>
  <si>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</si>
  <si>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</si>
  <si>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其他资料</t>
    </r>
    <phoneticPr fontId="85" type="noConversion"/>
  </si>
  <si>
    <r>
      <rPr>
        <sz val="10"/>
        <color indexed="8"/>
        <rFont val="宋体"/>
        <family val="3"/>
        <charset val="134"/>
      </rPr>
      <t>抵押情况描述</t>
    </r>
    <phoneticPr fontId="85"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</si>
  <si>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</si>
  <si>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</si>
  <si>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5"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</si>
  <si>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</si>
  <si>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</si>
  <si>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</si>
  <si>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</si>
  <si>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</si>
  <si>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</si>
  <si>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</si>
  <si>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sz val="10"/>
        <color indexed="8"/>
        <rFont val="宋体"/>
        <family val="3"/>
        <charset val="134"/>
      </rPr>
      <t>权利价值</t>
    </r>
    <phoneticPr fontId="85"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</si>
  <si>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</si>
  <si>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</si>
  <si>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</si>
  <si>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</si>
  <si>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</si>
  <si>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</si>
  <si>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</si>
  <si>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0" type="noConversion"/>
  </si>
  <si>
    <r>
      <rPr>
        <sz val="11"/>
        <color indexed="8"/>
        <rFont val="宋体"/>
        <family val="3"/>
        <charset val="134"/>
      </rPr>
      <t>二通</t>
    </r>
    <phoneticPr fontId="90" type="noConversion"/>
  </si>
  <si>
    <r>
      <rPr>
        <sz val="11"/>
        <color indexed="8"/>
        <rFont val="宋体"/>
        <family val="3"/>
        <charset val="134"/>
      </rPr>
      <t>三通</t>
    </r>
    <phoneticPr fontId="90" type="noConversion"/>
  </si>
  <si>
    <r>
      <rPr>
        <sz val="11"/>
        <color indexed="8"/>
        <rFont val="宋体"/>
        <family val="3"/>
        <charset val="134"/>
      </rPr>
      <t>四通</t>
    </r>
    <phoneticPr fontId="90" type="noConversion"/>
  </si>
  <si>
    <r>
      <rPr>
        <sz val="11"/>
        <color indexed="8"/>
        <rFont val="宋体"/>
        <family val="3"/>
        <charset val="134"/>
      </rPr>
      <t>五通</t>
    </r>
    <phoneticPr fontId="90" type="noConversion"/>
  </si>
  <si>
    <r>
      <rPr>
        <sz val="11"/>
        <color indexed="8"/>
        <rFont val="宋体"/>
        <family val="3"/>
        <charset val="134"/>
      </rPr>
      <t>六通</t>
    </r>
    <phoneticPr fontId="90" type="noConversion"/>
  </si>
  <si>
    <r>
      <rPr>
        <sz val="11"/>
        <color indexed="8"/>
        <rFont val="宋体"/>
        <family val="3"/>
        <charset val="134"/>
      </rPr>
      <t>七通</t>
    </r>
    <phoneticPr fontId="90" type="noConversion"/>
  </si>
  <si>
    <r>
      <rPr>
        <sz val="11"/>
        <color indexed="8"/>
        <rFont val="宋体"/>
        <family val="3"/>
        <charset val="134"/>
      </rPr>
      <t>估价对象</t>
    </r>
    <phoneticPr fontId="90"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</si>
  <si>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</si>
  <si>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</si>
  <si>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</si>
  <si>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</si>
  <si>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</si>
  <si>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</si>
  <si>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</si>
  <si>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</si>
  <si>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</si>
  <si>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</si>
  <si>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</si>
  <si>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</si>
  <si>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</si>
  <si>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</si>
  <si>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</si>
  <si>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</si>
  <si>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</si>
  <si>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</si>
  <si>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</si>
  <si>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</si>
  <si>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</si>
  <si>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</si>
  <si>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</si>
  <si>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</si>
  <si>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</si>
  <si>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</si>
  <si>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</si>
  <si>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</si>
  <si>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</si>
  <si>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</si>
  <si>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</si>
  <si>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</si>
  <si>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</si>
  <si>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</si>
  <si>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</si>
  <si>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</si>
  <si>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</si>
  <si>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</si>
  <si>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</si>
  <si>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</si>
  <si>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</si>
  <si>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</si>
  <si>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</si>
  <si>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</si>
  <si>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</si>
  <si>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</si>
  <si>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</si>
  <si>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</si>
  <si>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</si>
  <si>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</si>
  <si>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</si>
  <si>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</si>
  <si>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</si>
  <si>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</si>
  <si>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</si>
  <si>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</si>
  <si>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</si>
  <si>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</si>
  <si>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</si>
  <si>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</si>
  <si>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</si>
  <si>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</si>
  <si>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</si>
  <si>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</si>
  <si>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</si>
  <si>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</si>
  <si>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</si>
  <si>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</si>
  <si>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</si>
  <si>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</si>
  <si>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</si>
  <si>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</si>
  <si>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</si>
  <si>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</si>
  <si>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</si>
  <si>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</si>
  <si>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</si>
  <si>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</si>
  <si>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</si>
  <si>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</si>
  <si>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</si>
  <si>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</si>
  <si>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</si>
  <si>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</si>
  <si>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</si>
  <si>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</si>
  <si>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</si>
  <si>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</si>
  <si>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</si>
  <si>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</si>
  <si>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</si>
  <si>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</si>
  <si>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</si>
  <si>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</si>
  <si>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</si>
  <si>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</si>
  <si>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</si>
  <si>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</si>
  <si>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</si>
  <si>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</si>
  <si>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</si>
  <si>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</si>
  <si>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</si>
  <si>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</si>
  <si>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</si>
  <si>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</si>
  <si>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</si>
  <si>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</si>
  <si>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</si>
  <si>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</si>
  <si>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</si>
  <si>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</si>
  <si>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</si>
  <si>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</si>
  <si>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</si>
  <si>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</si>
  <si>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</si>
  <si>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</si>
  <si>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</si>
  <si>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</si>
  <si>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</si>
  <si>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</si>
  <si>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</si>
  <si>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</si>
  <si>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</si>
  <si>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</si>
  <si>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</si>
  <si>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</si>
  <si>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</si>
  <si>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</si>
  <si>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</si>
  <si>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</si>
  <si>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</si>
  <si>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</si>
  <si>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</si>
  <si>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</si>
  <si>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</si>
  <si>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</si>
  <si>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</si>
  <si>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</si>
  <si>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</si>
  <si>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</si>
  <si>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</si>
  <si>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</si>
  <si>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</si>
  <si>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</si>
  <si>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</si>
  <si>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</si>
  <si>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</si>
  <si>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</si>
  <si>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</si>
  <si>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</si>
  <si>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</si>
  <si>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</si>
  <si>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</si>
  <si>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</si>
  <si>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</si>
  <si>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</si>
  <si>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</si>
  <si>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</si>
  <si>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</si>
  <si>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</si>
  <si>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</si>
  <si>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</si>
  <si>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</si>
  <si>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</si>
  <si>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</si>
  <si>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</si>
  <si>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</si>
  <si>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</si>
  <si>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</si>
  <si>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</si>
  <si>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</si>
  <si>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</si>
  <si>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</si>
  <si>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</si>
  <si>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</si>
  <si>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</si>
  <si>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</si>
  <si>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</si>
  <si>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</si>
  <si>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</si>
  <si>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</si>
  <si>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</si>
  <si>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</si>
  <si>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</si>
  <si>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</si>
  <si>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</si>
  <si>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</si>
  <si>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</si>
  <si>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</si>
  <si>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</si>
  <si>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</si>
  <si>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</si>
  <si>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</si>
  <si>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</si>
  <si>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</si>
  <si>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</si>
  <si>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</si>
  <si>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</si>
  <si>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</si>
  <si>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</si>
  <si>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</si>
  <si>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</si>
  <si>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</si>
  <si>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</si>
  <si>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</si>
  <si>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</si>
  <si>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</si>
  <si>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</si>
  <si>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</si>
  <si>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</si>
  <si>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</si>
  <si>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</si>
  <si>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</si>
  <si>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</si>
  <si>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</si>
  <si>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</si>
  <si>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</si>
  <si>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</si>
  <si>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</si>
  <si>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</si>
  <si>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</si>
  <si>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</si>
  <si>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</si>
  <si>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</si>
  <si>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</si>
  <si>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</si>
  <si>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</si>
  <si>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</si>
  <si>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</si>
  <si>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</si>
  <si>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</si>
  <si>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</si>
  <si>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</si>
  <si>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</si>
  <si>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</si>
  <si>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</si>
  <si>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</si>
  <si>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</si>
  <si>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</si>
  <si>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</si>
  <si>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</si>
  <si>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</si>
  <si>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</si>
  <si>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</si>
  <si>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</si>
  <si>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</si>
  <si>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</si>
  <si>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</si>
  <si>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</si>
  <si>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4"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</si>
  <si>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</si>
  <si>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</si>
  <si>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</si>
  <si>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4"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</si>
  <si>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</si>
  <si>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</si>
  <si>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</si>
  <si>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</si>
  <si>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</si>
  <si>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</si>
  <si>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</si>
  <si>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</si>
  <si>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</si>
  <si>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</si>
  <si>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</si>
  <si>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</si>
  <si>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</si>
  <si>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</si>
  <si>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</si>
  <si>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</si>
  <si>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</si>
  <si>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</si>
  <si>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</si>
  <si>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</si>
  <si>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</si>
  <si>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</si>
  <si>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</si>
  <si>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</si>
  <si>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</si>
  <si>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</si>
  <si>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</si>
  <si>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</si>
  <si>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</si>
  <si>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</si>
  <si>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</si>
  <si>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</si>
  <si>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</si>
  <si>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</si>
  <si>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</si>
  <si>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</si>
  <si>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</si>
  <si>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</si>
  <si>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</si>
  <si>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</si>
  <si>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</si>
  <si>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</si>
  <si>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</si>
  <si>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</si>
  <si>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</si>
  <si>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</si>
  <si>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</si>
  <si>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</si>
  <si>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</si>
  <si>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</si>
  <si>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</si>
  <si>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</si>
  <si>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</si>
  <si>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</si>
  <si>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</si>
  <si>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</si>
  <si>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</si>
  <si>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</si>
  <si>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</si>
  <si>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</si>
  <si>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</si>
  <si>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</si>
  <si>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</si>
  <si>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</si>
  <si>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</si>
  <si>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</si>
  <si>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</si>
  <si>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</si>
  <si>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</si>
  <si>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</si>
  <si>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</si>
  <si>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8" type="noConversion"/>
  </si>
  <si>
    <r>
      <rPr>
        <sz val="10"/>
        <color indexed="8"/>
        <rFont val="宋体"/>
        <family val="3"/>
        <charset val="134"/>
      </rPr>
      <t>土地价值</t>
    </r>
    <phoneticPr fontId="90" type="noConversion"/>
  </si>
  <si>
    <r>
      <rPr>
        <sz val="11"/>
        <color indexed="8"/>
        <rFont val="宋体"/>
        <family val="3"/>
        <charset val="134"/>
      </rPr>
      <t>建筑物价值</t>
    </r>
    <phoneticPr fontId="8"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</si>
  <si>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</si>
  <si>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</si>
  <si>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</si>
  <si>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</si>
  <si>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</si>
  <si>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</si>
  <si>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</si>
  <si>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</si>
  <si>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</si>
  <si>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</si>
  <si>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</si>
  <si>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</si>
  <si>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</si>
  <si>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</si>
  <si>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</si>
  <si>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</si>
  <si>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</si>
  <si>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</si>
  <si>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</si>
  <si>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</si>
  <si>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</si>
  <si>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</si>
  <si>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</si>
  <si>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</si>
  <si>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</si>
  <si>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</si>
  <si>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</si>
  <si>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</si>
  <si>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</si>
  <si>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</si>
  <si>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</si>
  <si>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</si>
  <si>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</si>
  <si>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</si>
  <si>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</si>
  <si>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</si>
  <si>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</si>
  <si>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</si>
  <si>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</si>
  <si>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</si>
  <si>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</si>
  <si>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</si>
  <si>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</si>
  <si>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</si>
  <si>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</si>
  <si>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</si>
  <si>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</si>
  <si>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</si>
  <si>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</si>
  <si>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</si>
  <si>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</si>
  <si>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</si>
  <si>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</si>
  <si>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</si>
  <si>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</si>
  <si>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</si>
  <si>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</si>
  <si>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</si>
  <si>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</si>
  <si>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</si>
  <si>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</si>
  <si>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</si>
  <si>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</si>
  <si>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</si>
  <si>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</si>
  <si>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</si>
  <si>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</si>
  <si>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</si>
  <si>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</si>
  <si>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</si>
  <si>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</si>
  <si>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</si>
  <si>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</si>
  <si>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</si>
  <si>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</si>
  <si>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</si>
  <si>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</si>
  <si>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</si>
  <si>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</si>
  <si>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</si>
  <si>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</si>
  <si>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</si>
  <si>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</si>
  <si>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</si>
  <si>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</si>
  <si>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</si>
  <si>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</si>
  <si>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</si>
  <si>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</si>
  <si>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</si>
  <si>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</si>
  <si>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</si>
  <si>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</si>
  <si>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</si>
  <si>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买卖合同</t>
    </r>
  </si>
  <si>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</si>
  <si>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</si>
  <si>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</si>
  <si>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</si>
  <si>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</si>
  <si>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</si>
  <si>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</si>
  <si>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</si>
  <si>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</si>
  <si>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</si>
  <si>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</si>
  <si>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</si>
  <si>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</si>
  <si>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</si>
  <si>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</si>
  <si>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</si>
  <si>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</si>
  <si>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</si>
  <si>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</si>
  <si>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</si>
  <si>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</si>
  <si>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</si>
  <si>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</si>
  <si>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</si>
  <si>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</si>
  <si>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</si>
  <si>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</si>
  <si>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</si>
  <si>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</si>
  <si>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</si>
  <si>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</si>
  <si>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</si>
  <si>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</si>
  <si>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</si>
  <si>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</si>
  <si>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</si>
  <si>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</si>
  <si>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</si>
  <si>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</si>
  <si>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</si>
  <si>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</si>
  <si>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</si>
  <si>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</si>
  <si>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</si>
  <si>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</si>
  <si>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</si>
  <si>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</si>
  <si>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</si>
  <si>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</si>
  <si>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</si>
  <si>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</si>
  <si>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</si>
  <si>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</si>
  <si>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</si>
  <si>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</si>
  <si>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</si>
  <si>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</si>
  <si>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</si>
  <si>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</si>
  <si>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</si>
  <si>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</si>
  <si>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</si>
  <si>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</si>
  <si>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</si>
  <si>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</si>
  <si>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</si>
  <si>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</si>
  <si>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</si>
  <si>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</si>
  <si>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</si>
  <si>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</si>
  <si>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</si>
  <si>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</si>
  <si>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</si>
  <si>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</si>
  <si>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</si>
  <si>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</si>
  <si>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</si>
  <si>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</si>
  <si>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</si>
  <si>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</si>
  <si>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</si>
  <si>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</si>
  <si>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</si>
  <si>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</si>
  <si>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</si>
  <si>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</si>
  <si>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</si>
  <si>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</si>
  <si>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</si>
  <si>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</si>
  <si>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</si>
  <si>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</si>
  <si>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</si>
  <si>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</si>
  <si>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</si>
  <si>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</si>
  <si>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</si>
  <si>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</si>
  <si>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</si>
  <si>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</si>
  <si>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</si>
  <si>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</si>
  <si>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</si>
  <si>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</si>
  <si>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</si>
  <si>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</si>
  <si>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</si>
  <si>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</si>
  <si>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</si>
  <si>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</si>
  <si>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</si>
  <si>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</si>
  <si>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</si>
  <si>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</si>
  <si>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</si>
  <si>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</si>
  <si>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</si>
  <si>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</si>
  <si>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</si>
  <si>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</si>
  <si>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</si>
  <si>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</si>
  <si>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</si>
  <si>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</si>
  <si>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</si>
  <si>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</si>
  <si>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</si>
  <si>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</si>
  <si>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</si>
  <si>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</si>
  <si>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</si>
  <si>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</si>
  <si>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</si>
  <si>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</si>
  <si>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</si>
  <si>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</si>
  <si>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</si>
  <si>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</si>
  <si>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</si>
  <si>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</si>
  <si>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</si>
  <si>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</si>
  <si>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</si>
  <si>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</si>
  <si>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</si>
  <si>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</si>
  <si>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</si>
  <si>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</si>
  <si>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</si>
  <si>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</si>
  <si>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</si>
  <si>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</si>
  <si>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</si>
  <si>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</si>
  <si>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</si>
  <si>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</si>
  <si>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</si>
  <si>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</si>
  <si>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</si>
  <si>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</si>
  <si>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</si>
  <si>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</si>
  <si>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</si>
  <si>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</si>
  <si>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</si>
  <si>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</si>
  <si>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</si>
  <si>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</si>
  <si>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</si>
  <si>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</si>
  <si>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</si>
  <si>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</si>
  <si>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</si>
  <si>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</si>
  <si>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</si>
  <si>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</si>
  <si>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</si>
  <si>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</si>
  <si>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</si>
  <si>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</si>
  <si>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</si>
  <si>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</si>
  <si>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</si>
  <si>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</si>
  <si>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</si>
  <si>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</si>
  <si>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</si>
  <si>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</si>
  <si>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</si>
  <si>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</si>
  <si>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</si>
  <si>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</si>
  <si>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</si>
  <si>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</si>
  <si>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</si>
  <si>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</si>
  <si>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</si>
  <si>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</si>
  <si>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</si>
  <si>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</si>
  <si>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</si>
  <si>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</si>
  <si>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</si>
  <si>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</si>
  <si>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</si>
  <si>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</si>
  <si>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</si>
  <si>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</si>
  <si>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</si>
  <si>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</si>
  <si>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</si>
  <si>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</si>
  <si>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</si>
  <si>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</si>
  <si>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</si>
  <si>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</si>
  <si>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</si>
  <si>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</si>
  <si>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</si>
  <si>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</si>
  <si>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</si>
  <si>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</si>
  <si>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</si>
  <si>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</si>
  <si>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</si>
  <si>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</si>
  <si>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</si>
  <si>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</si>
  <si>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</si>
  <si>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</si>
  <si>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</si>
  <si>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</si>
  <si>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</si>
  <si>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</si>
  <si>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</si>
  <si>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</si>
  <si>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</si>
  <si>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</si>
  <si>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</si>
  <si>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</si>
  <si>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</si>
  <si>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</si>
  <si>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</si>
  <si>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</si>
  <si>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</si>
  <si>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</si>
  <si>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</si>
  <si>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</si>
  <si>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</si>
  <si>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</si>
  <si>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</si>
  <si>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</si>
  <si>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</si>
  <si>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</si>
  <si>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</si>
  <si>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</si>
  <si>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</si>
  <si>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</si>
  <si>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</si>
  <si>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</si>
  <si>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</si>
  <si>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</si>
  <si>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</si>
  <si>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</si>
  <si>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</si>
  <si>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</si>
  <si>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</si>
  <si>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</si>
  <si>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</si>
  <si>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</si>
  <si>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</si>
  <si>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</si>
  <si>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</si>
  <si>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</si>
  <si>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</si>
  <si>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</si>
  <si>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</si>
  <si>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</si>
  <si>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</si>
  <si>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</si>
  <si>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</si>
  <si>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</si>
  <si>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</si>
  <si>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</si>
  <si>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</si>
  <si>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</si>
  <si>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</si>
  <si>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</si>
  <si>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</si>
  <si>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</si>
  <si>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</si>
  <si>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</si>
  <si>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</si>
  <si>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</si>
  <si>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</si>
  <si>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</si>
  <si>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</si>
  <si>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</si>
  <si>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</si>
  <si>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</si>
  <si>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</si>
  <si>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</si>
  <si>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</si>
  <si>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</si>
  <si>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</si>
  <si>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</si>
  <si>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</si>
  <si>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</si>
  <si>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</si>
  <si>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</si>
  <si>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</si>
  <si>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</si>
  <si>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</si>
  <si>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</si>
  <si>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</si>
  <si>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</si>
  <si>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</si>
  <si>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</si>
  <si>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</si>
  <si>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</si>
  <si>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</si>
  <si>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</si>
  <si>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</si>
  <si>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</si>
  <si>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</si>
  <si>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</si>
  <si>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</si>
  <si>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</si>
  <si>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</si>
  <si>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</si>
  <si>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</si>
  <si>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</si>
  <si>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</si>
  <si>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</si>
  <si>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</si>
  <si>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</si>
  <si>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</si>
  <si>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</si>
  <si>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</si>
  <si>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</si>
  <si>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</si>
  <si>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</si>
  <si>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</si>
  <si>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</si>
  <si>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</si>
  <si>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</si>
  <si>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</si>
  <si>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</si>
  <si>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</si>
  <si>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</si>
  <si>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</si>
  <si>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</si>
  <si>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</si>
  <si>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</si>
  <si>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</si>
  <si>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</si>
  <si>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</si>
  <si>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</si>
  <si>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</si>
  <si>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</si>
  <si>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</si>
  <si>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</si>
  <si>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</si>
  <si>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</si>
  <si>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</si>
  <si>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</si>
  <si>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</si>
  <si>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</si>
  <si>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</si>
  <si>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</si>
  <si>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</si>
  <si>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</si>
  <si>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</si>
  <si>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</si>
  <si>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</si>
  <si>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</si>
  <si>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</si>
  <si>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</si>
  <si>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</si>
  <si>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</si>
  <si>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</si>
  <si>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</si>
  <si>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</si>
  <si>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</si>
  <si>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</si>
  <si>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</si>
  <si>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</si>
  <si>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</si>
  <si>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</si>
  <si>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</si>
  <si>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</si>
  <si>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</si>
  <si>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</si>
  <si>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</si>
  <si>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</si>
  <si>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</si>
  <si>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</si>
  <si>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</si>
  <si>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</si>
  <si>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</si>
  <si>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</si>
  <si>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</si>
  <si>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</si>
  <si>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</si>
  <si>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</si>
  <si>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</si>
  <si>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</si>
  <si>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</si>
  <si>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</si>
  <si>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</si>
  <si>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</si>
  <si>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</si>
  <si>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</si>
  <si>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</si>
  <si>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</si>
  <si>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</si>
  <si>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</si>
  <si>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</si>
  <si>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</si>
  <si>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</si>
  <si>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</si>
  <si>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</si>
  <si>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</si>
  <si>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</si>
  <si>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</si>
  <si>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</si>
  <si>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</si>
  <si>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</si>
  <si>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</si>
  <si>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</si>
  <si>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</si>
  <si>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</si>
  <si>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</si>
  <si>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</si>
  <si>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</si>
  <si>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</si>
  <si>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</si>
  <si>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</si>
  <si>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</si>
  <si>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</si>
  <si>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</si>
  <si>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</si>
  <si>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</si>
  <si>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</si>
  <si>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</si>
  <si>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</si>
  <si>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</si>
  <si>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</si>
  <si>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</si>
  <si>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</si>
  <si>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</si>
  <si>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</si>
  <si>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</si>
  <si>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</si>
  <si>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</si>
  <si>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</si>
  <si>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</si>
  <si>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</si>
  <si>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</si>
  <si>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</si>
  <si>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</si>
  <si>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</si>
  <si>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</si>
  <si>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</si>
  <si>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</si>
  <si>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</si>
  <si>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</si>
  <si>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</si>
  <si>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</si>
  <si>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</si>
  <si>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</si>
  <si>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</si>
  <si>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</si>
  <si>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</si>
  <si>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</si>
  <si>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</si>
  <si>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</si>
  <si>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</si>
  <si>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</si>
  <si>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</si>
  <si>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</si>
  <si>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</si>
  <si>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</si>
  <si>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</si>
  <si>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</si>
  <si>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</si>
  <si>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</si>
  <si>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</si>
  <si>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</si>
  <si>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</si>
  <si>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</si>
  <si>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</si>
  <si>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</si>
  <si>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</si>
  <si>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</si>
  <si>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</si>
  <si>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</si>
  <si>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</si>
  <si>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</si>
  <si>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</si>
  <si>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</si>
  <si>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</si>
  <si>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</si>
  <si>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</si>
  <si>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</si>
  <si>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</si>
  <si>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</si>
  <si>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</si>
  <si>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</si>
  <si>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</si>
  <si>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</si>
  <si>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</si>
  <si>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</si>
  <si>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</si>
  <si>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</si>
  <si>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</si>
  <si>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</si>
  <si>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</si>
  <si>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</si>
  <si>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</si>
  <si>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</si>
  <si>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</si>
  <si>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</si>
  <si>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</si>
  <si>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</si>
  <si>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</si>
  <si>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</si>
  <si>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</si>
  <si>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</si>
  <si>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</si>
  <si>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</si>
  <si>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</si>
  <si>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</si>
  <si>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</si>
  <si>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</si>
  <si>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</si>
  <si>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</si>
  <si>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</si>
  <si>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</si>
  <si>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</si>
  <si>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</si>
  <si>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</si>
  <si>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</si>
  <si>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</si>
  <si>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</si>
  <si>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</si>
  <si>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</si>
  <si>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</si>
  <si>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</si>
  <si>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</si>
  <si>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</si>
  <si>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</si>
  <si>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</si>
  <si>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</si>
  <si>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</si>
  <si>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</si>
  <si>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</si>
  <si>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</si>
  <si>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</si>
  <si>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</si>
  <si>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</si>
  <si>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</si>
  <si>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</si>
  <si>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</si>
  <si>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</si>
  <si>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</si>
  <si>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</si>
  <si>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</si>
  <si>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</si>
  <si>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</si>
  <si>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</si>
  <si>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</si>
  <si>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</si>
  <si>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</si>
  <si>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</si>
  <si>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</si>
  <si>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</si>
  <si>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</si>
  <si>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</si>
  <si>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</si>
  <si>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</si>
  <si>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</si>
  <si>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</si>
  <si>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</si>
  <si>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</si>
  <si>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</si>
  <si>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</si>
  <si>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</si>
  <si>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</si>
  <si>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</si>
  <si>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</si>
  <si>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</si>
  <si>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</si>
  <si>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</si>
  <si>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</si>
  <si>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</si>
  <si>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</si>
  <si>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</si>
  <si>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7"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</si>
  <si>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</si>
  <si>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</si>
  <si>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</si>
  <si>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</si>
  <si>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</si>
  <si>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</si>
  <si>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</si>
  <si>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</si>
  <si>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</si>
  <si>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7"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</si>
  <si>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</si>
  <si>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</si>
  <si>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</si>
  <si>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</si>
  <si>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</si>
  <si>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</si>
  <si>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7"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</si>
  <si>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</si>
  <si>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</si>
  <si>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</si>
  <si>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</si>
  <si>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</si>
  <si>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</si>
  <si>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</si>
  <si>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</si>
  <si>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</si>
  <si>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</si>
  <si>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</si>
  <si>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</si>
  <si>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</si>
  <si>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</si>
  <si>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</si>
  <si>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7"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</si>
  <si>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</si>
  <si>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</si>
  <si>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</si>
  <si>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</si>
  <si>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</si>
  <si>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</si>
  <si>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</si>
  <si>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</si>
  <si>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</si>
  <si>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</si>
  <si>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</si>
  <si>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</si>
  <si>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</si>
  <si>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</si>
  <si>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</si>
  <si>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</si>
  <si>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</si>
  <si>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</si>
  <si>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</si>
  <si>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</si>
  <si>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</si>
  <si>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</si>
  <si>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</si>
  <si>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</si>
  <si>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</si>
  <si>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</si>
  <si>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</si>
  <si>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</si>
  <si>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</si>
  <si>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b/>
        <sz val="10"/>
        <color rgb="FFFF0000"/>
        <rFont val="宋体"/>
        <family val="3"/>
        <charset val="134"/>
      </rPr>
      <t>地下商业不考虑路线价修正</t>
    </r>
    <phoneticPr fontId="77"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</si>
  <si>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</si>
  <si>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</si>
  <si>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</si>
  <si>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</si>
  <si>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</si>
  <si>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7"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</si>
  <si>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</si>
  <si>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</si>
  <si>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</si>
  <si>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</si>
  <si>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</si>
  <si>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</si>
  <si>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</si>
  <si>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</si>
  <si>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</si>
  <si>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</si>
  <si>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</si>
  <si>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</si>
  <si>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</si>
  <si>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</si>
  <si>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</si>
  <si>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</si>
  <si>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</si>
  <si>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</si>
  <si>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</si>
  <si>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</si>
  <si>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</si>
  <si>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</si>
  <si>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</si>
  <si>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</si>
  <si>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</si>
  <si>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</si>
  <si>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</si>
  <si>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</si>
  <si>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</si>
  <si>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</si>
  <si>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</si>
  <si>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</si>
  <si>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</si>
  <si>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</si>
  <si>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</si>
  <si>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</si>
  <si>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</si>
  <si>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</si>
  <si>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</si>
  <si>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</si>
  <si>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</si>
  <si>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</si>
  <si>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</si>
  <si>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</si>
  <si>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</si>
  <si>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</si>
  <si>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</si>
  <si>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</si>
  <si>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</si>
  <si>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</si>
  <si>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</si>
  <si>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</si>
  <si>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</si>
  <si>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</si>
  <si>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</si>
  <si>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</si>
  <si>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</si>
  <si>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</si>
  <si>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</si>
  <si>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</si>
  <si>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</si>
  <si>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</si>
  <si>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</si>
  <si>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</si>
  <si>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</si>
  <si>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</si>
  <si>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</si>
  <si>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</si>
  <si>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</si>
  <si>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</si>
  <si>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</si>
  <si>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</si>
  <si>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</si>
  <si>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</si>
  <si>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</si>
  <si>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</si>
  <si>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</si>
  <si>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</si>
  <si>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</si>
  <si>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</si>
  <si>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</si>
  <si>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</si>
  <si>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b/>
        <sz val="10"/>
        <rFont val="宋体"/>
        <family val="3"/>
        <charset val="134"/>
      </rPr>
      <t>需扣减承租人权益</t>
    </r>
  </si>
  <si>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</si>
  <si>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</si>
  <si>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</si>
  <si>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</si>
  <si>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</si>
  <si>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</si>
  <si>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</si>
  <si>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</si>
  <si>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</si>
  <si>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</si>
  <si>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</si>
  <si>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</si>
  <si>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</si>
  <si>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</si>
  <si>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</si>
  <si>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</si>
  <si>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</si>
  <si>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</si>
  <si>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</si>
  <si>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</si>
  <si>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</si>
  <si>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</si>
  <si>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</si>
  <si>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</si>
  <si>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</si>
  <si>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</si>
  <si>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</si>
  <si>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</si>
  <si>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</si>
  <si>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</si>
  <si>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</si>
  <si>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</si>
  <si>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</si>
  <si>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</si>
  <si>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3" type="noConversion"/>
  </si>
  <si>
    <t>刘俊财</t>
    <phoneticPr fontId="84" type="noConversion"/>
  </si>
  <si>
    <t>北京国隆置业有限公司</t>
    <phoneticPr fontId="6" type="noConversion"/>
  </si>
  <si>
    <t>兴业银行三元桥支行</t>
    <phoneticPr fontId="6" type="noConversion"/>
  </si>
  <si>
    <t>抵押</t>
  </si>
  <si>
    <t>房地产抵押价值</t>
  </si>
  <si>
    <t>北京市</t>
  </si>
  <si>
    <t>郑燚</t>
  </si>
  <si>
    <t>企业</t>
  </si>
  <si>
    <t>出让</t>
  </si>
  <si>
    <t>住宅、商业、仓储</t>
    <phoneticPr fontId="6" type="noConversion"/>
  </si>
  <si>
    <t>居住项目</t>
  </si>
  <si>
    <t>无</t>
  </si>
  <si>
    <t>含保障性住房</t>
  </si>
  <si>
    <t>在建</t>
  </si>
  <si>
    <t>通路</t>
  </si>
  <si>
    <t>通电</t>
  </si>
  <si>
    <t>通讯</t>
  </si>
  <si>
    <t>通上水</t>
  </si>
  <si>
    <t>通下水</t>
  </si>
  <si>
    <t>燃气</t>
  </si>
  <si>
    <t>通热</t>
  </si>
  <si>
    <t>地上</t>
  </si>
  <si>
    <t>住宅</t>
  </si>
  <si>
    <t>地下</t>
  </si>
  <si>
    <t>仓储</t>
  </si>
  <si>
    <t>B-1#</t>
  </si>
  <si>
    <t>B-5#</t>
  </si>
  <si>
    <t>B-2#</t>
  </si>
  <si>
    <t>B-3#</t>
  </si>
  <si>
    <t>B-4#</t>
  </si>
  <si>
    <t>B-6#</t>
  </si>
  <si>
    <t>是</t>
  </si>
  <si>
    <t>否</t>
  </si>
  <si>
    <t>住宅</t>
    <phoneticPr fontId="7" type="noConversion"/>
  </si>
  <si>
    <t>仓储</t>
    <phoneticPr fontId="7" type="noConversion"/>
  </si>
  <si>
    <t>收益法</t>
  </si>
  <si>
    <t>多面临街</t>
  </si>
  <si>
    <t>在建（套用方法）</t>
  </si>
  <si>
    <t>押一</t>
  </si>
  <si>
    <t>钢混</t>
  </si>
  <si>
    <t>非生产用房</t>
  </si>
  <si>
    <t>按租金收入计税</t>
  </si>
  <si>
    <t>已全部缴纳</t>
  </si>
  <si>
    <t>已包含在土地取得成本中</t>
  </si>
  <si>
    <t>未包含在土地购买价格中</t>
  </si>
  <si>
    <t>全部缴纳</t>
  </si>
  <si>
    <t>居住用地（指二类居住用地）</t>
  </si>
  <si>
    <t>不临58条商业街</t>
  </si>
  <si>
    <t>有</t>
  </si>
  <si>
    <t>500-1000米</t>
  </si>
  <si>
    <t>平整</t>
  </si>
  <si>
    <t>与级别开发程度一致</t>
  </si>
  <si>
    <t>按公示增长率计算</t>
  </si>
  <si>
    <t>容积率修正</t>
  </si>
  <si>
    <t>较好</t>
  </si>
  <si>
    <t>一般</t>
  </si>
  <si>
    <t>好</t>
  </si>
  <si>
    <t>B2346</t>
    <phoneticPr fontId="140" type="noConversion"/>
  </si>
  <si>
    <t>B1</t>
    <phoneticPr fontId="140" type="noConversion"/>
  </si>
  <si>
    <t>B5</t>
    <phoneticPr fontId="140" type="noConversion"/>
  </si>
  <si>
    <t>B-1S</t>
    <phoneticPr fontId="140" type="noConversion"/>
  </si>
  <si>
    <t>B-2S</t>
    <phoneticPr fontId="140" type="noConversion"/>
  </si>
  <si>
    <t>合计</t>
    <phoneticPr fontId="140" type="noConversion"/>
  </si>
  <si>
    <t>项目局部</t>
  </si>
  <si>
    <t>成本法</t>
  </si>
  <si>
    <t>假设开发法</t>
  </si>
  <si>
    <t>情况3</t>
  </si>
  <si>
    <t>2019-4</t>
    <phoneticPr fontId="3" type="noConversion"/>
  </si>
  <si>
    <t>2020-1</t>
    <phoneticPr fontId="140" type="noConversion"/>
  </si>
  <si>
    <t>吴薇</t>
  </si>
  <si>
    <t>成本比率</t>
  </si>
  <si>
    <t>住宅土地开发成本</t>
    <phoneticPr fontId="140" type="noConversion"/>
  </si>
  <si>
    <t>商业土地开发成本</t>
    <phoneticPr fontId="140"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</si>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</sst>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7" fillId="0" borderId="0">
      <alignment vertical="center"/>
    </xf>
    <xf numFmtId="0" fontId="97" fillId="0" borderId="0"/>
    <xf numFmtId="0" fontId="97" fillId="0" borderId="0">
      <alignment vertical="center"/>
    </xf>
    <xf numFmtId="0" fontId="36"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2" fillId="0" borderId="0">
      <alignment vertical="center"/>
    </xf>
    <xf numFmtId="0" fontId="97" fillId="0" borderId="0">
      <alignment vertical="center"/>
    </xf>
    <xf numFmtId="0" fontId="1" fillId="0" borderId="0">
      <alignment vertical="center"/>
    </xf>
    <xf numFmtId="0" fontId="167" fillId="0" borderId="0"/>
    <xf numFmtId="0" fontId="1" fillId="0" borderId="0">
      <alignment vertical="center"/>
    </xf>
    <xf numFmtId="9" fontId="36" fillId="0" borderId="0" applyFont="0" applyFill="0" applyBorder="0" applyAlignment="0" applyProtection="0">
      <alignment vertical="center"/>
    </xf>
    <xf numFmtId="0" fontId="97"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101" fillId="6" borderId="0" xfId="0" applyFont="1" applyFill="1" applyAlignment="1" applyProtection="1">
      <alignment horizontal="center" vertical="center"/>
    </xf>
    <xf numFmtId="0" fontId="101"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3" borderId="3" xfId="0" applyFont="1" applyFill="1" applyBorder="1" applyProtection="1">
      <alignment vertical="center"/>
      <protection locked="0"/>
    </xf>
    <xf numFmtId="0" fontId="48" fillId="3" borderId="24" xfId="0" applyFont="1" applyFill="1" applyBorder="1" applyProtection="1">
      <alignment vertical="center"/>
      <protection locked="0"/>
    </xf>
    <xf numFmtId="0" fontId="48" fillId="0" borderId="1" xfId="0" applyFont="1" applyBorder="1" applyAlignment="1" applyProtection="1">
      <alignment horizontal="center" vertical="center"/>
      <protection locked="0"/>
    </xf>
    <xf numFmtId="177" fontId="45" fillId="0" borderId="1" xfId="1" applyNumberFormat="1" applyFont="1" applyFill="1" applyBorder="1" applyAlignment="1" applyProtection="1">
      <alignment vertical="center"/>
      <protection locked="0"/>
    </xf>
    <xf numFmtId="0" fontId="45" fillId="3" borderId="22" xfId="0" applyFont="1" applyFill="1" applyBorder="1" applyProtection="1">
      <alignment vertical="center"/>
      <protection locked="0"/>
    </xf>
    <xf numFmtId="0" fontId="45" fillId="3" borderId="61" xfId="0" applyFont="1" applyFill="1" applyBorder="1" applyProtection="1">
      <alignment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0"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3"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3"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3"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8" fillId="6" borderId="4" xfId="0" applyFont="1" applyFill="1" applyBorder="1" applyAlignment="1" applyProtection="1">
      <alignment horizontal="center" vertical="center"/>
    </xf>
    <xf numFmtId="0" fontId="53" fillId="6" borderId="1" xfId="0" applyFont="1" applyFill="1" applyBorder="1" applyAlignment="1" applyProtection="1">
      <alignment horizontal="left" vertical="center" wrapText="1"/>
    </xf>
    <xf numFmtId="9" fontId="48" fillId="6" borderId="24" xfId="0" applyNumberFormat="1" applyFont="1" applyFill="1" applyBorder="1" applyAlignment="1" applyProtection="1">
      <alignment horizontal="center" vertical="center"/>
    </xf>
    <xf numFmtId="10" fontId="48" fillId="6" borderId="2" xfId="0" applyNumberFormat="1" applyFont="1" applyFill="1" applyBorder="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46" xfId="0" applyFont="1" applyFill="1" applyBorder="1" applyAlignment="1" applyProtection="1">
      <alignment vertical="center"/>
    </xf>
    <xf numFmtId="0" fontId="48" fillId="6" borderId="14" xfId="0" applyFont="1" applyFill="1" applyBorder="1" applyAlignment="1" applyProtection="1">
      <alignment horizontal="right" vertical="center" wrapText="1"/>
    </xf>
    <xf numFmtId="0" fontId="48" fillId="6" borderId="58" xfId="0" applyFont="1" applyFill="1" applyBorder="1" applyAlignment="1" applyProtection="1">
      <alignment vertical="center"/>
    </xf>
    <xf numFmtId="0" fontId="48" fillId="6" borderId="35" xfId="0" applyFont="1" applyFill="1" applyBorder="1" applyProtection="1">
      <alignment vertical="center"/>
    </xf>
    <xf numFmtId="0" fontId="48" fillId="6" borderId="41" xfId="0" applyFont="1" applyFill="1" applyBorder="1" applyAlignment="1" applyProtection="1">
      <alignment horizontal="right" vertical="center" wrapText="1"/>
    </xf>
    <xf numFmtId="0" fontId="48" fillId="6" borderId="4" xfId="0" applyFont="1" applyFill="1" applyBorder="1" applyAlignment="1" applyProtection="1">
      <alignment vertical="center"/>
    </xf>
    <xf numFmtId="0" fontId="48" fillId="6" borderId="23" xfId="0" applyFont="1" applyFill="1" applyBorder="1" applyAlignment="1" applyProtection="1">
      <alignment horizontal="right" vertical="center" wrapText="1"/>
    </xf>
    <xf numFmtId="10" fontId="48"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10" fontId="48" fillId="6" borderId="5" xfId="0" applyNumberFormat="1" applyFont="1" applyFill="1" applyBorder="1" applyAlignment="1" applyProtection="1">
      <alignment horizontal="center" vertical="center"/>
    </xf>
    <xf numFmtId="0" fontId="48" fillId="6" borderId="46"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32" xfId="0" applyFont="1" applyFill="1" applyBorder="1" applyAlignment="1" applyProtection="1">
      <alignment horizontal="center" vertical="center" wrapText="1"/>
    </xf>
    <xf numFmtId="10" fontId="48" fillId="6" borderId="32" xfId="0"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wrapText="1"/>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177" fontId="55" fillId="6" borderId="2"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77"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177" fontId="54" fillId="0" borderId="1" xfId="0" applyNumberFormat="1" applyFont="1" applyFill="1" applyBorder="1" applyAlignment="1" applyProtection="1">
      <alignment horizontal="center" vertical="center" wrapText="1"/>
      <protection locked="0"/>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177" fontId="55" fillId="6" borderId="1" xfId="0" applyNumberFormat="1"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177" fontId="55" fillId="6" borderId="32" xfId="0" applyNumberFormat="1" applyFont="1" applyFill="1" applyBorder="1" applyAlignment="1" applyProtection="1">
      <alignment horizontal="center" vertical="center" wrapText="1"/>
    </xf>
    <xf numFmtId="10" fontId="54" fillId="6" borderId="32" xfId="0" applyNumberFormat="1" applyFont="1" applyFill="1" applyBorder="1" applyAlignment="1" applyProtection="1">
      <alignment horizontal="center"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49" fontId="48" fillId="6" borderId="23" xfId="0" applyNumberFormat="1" applyFont="1" applyFill="1" applyBorder="1" applyAlignment="1" applyProtection="1">
      <alignmen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177" fontId="54" fillId="0" borderId="24" xfId="0" applyNumberFormat="1" applyFont="1" applyFill="1" applyBorder="1" applyAlignment="1" applyProtection="1">
      <alignment horizontal="center" vertical="center" wrapText="1"/>
      <protection locked="0"/>
    </xf>
    <xf numFmtId="0" fontId="54" fillId="6" borderId="2" xfId="0" applyFont="1" applyFill="1" applyBorder="1" applyAlignment="1" applyProtection="1">
      <alignment horizontal="left" vertical="center" wrapText="1"/>
    </xf>
    <xf numFmtId="9" fontId="45" fillId="6" borderId="0" xfId="0" applyNumberFormat="1" applyFont="1" applyFill="1" applyBorder="1" applyAlignment="1" applyProtection="1">
      <alignment horizontal="center" vertical="center"/>
    </xf>
    <xf numFmtId="10" fontId="54" fillId="6" borderId="1" xfId="0" applyNumberFormat="1" applyFont="1" applyFill="1" applyBorder="1" applyAlignment="1" applyProtection="1">
      <alignment horizontal="center" vertical="center" wrapText="1"/>
    </xf>
    <xf numFmtId="0" fontId="45" fillId="6" borderId="54" xfId="0" applyFont="1" applyFill="1" applyBorder="1" applyAlignment="1" applyProtection="1">
      <alignment horizontal="left" vertical="center"/>
    </xf>
    <xf numFmtId="191" fontId="54" fillId="6" borderId="1" xfId="0" applyNumberFormat="1" applyFont="1" applyFill="1" applyBorder="1" applyAlignment="1" applyProtection="1">
      <alignment horizontal="center" vertical="center" wrapText="1"/>
    </xf>
    <xf numFmtId="10" fontId="53" fillId="6" borderId="5" xfId="0" applyNumberFormat="1" applyFont="1" applyFill="1" applyBorder="1" applyAlignment="1" applyProtection="1">
      <alignment horizontal="center" vertical="center" wrapText="1"/>
    </xf>
    <xf numFmtId="181" fontId="55" fillId="6" borderId="1" xfId="0" applyNumberFormat="1" applyFont="1" applyFill="1" applyBorder="1" applyAlignment="1" applyProtection="1">
      <alignment horizontal="center" vertical="center" wrapText="1"/>
    </xf>
    <xf numFmtId="0" fontId="53" fillId="6" borderId="32"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5"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7"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63" fillId="6" borderId="0" xfId="0" applyNumberFormat="1" applyFont="1" applyFill="1" applyBorder="1" applyAlignment="1" applyProtection="1">
      <alignment horizont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81" fontId="48" fillId="6" borderId="48" xfId="0" applyNumberFormat="1"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3"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6"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4"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4"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49" fontId="45" fillId="2" borderId="23" xfId="0" applyNumberFormat="1" applyFont="1" applyFill="1" applyBorder="1" applyAlignment="1" applyProtection="1">
      <alignment horizontal="center" vertical="center" wrapText="1"/>
      <protection locked="0"/>
    </xf>
    <xf numFmtId="49" fontId="45" fillId="2" borderId="3"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6" fontId="51" fillId="6" borderId="38" xfId="0" applyNumberFormat="1" applyFont="1" applyFill="1" applyBorder="1" applyAlignment="1" applyProtection="1">
      <alignment vertical="center" wrapText="1"/>
    </xf>
    <xf numFmtId="0" fontId="51" fillId="6" borderId="68" xfId="0" applyFont="1" applyFill="1" applyBorder="1" applyAlignment="1" applyProtection="1">
      <alignment vertical="center" wrapText="1"/>
    </xf>
    <xf numFmtId="186" fontId="51" fillId="6" borderId="52" xfId="0" applyNumberFormat="1" applyFont="1" applyFill="1" applyBorder="1" applyAlignment="1" applyProtection="1">
      <alignment vertical="center" wrapText="1"/>
    </xf>
    <xf numFmtId="0" fontId="51" fillId="6" borderId="52" xfId="0"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6" fontId="51" fillId="6" borderId="47" xfId="0" applyNumberFormat="1" applyFont="1" applyFill="1" applyBorder="1" applyAlignment="1" applyProtection="1">
      <alignment vertical="center" wrapText="1"/>
    </xf>
    <xf numFmtId="189"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6" fontId="58" fillId="6" borderId="13" xfId="0" applyNumberFormat="1" applyFont="1" applyFill="1" applyBorder="1" applyAlignment="1" applyProtection="1">
      <alignment horizontal="right" vertical="center"/>
    </xf>
    <xf numFmtId="189"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9" fontId="52" fillId="3" borderId="3" xfId="0" applyNumberFormat="1" applyFont="1" applyFill="1" applyBorder="1" applyAlignment="1" applyProtection="1">
      <alignment horizontal="center" vertical="center"/>
      <protection locked="0"/>
    </xf>
    <xf numFmtId="189" fontId="52" fillId="3" borderId="3" xfId="0" applyNumberFormat="1" applyFont="1" applyFill="1" applyBorder="1" applyAlignment="1" applyProtection="1">
      <alignment horizontal="center" vertical="center" wrapText="1"/>
      <protection locked="0"/>
    </xf>
    <xf numFmtId="189"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6"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54" fillId="6" borderId="25" xfId="0" applyNumberFormat="1" applyFont="1" applyFill="1" applyBorder="1" applyAlignment="1" applyProtection="1">
      <alignment horizontal="center" vertical="center" wrapText="1"/>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0" fontId="107" fillId="6" borderId="1" xfId="0" applyFont="1" applyFill="1" applyBorder="1" applyAlignment="1" applyProtection="1">
      <alignment horizontal="center" vertical="center" wrapText="1"/>
    </xf>
    <xf numFmtId="0" fontId="107" fillId="6" borderId="24"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61" xfId="0" applyFont="1" applyFill="1" applyBorder="1" applyAlignment="1" applyProtection="1">
      <alignment horizontal="center" vertical="center" wrapText="1"/>
    </xf>
    <xf numFmtId="0" fontId="107" fillId="6" borderId="5" xfId="0" applyFont="1" applyFill="1" applyBorder="1" applyAlignment="1" applyProtection="1">
      <alignment vertical="center" wrapText="1"/>
    </xf>
    <xf numFmtId="0" fontId="107" fillId="6" borderId="48" xfId="0" applyFont="1" applyFill="1" applyBorder="1" applyAlignment="1" applyProtection="1">
      <alignment vertical="center" wrapText="1"/>
    </xf>
    <xf numFmtId="0" fontId="107" fillId="6" borderId="33" xfId="0" applyFont="1" applyFill="1" applyBorder="1" applyAlignment="1" applyProtection="1">
      <alignment vertical="center" wrapText="1"/>
    </xf>
    <xf numFmtId="0" fontId="107" fillId="6" borderId="68" xfId="0" applyFont="1" applyFill="1" applyBorder="1" applyAlignment="1" applyProtection="1">
      <alignment vertical="center" wrapText="1"/>
    </xf>
    <xf numFmtId="49" fontId="58"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61" fillId="6" borderId="0" xfId="0" applyFont="1" applyFill="1" applyBorder="1" applyAlignment="1" applyProtection="1">
      <alignment horizontal="center" vertical="center"/>
    </xf>
    <xf numFmtId="0" fontId="48" fillId="6" borderId="0" xfId="0" applyFont="1" applyFill="1" applyBorder="1" applyAlignment="1" applyProtection="1">
      <alignment vertical="center"/>
    </xf>
    <xf numFmtId="0" fontId="54" fillId="6" borderId="0" xfId="0" applyFont="1" applyFill="1" applyBorder="1" applyAlignment="1" applyProtection="1">
      <alignment horizontal="left" vertical="center"/>
    </xf>
    <xf numFmtId="179" fontId="61" fillId="6" borderId="0" xfId="0" applyNumberFormat="1" applyFont="1" applyFill="1" applyBorder="1" applyAlignment="1" applyProtection="1">
      <alignment horizontal="center" vertical="center"/>
    </xf>
    <xf numFmtId="0" fontId="48" fillId="6" borderId="0" xfId="0" applyFont="1" applyFill="1" applyAlignment="1" applyProtection="1">
      <alignment horizontal="left" vertical="center"/>
    </xf>
    <xf numFmtId="0" fontId="64" fillId="6" borderId="0" xfId="0" applyFont="1" applyFill="1" applyAlignment="1" applyProtection="1">
      <alignment vertical="center"/>
    </xf>
    <xf numFmtId="49" fontId="63" fillId="6" borderId="0" xfId="0" applyNumberFormat="1" applyFont="1" applyFill="1" applyBorder="1" applyAlignment="1" applyProtection="1">
      <alignment horizontal="left"/>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9"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9"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8"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9" fontId="52" fillId="6" borderId="3" xfId="0" applyNumberFormat="1" applyFont="1" applyFill="1" applyBorder="1" applyAlignment="1" applyProtection="1">
      <alignment horizontal="center" vertical="center"/>
    </xf>
    <xf numFmtId="189" fontId="52" fillId="6" borderId="3" xfId="0" applyNumberFormat="1" applyFont="1" applyFill="1" applyBorder="1" applyAlignment="1" applyProtection="1">
      <alignment horizontal="center" vertical="center" wrapText="1"/>
    </xf>
    <xf numFmtId="189"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8"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8"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8"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79" fillId="0" borderId="60" xfId="3" applyNumberFormat="1" applyFont="1" applyBorder="1" applyAlignment="1" applyProtection="1">
      <alignment vertical="center"/>
    </xf>
    <xf numFmtId="0" fontId="79" fillId="0" borderId="60" xfId="3" applyNumberFormat="1" applyFont="1" applyBorder="1" applyAlignment="1" applyProtection="1">
      <alignment vertical="center"/>
    </xf>
    <xf numFmtId="0" fontId="0" fillId="0" borderId="0" xfId="0" applyNumberFormat="1" applyProtection="1">
      <alignment vertical="center"/>
    </xf>
    <xf numFmtId="179" fontId="80" fillId="6" borderId="1" xfId="3" applyNumberFormat="1" applyFont="1" applyFill="1" applyBorder="1" applyAlignment="1" applyProtection="1">
      <alignment horizontal="center" vertical="center"/>
    </xf>
    <xf numFmtId="0" fontId="80" fillId="6" borderId="1" xfId="3" applyNumberFormat="1" applyFont="1" applyFill="1" applyBorder="1" applyAlignment="1" applyProtection="1">
      <alignment horizontal="center" vertical="center"/>
    </xf>
    <xf numFmtId="0" fontId="80" fillId="6" borderId="1" xfId="3" applyNumberFormat="1" applyFont="1" applyFill="1" applyBorder="1" applyAlignment="1" applyProtection="1">
      <alignment horizontal="center" vertical="center" wrapText="1"/>
    </xf>
    <xf numFmtId="0" fontId="80" fillId="6" borderId="15" xfId="3"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4" fillId="6" borderId="16"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7"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0" fontId="52" fillId="6" borderId="64" xfId="0" applyNumberFormat="1"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187"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73"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0" fontId="54" fillId="0" borderId="32" xfId="0" applyFont="1" applyFill="1" applyBorder="1" applyAlignment="1" applyProtection="1">
      <alignment horizontal="center" vertical="center" wrapText="1"/>
      <protection locked="0"/>
    </xf>
    <xf numFmtId="0" fontId="54" fillId="0" borderId="4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6" fontId="48" fillId="0" borderId="1" xfId="0" applyNumberFormat="1" applyFont="1" applyFill="1" applyBorder="1" applyAlignment="1" applyProtection="1">
      <alignment horizontal="center" vertical="center"/>
      <protection locked="0"/>
    </xf>
    <xf numFmtId="186"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6"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81"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6" fontId="48" fillId="3" borderId="0" xfId="0" applyNumberFormat="1" applyFont="1" applyFill="1" applyAlignment="1" applyProtection="1">
      <alignment horizontal="center" vertical="center"/>
      <protection locked="0"/>
    </xf>
    <xf numFmtId="186" fontId="47"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48" fillId="0" borderId="13" xfId="0" applyNumberFormat="1" applyFont="1" applyFill="1" applyBorder="1" applyAlignment="1" applyProtection="1">
      <alignment horizontal="center" vertical="center"/>
      <protection locked="0"/>
    </xf>
    <xf numFmtId="186"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6"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20" fillId="0" borderId="0" xfId="5" applyFont="1">
      <alignment vertical="center"/>
    </xf>
    <xf numFmtId="0" fontId="97" fillId="0" borderId="0" xfId="5">
      <alignment vertical="center"/>
    </xf>
    <xf numFmtId="0" fontId="120" fillId="0" borderId="0" xfId="5" applyFont="1" applyAlignment="1">
      <alignment vertical="top" wrapText="1"/>
    </xf>
    <xf numFmtId="0" fontId="98" fillId="0" borderId="0" xfId="5" applyFont="1" applyAlignment="1">
      <alignment horizontal="right" vertical="center"/>
    </xf>
    <xf numFmtId="14" fontId="121" fillId="0" borderId="0" xfId="5" applyNumberFormat="1" applyFont="1" applyAlignment="1">
      <alignment horizontal="left" vertical="center"/>
    </xf>
    <xf numFmtId="0" fontId="99" fillId="0" borderId="0" xfId="5" applyFont="1">
      <alignment vertical="center"/>
    </xf>
    <xf numFmtId="0" fontId="122" fillId="5" borderId="13" xfId="5" applyFont="1" applyFill="1" applyBorder="1" applyAlignment="1">
      <alignment vertical="center"/>
    </xf>
    <xf numFmtId="0" fontId="123" fillId="0" borderId="1" xfId="5" applyFont="1" applyBorder="1" applyAlignment="1">
      <alignment horizontal="right" vertical="center"/>
    </xf>
    <xf numFmtId="0" fontId="123" fillId="0" borderId="1" xfId="5" applyFont="1" applyFill="1" applyBorder="1" applyAlignment="1">
      <alignment horizontal="right" vertical="center"/>
    </xf>
    <xf numFmtId="184" fontId="123" fillId="0" borderId="13" xfId="5" applyNumberFormat="1" applyFont="1" applyFill="1" applyBorder="1" applyAlignment="1">
      <alignment horizontal="right" vertical="center"/>
    </xf>
    <xf numFmtId="0" fontId="97"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8" fillId="0" borderId="1" xfId="5" applyFont="1" applyBorder="1">
      <alignment vertical="center"/>
    </xf>
    <xf numFmtId="184" fontId="123" fillId="0" borderId="1" xfId="5" applyNumberFormat="1" applyFont="1" applyFill="1" applyBorder="1" applyAlignment="1">
      <alignment horizontal="right" vertical="center"/>
    </xf>
    <xf numFmtId="14" fontId="97" fillId="0" borderId="0" xfId="5" applyNumberFormat="1">
      <alignment vertical="center"/>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62" fillId="6" borderId="78" xfId="0" applyFont="1" applyFill="1" applyBorder="1" applyAlignment="1" applyProtection="1">
      <alignment horizontal="right" vertical="center" shrinkToFit="1"/>
    </xf>
    <xf numFmtId="0" fontId="62" fillId="6" borderId="78" xfId="0" applyNumberFormat="1" applyFont="1" applyFill="1" applyBorder="1" applyAlignment="1" applyProtection="1">
      <alignment horizontal="right" vertical="center" shrinkToFit="1"/>
    </xf>
    <xf numFmtId="0" fontId="62" fillId="0" borderId="0" xfId="0" applyFont="1" applyFill="1" applyBorder="1" applyAlignment="1" applyProtection="1">
      <alignment vertical="center"/>
      <protection locked="0"/>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184" fontId="48" fillId="0" borderId="1" xfId="0" applyNumberFormat="1" applyFont="1" applyFill="1" applyBorder="1" applyAlignment="1" applyProtection="1">
      <alignment horizontal="center" vertical="center" shrinkToFit="1"/>
      <protection locked="0"/>
    </xf>
    <xf numFmtId="184" fontId="48" fillId="6" borderId="1" xfId="0" applyNumberFormat="1" applyFont="1" applyFill="1" applyBorder="1" applyAlignment="1" applyProtection="1">
      <alignment horizontal="center" vertical="center"/>
    </xf>
    <xf numFmtId="179" fontId="62" fillId="6" borderId="1" xfId="0" applyNumberFormat="1" applyFont="1" applyFill="1" applyBorder="1" applyAlignment="1" applyProtection="1">
      <alignment horizontal="center" vertical="center" wrapText="1"/>
    </xf>
    <xf numFmtId="177" fontId="62" fillId="5" borderId="1" xfId="1" applyNumberFormat="1" applyFont="1" applyFill="1" applyBorder="1" applyAlignment="1" applyProtection="1">
      <alignment horizontal="center" vertical="center"/>
      <protection locked="0"/>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2" fillId="0" borderId="9" xfId="0" applyNumberFormat="1" applyFont="1" applyBorder="1" applyAlignment="1">
      <alignment horizontal="center" vertical="center" wrapText="1"/>
    </xf>
    <xf numFmtId="10" fontId="102" fillId="0" borderId="10"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24" xfId="0" applyNumberFormat="1" applyFont="1" applyBorder="1" applyAlignment="1">
      <alignment horizontal="center" vertical="center" wrapText="1"/>
    </xf>
    <xf numFmtId="10" fontId="102" fillId="0" borderId="32" xfId="0" applyNumberFormat="1" applyFont="1" applyBorder="1" applyAlignment="1">
      <alignment horizontal="center" vertical="center" wrapText="1"/>
    </xf>
    <xf numFmtId="10" fontId="102"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2"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2"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2"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1" fillId="6" borderId="28" xfId="0" applyNumberFormat="1" applyFont="1" applyFill="1" applyBorder="1" applyProtection="1">
      <alignment vertical="center"/>
    </xf>
    <xf numFmtId="0" fontId="101" fillId="6" borderId="5" xfId="0" applyNumberFormat="1" applyFont="1" applyFill="1" applyBorder="1" applyProtection="1">
      <alignment vertical="center"/>
    </xf>
    <xf numFmtId="0" fontId="101"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4"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7"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101" fillId="0" borderId="93"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9"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7"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8" xfId="0" applyNumberFormat="1" applyFont="1" applyFill="1" applyBorder="1" applyAlignment="1" applyProtection="1">
      <alignment horizontal="center" vertical="center" wrapText="1"/>
    </xf>
    <xf numFmtId="0" fontId="54" fillId="0" borderId="99" xfId="0" applyNumberFormat="1" applyFont="1" applyFill="1" applyBorder="1" applyAlignment="1" applyProtection="1">
      <alignment horizontal="center" vertical="center" wrapText="1"/>
      <protection locked="0"/>
    </xf>
    <xf numFmtId="0" fontId="54" fillId="6" borderId="100"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48" fillId="0" borderId="10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1"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9"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9" fontId="52" fillId="6" borderId="0" xfId="0" applyNumberFormat="1" applyFont="1" applyFill="1" applyAlignment="1" applyProtection="1">
      <alignment horizontal="center" vertical="center"/>
      <protection locked="0"/>
    </xf>
    <xf numFmtId="189" fontId="69"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9"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9"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132" fillId="0" borderId="1" xfId="5" applyFont="1" applyBorder="1">
      <alignment vertical="center"/>
    </xf>
    <xf numFmtId="184" fontId="132" fillId="0" borderId="1" xfId="0" applyNumberFormat="1" applyFont="1" applyFill="1" applyBorder="1" applyAlignment="1">
      <alignment horizontal="righ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2" xfId="0" applyNumberFormat="1" applyFont="1" applyFill="1" applyBorder="1" applyAlignment="1" applyProtection="1">
      <alignment horizontal="center" vertical="center" wrapText="1"/>
      <protection locked="0"/>
    </xf>
    <xf numFmtId="0" fontId="48" fillId="0" borderId="114"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7" xfId="0" applyFont="1" applyFill="1" applyBorder="1" applyAlignment="1" applyProtection="1">
      <alignment horizontal="center" vertical="center"/>
      <protection locked="0"/>
    </xf>
    <xf numFmtId="0" fontId="48" fillId="0" borderId="118" xfId="0" applyNumberFormat="1" applyFont="1" applyFill="1" applyBorder="1" applyAlignment="1" applyProtection="1">
      <alignment horizontal="center" vertical="center" wrapText="1"/>
      <protection locked="0"/>
    </xf>
    <xf numFmtId="0" fontId="48" fillId="0" borderId="118" xfId="0" applyFont="1" applyFill="1" applyBorder="1" applyAlignment="1" applyProtection="1">
      <alignment horizontal="center" vertical="center" wrapText="1"/>
      <protection locked="0"/>
    </xf>
    <xf numFmtId="9" fontId="48" fillId="0" borderId="118" xfId="0" applyNumberFormat="1" applyFont="1" applyFill="1" applyBorder="1" applyAlignment="1" applyProtection="1">
      <alignment horizontal="center" vertical="center" wrapText="1"/>
      <protection locked="0"/>
    </xf>
    <xf numFmtId="0" fontId="48" fillId="0" borderId="118" xfId="0" applyFont="1" applyFill="1" applyBorder="1" applyAlignment="1" applyProtection="1">
      <alignment horizontal="center" vertical="center"/>
      <protection locked="0"/>
    </xf>
    <xf numFmtId="0" fontId="48" fillId="0" borderId="114" xfId="0" applyFont="1" applyFill="1" applyBorder="1" applyAlignment="1" applyProtection="1">
      <alignment horizontal="center" vertical="center"/>
      <protection locked="0"/>
    </xf>
    <xf numFmtId="0" fontId="48" fillId="6" borderId="114" xfId="0" applyNumberFormat="1" applyFont="1" applyFill="1" applyBorder="1" applyAlignment="1" applyProtection="1">
      <alignment horizontal="center" vertical="center" wrapText="1"/>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7"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3"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7"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2" fillId="0" borderId="1" xfId="0" applyNumberFormat="1" applyFont="1" applyFill="1" applyBorder="1" applyAlignment="1">
      <alignment horizontal="center" vertical="center"/>
    </xf>
    <xf numFmtId="177" fontId="82" fillId="0" borderId="1" xfId="0" applyNumberFormat="1" applyFont="1" applyFill="1" applyBorder="1" applyAlignment="1">
      <alignment horizontal="center" vertical="center"/>
    </xf>
    <xf numFmtId="0" fontId="82"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7" fillId="0" borderId="1" xfId="0" applyFont="1" applyFill="1" applyBorder="1" applyAlignment="1">
      <alignment horizontal="center" vertical="center" wrapText="1"/>
    </xf>
    <xf numFmtId="0" fontId="36" fillId="0" borderId="1" xfId="0" applyFont="1" applyFill="1" applyBorder="1" applyAlignment="1">
      <alignment vertical="center"/>
    </xf>
    <xf numFmtId="0" fontId="127" fillId="0" borderId="24" xfId="0" applyFont="1" applyFill="1" applyBorder="1" applyAlignment="1">
      <alignment horizontal="center" vertical="center"/>
    </xf>
    <xf numFmtId="0" fontId="127" fillId="0" borderId="1" xfId="0" applyFont="1" applyBorder="1" applyAlignment="1">
      <alignment horizontal="center" vertical="center"/>
    </xf>
    <xf numFmtId="9" fontId="127"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2"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7"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9" fontId="54" fillId="6" borderId="24" xfId="0" applyNumberFormat="1" applyFont="1" applyFill="1" applyBorder="1" applyAlignment="1" applyProtection="1">
      <alignment horizontal="center" vertical="center" wrapText="1"/>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10" fontId="54" fillId="6" borderId="49"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0" fontId="52" fillId="7" borderId="0" xfId="0" applyFont="1" applyFill="1" applyAlignment="1" applyProtection="1">
      <alignment vertical="center" wrapText="1"/>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6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2" fillId="6" borderId="58" xfId="0" applyFont="1" applyFill="1" applyBorder="1" applyAlignment="1" applyProtection="1">
      <alignment horizontal="center" vertical="center"/>
      <protection locked="0"/>
    </xf>
    <xf numFmtId="0" fontId="69" fillId="6" borderId="58" xfId="0" applyFont="1" applyFill="1" applyBorder="1" applyAlignment="1" applyProtection="1">
      <alignment horizontal="center" vertical="center"/>
      <protection locked="0"/>
    </xf>
    <xf numFmtId="0" fontId="52" fillId="6" borderId="58" xfId="0" applyFont="1" applyFill="1" applyBorder="1" applyAlignment="1" applyProtection="1">
      <protection locked="0"/>
    </xf>
    <xf numFmtId="9" fontId="45" fillId="6" borderId="0"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101" fillId="6" borderId="58" xfId="0" applyFont="1" applyFill="1" applyBorder="1" applyAlignment="1" applyProtection="1">
      <alignment vertical="center"/>
      <protection locked="0"/>
    </xf>
    <xf numFmtId="0" fontId="45" fillId="6" borderId="0" xfId="0" applyFont="1" applyFill="1" applyAlignment="1" applyProtection="1">
      <alignment horizontal="center" vertical="center"/>
      <protection locked="0"/>
    </xf>
    <xf numFmtId="9" fontId="45" fillId="6" borderId="58" xfId="0" applyNumberFormat="1" applyFont="1" applyFill="1" applyBorder="1" applyAlignment="1" applyProtection="1">
      <alignment horizontal="center" vertical="center" wrapText="1"/>
      <protection locked="0"/>
    </xf>
    <xf numFmtId="0" fontId="45" fillId="6" borderId="58" xfId="0"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9" fontId="50" fillId="6" borderId="0"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58" xfId="0" applyFont="1" applyFill="1" applyBorder="1" applyAlignment="1" applyProtection="1">
      <alignment horizontal="center" vertical="center"/>
      <protection locked="0"/>
    </xf>
    <xf numFmtId="9" fontId="50" fillId="6" borderId="0" xfId="0" applyNumberFormat="1" applyFont="1" applyFill="1" applyBorder="1" applyAlignment="1" applyProtection="1">
      <alignment horizontal="center" vertical="center"/>
      <protection locked="0"/>
    </xf>
    <xf numFmtId="0" fontId="45"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49" fontId="45" fillId="6" borderId="58" xfId="0" applyNumberFormat="1" applyFont="1" applyFill="1" applyBorder="1" applyAlignment="1" applyProtection="1">
      <alignment horizontal="center" vertical="center"/>
      <protection locked="0"/>
    </xf>
    <xf numFmtId="49" fontId="45" fillId="6" borderId="0" xfId="0" applyNumberFormat="1"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0" fontId="62" fillId="6" borderId="78" xfId="0" applyFont="1" applyFill="1" applyBorder="1" applyAlignment="1" applyProtection="1">
      <alignment horizontal="center" vertical="center" wrapText="1"/>
    </xf>
    <xf numFmtId="0" fontId="105" fillId="0" borderId="0" xfId="9" applyFont="1">
      <alignment vertical="center"/>
    </xf>
    <xf numFmtId="0" fontId="105" fillId="0" borderId="0" xfId="9" applyFont="1" applyAlignment="1">
      <alignment horizontal="center" vertical="center"/>
    </xf>
    <xf numFmtId="0" fontId="105" fillId="0" borderId="120" xfId="9" applyFont="1" applyBorder="1">
      <alignment vertical="center"/>
    </xf>
    <xf numFmtId="0" fontId="100"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5" fillId="0" borderId="121" xfId="9" applyFont="1" applyBorder="1" applyAlignment="1">
      <alignment vertical="center"/>
    </xf>
    <xf numFmtId="0" fontId="105" fillId="0" borderId="120" xfId="9" applyFont="1" applyBorder="1" applyAlignment="1">
      <alignment vertical="center"/>
    </xf>
    <xf numFmtId="0" fontId="105" fillId="0" borderId="120" xfId="9" applyFont="1" applyBorder="1" applyAlignment="1">
      <alignment horizontal="center" vertical="center"/>
    </xf>
    <xf numFmtId="0" fontId="105" fillId="0" borderId="0" xfId="9" applyFont="1" applyFill="1">
      <alignment vertical="center"/>
    </xf>
    <xf numFmtId="0" fontId="101"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5" fillId="0" borderId="122" xfId="9" applyFont="1" applyFill="1" applyBorder="1" applyAlignment="1">
      <alignment horizontal="center" vertical="center"/>
    </xf>
    <xf numFmtId="0" fontId="105" fillId="0" borderId="0" xfId="9" applyFont="1" applyFill="1" applyBorder="1" applyAlignment="1">
      <alignment horizontal="center" vertical="center"/>
    </xf>
    <xf numFmtId="0" fontId="105" fillId="0" borderId="0" xfId="9" applyFont="1" applyFill="1" applyAlignment="1">
      <alignment horizontal="center" vertical="center"/>
    </xf>
    <xf numFmtId="0" fontId="102" fillId="0" borderId="0" xfId="9" applyFont="1" applyAlignment="1">
      <alignment horizontal="center" vertical="center"/>
    </xf>
    <xf numFmtId="10" fontId="102" fillId="0" borderId="0" xfId="9" applyNumberFormat="1" applyFont="1" applyAlignment="1">
      <alignment horizontal="center" vertical="center"/>
    </xf>
    <xf numFmtId="49" fontId="54" fillId="6" borderId="1" xfId="9" applyNumberFormat="1" applyFont="1" applyFill="1" applyBorder="1" applyAlignment="1" applyProtection="1">
      <alignment horizontal="center" vertical="center" wrapText="1"/>
    </xf>
    <xf numFmtId="0" fontId="149" fillId="12" borderId="124" xfId="9" applyFont="1" applyFill="1" applyBorder="1" applyAlignment="1" applyProtection="1">
      <alignment horizontal="center" vertical="center" wrapText="1"/>
    </xf>
    <xf numFmtId="0" fontId="149" fillId="12" borderId="125" xfId="9" applyFont="1" applyFill="1" applyBorder="1" applyAlignment="1" applyProtection="1">
      <alignment horizontal="center" vertical="center" wrapText="1"/>
    </xf>
    <xf numFmtId="0" fontId="149" fillId="13" borderId="127" xfId="9" applyFont="1" applyFill="1" applyBorder="1" applyAlignment="1" applyProtection="1">
      <alignment horizontal="center" vertical="center" wrapText="1"/>
    </xf>
    <xf numFmtId="0" fontId="149" fillId="12" borderId="127" xfId="9" applyFont="1" applyFill="1" applyBorder="1" applyAlignment="1" applyProtection="1">
      <alignment horizontal="center" vertical="center" wrapText="1"/>
    </xf>
    <xf numFmtId="0" fontId="150" fillId="14" borderId="0" xfId="9" applyFont="1" applyFill="1">
      <alignment vertical="center"/>
    </xf>
    <xf numFmtId="10" fontId="150" fillId="14" borderId="129" xfId="9" applyNumberFormat="1" applyFont="1" applyFill="1" applyBorder="1" applyAlignment="1">
      <alignment vertical="center"/>
    </xf>
    <xf numFmtId="10" fontId="102" fillId="14" borderId="0" xfId="9" applyNumberFormat="1" applyFont="1" applyFill="1" applyAlignment="1">
      <alignment horizontal="center" vertical="center"/>
    </xf>
    <xf numFmtId="186" fontId="105" fillId="12" borderId="124" xfId="9" applyNumberFormat="1" applyFont="1" applyFill="1" applyBorder="1" applyAlignment="1">
      <alignment horizontal="center" vertical="center" wrapText="1"/>
    </xf>
    <xf numFmtId="186" fontId="105" fillId="12" borderId="130" xfId="9" applyNumberFormat="1" applyFont="1" applyFill="1" applyBorder="1" applyAlignment="1">
      <alignment horizontal="center" vertical="center" wrapText="1"/>
    </xf>
    <xf numFmtId="0" fontId="102" fillId="0" borderId="0" xfId="9" applyFont="1">
      <alignment vertical="center"/>
    </xf>
    <xf numFmtId="10" fontId="102" fillId="0" borderId="122" xfId="9" applyNumberFormat="1" applyFont="1" applyBorder="1">
      <alignment vertical="center"/>
    </xf>
    <xf numFmtId="10" fontId="102" fillId="0" borderId="0" xfId="9" applyNumberFormat="1" applyFont="1">
      <alignment vertical="center"/>
    </xf>
    <xf numFmtId="177" fontId="102" fillId="0" borderId="0" xfId="9" applyNumberFormat="1" applyFont="1">
      <alignment vertical="center"/>
    </xf>
    <xf numFmtId="181" fontId="102" fillId="0" borderId="122" xfId="9" applyNumberFormat="1" applyFont="1" applyBorder="1">
      <alignment vertical="center"/>
    </xf>
    <xf numFmtId="181" fontId="102" fillId="0" borderId="0" xfId="9" applyNumberFormat="1" applyFont="1">
      <alignment vertical="center"/>
    </xf>
    <xf numFmtId="186" fontId="102" fillId="0" borderId="0" xfId="9" applyNumberFormat="1" applyFont="1" applyAlignment="1">
      <alignment horizontal="center" vertical="center"/>
    </xf>
    <xf numFmtId="0" fontId="149" fillId="13" borderId="131" xfId="9" applyFont="1" applyFill="1" applyBorder="1" applyAlignment="1" applyProtection="1">
      <alignment horizontal="center" vertical="center" wrapText="1"/>
    </xf>
    <xf numFmtId="0" fontId="149" fillId="12" borderId="131" xfId="9" applyFont="1" applyFill="1" applyBorder="1" applyAlignment="1" applyProtection="1">
      <alignment horizontal="center" vertical="center" wrapText="1"/>
    </xf>
    <xf numFmtId="10" fontId="102" fillId="0" borderId="129" xfId="9" applyNumberFormat="1" applyFont="1" applyBorder="1">
      <alignment vertical="center"/>
    </xf>
    <xf numFmtId="10" fontId="102" fillId="0" borderId="60" xfId="9" applyNumberFormat="1" applyFont="1" applyBorder="1">
      <alignment vertical="center"/>
    </xf>
    <xf numFmtId="0" fontId="149" fillId="12" borderId="133" xfId="9" applyFont="1" applyFill="1" applyBorder="1" applyAlignment="1" applyProtection="1">
      <alignment horizontal="center" vertical="center" wrapText="1"/>
    </xf>
    <xf numFmtId="0" fontId="149" fillId="12" borderId="134" xfId="9" applyFont="1" applyFill="1" applyBorder="1" applyAlignment="1" applyProtection="1">
      <alignment horizontal="center" vertical="center" wrapText="1"/>
    </xf>
    <xf numFmtId="10" fontId="102" fillId="0" borderId="135" xfId="9" applyNumberFormat="1" applyFont="1" applyBorder="1">
      <alignment vertical="center"/>
    </xf>
    <xf numFmtId="10" fontId="102" fillId="0" borderId="36" xfId="9" applyNumberFormat="1" applyFont="1" applyBorder="1">
      <alignment vertical="center"/>
    </xf>
    <xf numFmtId="0" fontId="102" fillId="0" borderId="122" xfId="9" applyFont="1" applyBorder="1">
      <alignment vertical="center"/>
    </xf>
    <xf numFmtId="0" fontId="149" fillId="13" borderId="124" xfId="9" applyFont="1" applyFill="1" applyBorder="1" applyAlignment="1" applyProtection="1">
      <alignment horizontal="center" vertical="center" wrapText="1"/>
    </xf>
    <xf numFmtId="0" fontId="149" fillId="13" borderId="125" xfId="9" applyFont="1" applyFill="1" applyBorder="1" applyAlignment="1" applyProtection="1">
      <alignment horizontal="center" vertical="center" wrapText="1"/>
    </xf>
    <xf numFmtId="10" fontId="102" fillId="0" borderId="0" xfId="9" applyNumberFormat="1" applyFont="1" applyBorder="1">
      <alignment vertical="center"/>
    </xf>
    <xf numFmtId="186" fontId="105" fillId="12" borderId="127" xfId="9" applyNumberFormat="1" applyFont="1" applyFill="1" applyBorder="1" applyAlignment="1">
      <alignment horizontal="center" vertical="center" wrapText="1"/>
    </xf>
    <xf numFmtId="186" fontId="105" fillId="12" borderId="136" xfId="9" applyNumberFormat="1" applyFont="1" applyFill="1" applyBorder="1" applyAlignment="1">
      <alignment horizontal="center" vertical="center" wrapText="1"/>
    </xf>
    <xf numFmtId="0" fontId="102" fillId="13" borderId="124" xfId="9" applyFont="1" applyFill="1" applyBorder="1" applyAlignment="1" applyProtection="1">
      <alignment horizontal="center" vertical="center" wrapText="1"/>
    </xf>
    <xf numFmtId="0" fontId="102" fillId="13" borderId="125" xfId="9" applyFont="1" applyFill="1" applyBorder="1" applyAlignment="1" applyProtection="1">
      <alignment horizontal="center" vertical="center" wrapText="1"/>
    </xf>
    <xf numFmtId="49" fontId="54" fillId="5" borderId="1" xfId="9" applyNumberFormat="1" applyFont="1" applyFill="1" applyBorder="1" applyAlignment="1" applyProtection="1">
      <alignment horizontal="center" vertical="center" wrapText="1"/>
    </xf>
    <xf numFmtId="186" fontId="102" fillId="5" borderId="0" xfId="9" applyNumberFormat="1" applyFont="1" applyFill="1" applyAlignment="1">
      <alignment horizontal="center" vertical="center"/>
    </xf>
    <xf numFmtId="0" fontId="102" fillId="5" borderId="127" xfId="9" applyFont="1" applyFill="1" applyBorder="1" applyAlignment="1" applyProtection="1">
      <alignment horizontal="center" vertical="center" wrapText="1"/>
    </xf>
    <xf numFmtId="0" fontId="102" fillId="5" borderId="131" xfId="9" applyFont="1" applyFill="1" applyBorder="1" applyAlignment="1" applyProtection="1">
      <alignment horizontal="center" vertical="center" wrapText="1"/>
    </xf>
    <xf numFmtId="0" fontId="102" fillId="5" borderId="0" xfId="9" applyFont="1" applyFill="1">
      <alignment vertical="center"/>
    </xf>
    <xf numFmtId="10" fontId="102" fillId="5" borderId="122" xfId="9" applyNumberFormat="1" applyFont="1" applyFill="1" applyBorder="1">
      <alignment vertical="center"/>
    </xf>
    <xf numFmtId="10" fontId="102" fillId="5" borderId="0" xfId="9" applyNumberFormat="1" applyFont="1" applyFill="1">
      <alignment vertical="center"/>
    </xf>
    <xf numFmtId="177" fontId="102" fillId="5" borderId="0" xfId="9" applyNumberFormat="1" applyFont="1" applyFill="1">
      <alignment vertical="center"/>
    </xf>
    <xf numFmtId="10" fontId="102" fillId="5" borderId="129" xfId="9" applyNumberFormat="1" applyFont="1" applyFill="1" applyBorder="1">
      <alignment vertical="center"/>
    </xf>
    <xf numFmtId="10" fontId="102" fillId="5" borderId="60" xfId="9" applyNumberFormat="1" applyFont="1" applyFill="1" applyBorder="1">
      <alignment vertical="center"/>
    </xf>
    <xf numFmtId="0" fontId="127" fillId="5" borderId="0" xfId="9" applyFont="1" applyFill="1">
      <alignment vertical="center"/>
    </xf>
    <xf numFmtId="0" fontId="102" fillId="5" borderId="0" xfId="9" applyNumberFormat="1" applyFont="1" applyFill="1" applyAlignment="1">
      <alignment horizontal="center" vertical="center"/>
    </xf>
    <xf numFmtId="0" fontId="102" fillId="12" borderId="133" xfId="9" applyFont="1" applyFill="1" applyBorder="1" applyAlignment="1" applyProtection="1">
      <alignment horizontal="center" vertical="center" wrapText="1"/>
    </xf>
    <xf numFmtId="0" fontId="102" fillId="12" borderId="134" xfId="9" applyFont="1" applyFill="1" applyBorder="1" applyAlignment="1" applyProtection="1">
      <alignment horizontal="center" vertical="center" wrapText="1"/>
    </xf>
    <xf numFmtId="14" fontId="102" fillId="0" borderId="0" xfId="9" applyNumberFormat="1" applyFont="1">
      <alignment vertical="center"/>
    </xf>
    <xf numFmtId="0" fontId="127" fillId="0" borderId="0" xfId="9" applyFont="1">
      <alignment vertical="center"/>
    </xf>
    <xf numFmtId="0" fontId="102" fillId="0" borderId="0" xfId="9" applyNumberFormat="1" applyFont="1" applyAlignment="1">
      <alignment horizontal="center" vertical="center"/>
    </xf>
    <xf numFmtId="186" fontId="105" fillId="12" borderId="133" xfId="9" applyNumberFormat="1" applyFont="1" applyFill="1" applyBorder="1" applyAlignment="1">
      <alignment horizontal="center" vertical="center" wrapText="1"/>
    </xf>
    <xf numFmtId="186" fontId="105" fillId="12" borderId="137" xfId="9" applyNumberFormat="1" applyFont="1" applyFill="1" applyBorder="1" applyAlignment="1">
      <alignment horizontal="center" vertical="center" wrapText="1"/>
    </xf>
    <xf numFmtId="186" fontId="102" fillId="14" borderId="0" xfId="9" applyNumberFormat="1" applyFont="1" applyFill="1" applyAlignment="1">
      <alignment horizontal="center" vertical="center"/>
    </xf>
    <xf numFmtId="186" fontId="102" fillId="0" borderId="47" xfId="9" applyNumberFormat="1" applyFont="1" applyBorder="1" applyAlignment="1">
      <alignment horizontal="center" vertical="center"/>
    </xf>
    <xf numFmtId="0" fontId="149" fillId="13" borderId="138" xfId="9" applyFont="1" applyFill="1" applyBorder="1" applyAlignment="1" applyProtection="1">
      <alignment horizontal="center" vertical="center" wrapText="1"/>
    </xf>
    <xf numFmtId="0" fontId="149" fillId="13" borderId="139" xfId="9" applyFont="1" applyFill="1" applyBorder="1" applyAlignment="1" applyProtection="1">
      <alignment horizontal="center" vertical="center" wrapText="1"/>
    </xf>
    <xf numFmtId="0" fontId="102" fillId="0" borderId="47" xfId="9" applyFont="1" applyBorder="1">
      <alignment vertical="center"/>
    </xf>
    <xf numFmtId="10" fontId="102" fillId="0" borderId="140" xfId="9" applyNumberFormat="1" applyFont="1" applyBorder="1">
      <alignment vertical="center"/>
    </xf>
    <xf numFmtId="10" fontId="102" fillId="0" borderId="47" xfId="9" applyNumberFormat="1" applyFont="1" applyBorder="1">
      <alignment vertical="center"/>
    </xf>
    <xf numFmtId="177" fontId="102" fillId="0" borderId="47" xfId="9" applyNumberFormat="1" applyFont="1" applyBorder="1">
      <alignment vertical="center"/>
    </xf>
    <xf numFmtId="10" fontId="102" fillId="0" borderId="47" xfId="9" applyNumberFormat="1" applyFont="1" applyBorder="1" applyAlignment="1">
      <alignment horizontal="center" vertical="center"/>
    </xf>
    <xf numFmtId="0" fontId="149" fillId="12" borderId="141" xfId="9" applyFont="1" applyFill="1" applyBorder="1" applyAlignment="1" applyProtection="1">
      <alignment horizontal="center" vertical="center" wrapText="1"/>
    </xf>
    <xf numFmtId="0" fontId="149" fillId="12" borderId="142" xfId="9" applyFont="1" applyFill="1" applyBorder="1" applyAlignment="1" applyProtection="1">
      <alignment horizontal="center" vertical="center" wrapText="1"/>
    </xf>
    <xf numFmtId="10" fontId="102" fillId="15" borderId="122" xfId="9" applyNumberFormat="1" applyFont="1" applyFill="1" applyBorder="1">
      <alignment vertical="center"/>
    </xf>
    <xf numFmtId="10" fontId="102" fillId="15" borderId="0" xfId="9" applyNumberFormat="1" applyFont="1" applyFill="1">
      <alignment vertical="center"/>
    </xf>
    <xf numFmtId="178" fontId="102" fillId="0" borderId="0" xfId="9" applyNumberFormat="1" applyFont="1" applyAlignment="1">
      <alignment horizontal="center" vertical="center"/>
    </xf>
    <xf numFmtId="10" fontId="102" fillId="15" borderId="129" xfId="9" applyNumberFormat="1" applyFont="1" applyFill="1" applyBorder="1">
      <alignment vertical="center"/>
    </xf>
    <xf numFmtId="10" fontId="102" fillId="15" borderId="60" xfId="9" applyNumberFormat="1" applyFont="1" applyFill="1" applyBorder="1">
      <alignment vertical="center"/>
    </xf>
    <xf numFmtId="10" fontId="102" fillId="15" borderId="140" xfId="9" applyNumberFormat="1" applyFont="1" applyFill="1" applyBorder="1">
      <alignment vertical="center"/>
    </xf>
    <xf numFmtId="10" fontId="102" fillId="15" borderId="47" xfId="9" applyNumberFormat="1" applyFont="1" applyFill="1" applyBorder="1">
      <alignment vertical="center"/>
    </xf>
    <xf numFmtId="178" fontId="102" fillId="0" borderId="47" xfId="9" applyNumberFormat="1" applyFont="1" applyBorder="1" applyAlignment="1">
      <alignment horizontal="center" vertical="center"/>
    </xf>
    <xf numFmtId="0" fontId="105" fillId="13" borderId="143" xfId="9" applyFont="1" applyFill="1" applyBorder="1" applyAlignment="1">
      <alignment horizontal="center" vertical="center" wrapText="1"/>
    </xf>
    <xf numFmtId="0" fontId="105" fillId="13" borderId="144" xfId="9" applyFont="1" applyFill="1" applyBorder="1" applyAlignment="1">
      <alignment horizontal="center" vertical="center" wrapText="1"/>
    </xf>
    <xf numFmtId="180" fontId="102" fillId="0" borderId="0" xfId="9" applyNumberFormat="1" applyFont="1" applyAlignment="1">
      <alignment horizontal="center" vertical="center"/>
    </xf>
    <xf numFmtId="180" fontId="102" fillId="0" borderId="122" xfId="9" applyNumberFormat="1" applyFont="1" applyBorder="1" applyAlignment="1">
      <alignment horizontal="center" vertical="center"/>
    </xf>
    <xf numFmtId="177" fontId="102" fillId="15" borderId="0" xfId="9" applyNumberFormat="1" applyFont="1" applyFill="1" applyAlignment="1">
      <alignment horizontal="center" vertical="center"/>
    </xf>
    <xf numFmtId="0" fontId="149" fillId="13" borderId="133" xfId="9" applyFont="1" applyFill="1" applyBorder="1" applyAlignment="1" applyProtection="1">
      <alignment horizontal="center" vertical="center" wrapText="1"/>
    </xf>
    <xf numFmtId="0" fontId="105" fillId="12" borderId="133" xfId="9" applyFont="1" applyFill="1" applyBorder="1" applyAlignment="1">
      <alignment horizontal="center" vertical="center" wrapText="1"/>
    </xf>
    <xf numFmtId="0" fontId="105" fillId="12" borderId="137" xfId="9" applyFont="1" applyFill="1" applyBorder="1" applyAlignment="1">
      <alignment horizontal="center" vertical="center" wrapText="1"/>
    </xf>
    <xf numFmtId="177" fontId="102" fillId="5" borderId="0" xfId="9" applyNumberFormat="1" applyFont="1" applyFill="1" applyAlignment="1">
      <alignment horizontal="center" vertical="center"/>
    </xf>
    <xf numFmtId="0" fontId="149" fillId="5" borderId="127" xfId="9" applyFont="1" applyFill="1" applyBorder="1" applyAlignment="1" applyProtection="1">
      <alignment horizontal="center" vertical="center" wrapText="1"/>
    </xf>
    <xf numFmtId="180" fontId="102" fillId="5" borderId="0" xfId="9" applyNumberFormat="1" applyFont="1" applyFill="1" applyAlignment="1">
      <alignment horizontal="center" vertical="center"/>
    </xf>
    <xf numFmtId="0" fontId="102" fillId="5" borderId="122" xfId="9" applyFont="1" applyFill="1" applyBorder="1">
      <alignment vertical="center"/>
    </xf>
    <xf numFmtId="178" fontId="102" fillId="5" borderId="0" xfId="9" applyNumberFormat="1" applyFont="1" applyFill="1" applyAlignment="1">
      <alignment horizontal="center" vertical="center"/>
    </xf>
    <xf numFmtId="0" fontId="105" fillId="12" borderId="145" xfId="9" applyFont="1" applyFill="1" applyBorder="1" applyAlignment="1">
      <alignment horizontal="center" vertical="center" wrapText="1"/>
    </xf>
    <xf numFmtId="0" fontId="105" fillId="12" borderId="146" xfId="9" applyFont="1" applyFill="1" applyBorder="1" applyAlignment="1">
      <alignment horizontal="center" vertical="center" wrapText="1"/>
    </xf>
    <xf numFmtId="0" fontId="105" fillId="12" borderId="147" xfId="9" applyFont="1" applyFill="1" applyBorder="1" applyAlignment="1">
      <alignment horizontal="center" vertical="center" wrapText="1"/>
    </xf>
    <xf numFmtId="0" fontId="135" fillId="0" borderId="0" xfId="9" applyFont="1">
      <alignment vertical="center"/>
    </xf>
    <xf numFmtId="0" fontId="117" fillId="0" borderId="0" xfId="9" applyFont="1">
      <alignment vertical="center"/>
    </xf>
    <xf numFmtId="0" fontId="117" fillId="0" borderId="122" xfId="9" applyFont="1" applyBorder="1">
      <alignment vertical="center"/>
    </xf>
    <xf numFmtId="180" fontId="117" fillId="0" borderId="0" xfId="9" applyNumberFormat="1" applyFont="1" applyAlignment="1">
      <alignment horizontal="center" vertical="center"/>
    </xf>
    <xf numFmtId="180" fontId="117" fillId="0" borderId="122" xfId="9" applyNumberFormat="1" applyFont="1" applyBorder="1" applyAlignment="1">
      <alignment horizontal="center" vertical="center"/>
    </xf>
    <xf numFmtId="0" fontId="149" fillId="13" borderId="148" xfId="9" applyFont="1" applyFill="1" applyBorder="1" applyAlignment="1">
      <alignment horizontal="center" vertical="center" wrapText="1"/>
    </xf>
    <xf numFmtId="0" fontId="149" fillId="13" borderId="124" xfId="9" applyFont="1" applyFill="1" applyBorder="1" applyAlignment="1">
      <alignment horizontal="center" vertical="center" wrapText="1"/>
    </xf>
    <xf numFmtId="0" fontId="149" fillId="12" borderId="149" xfId="9" applyFont="1" applyFill="1" applyBorder="1" applyAlignment="1">
      <alignment horizontal="center" vertical="center" wrapText="1"/>
    </xf>
    <xf numFmtId="0" fontId="149" fillId="12" borderId="127" xfId="9" applyFont="1" applyFill="1" applyBorder="1" applyAlignment="1">
      <alignment horizontal="center" vertical="center" wrapText="1"/>
    </xf>
    <xf numFmtId="0" fontId="149" fillId="13" borderId="149" xfId="9" applyFont="1" applyFill="1" applyBorder="1" applyAlignment="1">
      <alignment horizontal="center" vertical="center" wrapText="1"/>
    </xf>
    <xf numFmtId="0" fontId="149" fillId="13" borderId="127" xfId="9" applyFont="1" applyFill="1" applyBorder="1" applyAlignment="1">
      <alignment horizontal="center" vertical="center" wrapText="1"/>
    </xf>
    <xf numFmtId="0" fontId="149" fillId="12" borderId="150" xfId="9" applyFont="1" applyFill="1" applyBorder="1" applyAlignment="1">
      <alignment horizontal="center" vertical="center" wrapText="1"/>
    </xf>
    <xf numFmtId="0" fontId="149" fillId="12" borderId="133" xfId="9" applyFont="1" applyFill="1" applyBorder="1" applyAlignment="1">
      <alignment horizontal="center" vertical="center" wrapText="1"/>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52" fillId="6" borderId="47" xfId="8" applyFont="1" applyFill="1" applyBorder="1" applyAlignment="1" applyProtection="1">
      <alignment vertical="center" wrapText="1"/>
      <protection locked="0"/>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49" fontId="45" fillId="0" borderId="5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90" fontId="45" fillId="6" borderId="30" xfId="0" applyNumberFormat="1" applyFont="1" applyFill="1" applyBorder="1" applyAlignment="1" applyProtection="1">
      <alignment horizontal="center" vertical="center" wrapText="1"/>
    </xf>
    <xf numFmtId="190" fontId="45" fillId="6" borderId="9" xfId="0" applyNumberFormat="1" applyFont="1" applyFill="1" applyBorder="1" applyAlignment="1" applyProtection="1">
      <alignment horizontal="center" vertical="center" wrapText="1"/>
    </xf>
    <xf numFmtId="190"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xf>
    <xf numFmtId="0" fontId="54"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vertical="center" wrapText="1"/>
    </xf>
    <xf numFmtId="0" fontId="58"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9"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4"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9"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7"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7" fillId="0" borderId="0" xfId="2" applyFont="1" applyAlignment="1"/>
    <xf numFmtId="0" fontId="127"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7"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1" fillId="0" borderId="87" xfId="0" applyFont="1" applyBorder="1" applyAlignment="1"/>
    <xf numFmtId="0" fontId="111"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3" fillId="0" borderId="1" xfId="5" applyFont="1" applyFill="1" applyBorder="1">
      <alignment vertical="center"/>
    </xf>
    <xf numFmtId="0" fontId="123"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left"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0" borderId="113" xfId="0" applyNumberFormat="1" applyFont="1" applyFill="1" applyBorder="1" applyAlignment="1" applyProtection="1">
      <alignment horizontal="center" vertical="center" wrapText="1"/>
      <protection locked="0"/>
    </xf>
    <xf numFmtId="0" fontId="102" fillId="6" borderId="99"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102" fillId="14" borderId="0" xfId="9" applyFont="1" applyFill="1" applyAlignment="1">
      <alignment horizontal="center" vertical="center"/>
    </xf>
    <xf numFmtId="10" fontId="102" fillId="5" borderId="0" xfId="9" applyNumberFormat="1" applyFont="1" applyFill="1" applyAlignment="1">
      <alignment horizontal="center" vertical="center"/>
    </xf>
    <xf numFmtId="0" fontId="55" fillId="6" borderId="1" xfId="0" applyNumberFormat="1" applyFont="1" applyFill="1" applyBorder="1" applyAlignment="1" applyProtection="1">
      <alignment horizontal="right" vertical="center"/>
    </xf>
    <xf numFmtId="49" fontId="54" fillId="14" borderId="1" xfId="9" applyNumberFormat="1" applyFont="1" applyFill="1" applyBorder="1" applyAlignment="1" applyProtection="1">
      <alignment horizontal="center" vertical="center" wrapText="1"/>
    </xf>
    <xf numFmtId="0" fontId="149" fillId="14" borderId="127" xfId="9" applyFont="1" applyFill="1" applyBorder="1" applyAlignment="1" applyProtection="1">
      <alignment horizontal="center" vertical="center" wrapText="1"/>
    </xf>
    <xf numFmtId="0" fontId="105" fillId="14" borderId="0" xfId="9" applyFont="1" applyFill="1">
      <alignment vertical="center"/>
    </xf>
    <xf numFmtId="0" fontId="105" fillId="14" borderId="0" xfId="9" applyFont="1" applyFill="1" applyAlignment="1">
      <alignment horizontal="center" vertical="center"/>
    </xf>
    <xf numFmtId="0" fontId="105" fillId="14" borderId="122" xfId="9" applyFont="1" applyFill="1" applyBorder="1" applyAlignment="1">
      <alignment horizontal="center"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6" fillId="0" borderId="0" xfId="0" applyFont="1">
      <alignment vertical="center"/>
    </xf>
    <xf numFmtId="0" fontId="167" fillId="0" borderId="0" xfId="12"/>
    <xf numFmtId="0" fontId="97" fillId="6" borderId="1" xfId="12" applyFont="1" applyFill="1" applyBorder="1"/>
    <xf numFmtId="0" fontId="167" fillId="0" borderId="0" xfId="12" applyBorder="1"/>
    <xf numFmtId="0" fontId="168" fillId="6" borderId="13" xfId="12" applyFont="1" applyFill="1" applyBorder="1" applyAlignment="1">
      <alignment horizontal="center" vertical="center" wrapText="1"/>
    </xf>
    <xf numFmtId="0" fontId="168" fillId="0" borderId="0" xfId="12" applyFont="1" applyBorder="1" applyAlignment="1">
      <alignment horizontal="left" vertical="center" wrapText="1"/>
    </xf>
    <xf numFmtId="0" fontId="168" fillId="6" borderId="1" xfId="12" applyFont="1" applyFill="1" applyBorder="1" applyAlignment="1">
      <alignment horizontal="center" vertical="center" wrapText="1"/>
    </xf>
    <xf numFmtId="14" fontId="168" fillId="6" borderId="1" xfId="12" applyNumberFormat="1" applyFont="1" applyFill="1" applyBorder="1" applyAlignment="1">
      <alignment horizontal="center" vertical="center" wrapText="1"/>
    </xf>
    <xf numFmtId="0" fontId="168" fillId="13" borderId="1" xfId="12" applyFont="1" applyFill="1" applyBorder="1" applyAlignment="1" applyProtection="1">
      <alignment horizontal="center" vertical="center" wrapText="1"/>
      <protection locked="0"/>
    </xf>
    <xf numFmtId="0" fontId="167" fillId="0" borderId="1" xfId="12" applyBorder="1" applyProtection="1">
      <protection locked="0"/>
    </xf>
    <xf numFmtId="0" fontId="168" fillId="0" borderId="1" xfId="12" applyFont="1" applyBorder="1" applyAlignment="1" applyProtection="1">
      <alignment horizontal="left" vertical="center" wrapText="1"/>
      <protection locked="0"/>
    </xf>
    <xf numFmtId="0" fontId="167" fillId="6" borderId="1" xfId="12" applyFill="1" applyBorder="1" applyAlignment="1">
      <alignment vertical="center"/>
    </xf>
    <xf numFmtId="0" fontId="172" fillId="6" borderId="1" xfId="0" applyFont="1" applyFill="1" applyBorder="1" applyAlignment="1">
      <alignment horizontal="left" vertical="center" wrapText="1"/>
    </xf>
    <xf numFmtId="181" fontId="48" fillId="6" borderId="0" xfId="0" applyNumberFormat="1" applyFont="1" applyFill="1" applyProtection="1">
      <alignment vertical="center"/>
    </xf>
    <xf numFmtId="0" fontId="109" fillId="6" borderId="1" xfId="0"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xf>
    <xf numFmtId="9" fontId="109" fillId="6" borderId="1" xfId="0" applyNumberFormat="1" applyFont="1" applyFill="1" applyBorder="1" applyAlignment="1" applyProtection="1">
      <alignment horizontal="center" vertical="center"/>
    </xf>
    <xf numFmtId="0" fontId="109" fillId="6" borderId="13" xfId="0" applyFont="1" applyFill="1" applyBorder="1" applyAlignment="1" applyProtection="1">
      <alignment horizontal="center" vertical="center" wrapText="1"/>
    </xf>
    <xf numFmtId="9" fontId="109" fillId="6" borderId="13" xfId="0" applyNumberFormat="1" applyFont="1" applyFill="1" applyBorder="1" applyAlignment="1" applyProtection="1">
      <alignment horizontal="center" vertical="center"/>
    </xf>
    <xf numFmtId="0" fontId="109" fillId="6" borderId="46" xfId="0" applyFont="1" applyFill="1" applyBorder="1" applyAlignment="1" applyProtection="1">
      <alignment vertical="center" wrapText="1"/>
    </xf>
    <xf numFmtId="0" fontId="109" fillId="6" borderId="36"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58" xfId="0" applyFont="1" applyFill="1" applyBorder="1" applyAlignment="1" applyProtection="1">
      <alignment vertical="center" wrapText="1"/>
    </xf>
    <xf numFmtId="0" fontId="109" fillId="6" borderId="0" xfId="0" applyFont="1" applyFill="1" applyBorder="1" applyAlignment="1" applyProtection="1">
      <alignment horizontal="center" vertical="center" wrapText="1"/>
    </xf>
    <xf numFmtId="0" fontId="109" fillId="6" borderId="4" xfId="0" applyFont="1" applyFill="1" applyBorder="1" applyAlignment="1" applyProtection="1">
      <alignment vertical="center" wrapText="1"/>
    </xf>
    <xf numFmtId="0" fontId="109" fillId="6" borderId="60" xfId="0" applyFont="1" applyFill="1" applyBorder="1" applyAlignment="1" applyProtection="1">
      <alignment horizontal="center" vertical="center" wrapText="1"/>
    </xf>
    <xf numFmtId="0" fontId="102" fillId="6" borderId="0" xfId="0" applyFont="1" applyFill="1" applyAlignment="1" applyProtection="1">
      <alignment vertical="center"/>
      <protection locked="0"/>
    </xf>
    <xf numFmtId="0" fontId="101" fillId="6" borderId="0" xfId="0" applyFont="1" applyFill="1" applyAlignment="1" applyProtection="1">
      <alignment horizontal="left" vertical="center"/>
      <protection locked="0"/>
    </xf>
    <xf numFmtId="9" fontId="174" fillId="0" borderId="1" xfId="0" applyNumberFormat="1" applyFont="1" applyFill="1" applyBorder="1" applyAlignment="1">
      <alignment horizontal="center" vertical="center"/>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77" fillId="0" borderId="109"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5" fillId="6" borderId="0" xfId="0" applyFont="1" applyFill="1" applyAlignment="1" applyProtection="1">
      <alignment horizontal="left" vertical="center"/>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2"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102" fillId="0" borderId="0" xfId="9" applyFont="1" applyFill="1" applyAlignment="1">
      <alignment horizontal="center" vertical="center"/>
    </xf>
    <xf numFmtId="10" fontId="102" fillId="0" borderId="0" xfId="9" applyNumberFormat="1" applyFont="1" applyFill="1" applyAlignment="1">
      <alignment horizontal="center" vertical="center"/>
    </xf>
    <xf numFmtId="0" fontId="102" fillId="0" borderId="0" xfId="9" applyFont="1" applyFill="1">
      <alignment vertical="center"/>
    </xf>
    <xf numFmtId="186" fontId="150" fillId="14" borderId="0" xfId="9" applyNumberFormat="1" applyFont="1" applyFill="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48" xfId="0" applyFont="1" applyFill="1" applyBorder="1" applyAlignment="1" applyProtection="1">
      <alignment horizontal="left" vertical="center" wrapText="1"/>
    </xf>
    <xf numFmtId="0" fontId="48" fillId="6" borderId="3" xfId="0" applyFont="1" applyFill="1" applyBorder="1" applyAlignment="1" applyProtection="1">
      <alignment horizontal="center" vertical="center" wrapText="1"/>
    </xf>
    <xf numFmtId="0" fontId="102" fillId="6" borderId="1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8" fillId="6" borderId="119"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77" fontId="55" fillId="7"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54" fillId="7" borderId="0" xfId="0" applyFont="1" applyFill="1" applyAlignment="1" applyProtection="1">
      <alignmen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9" fillId="7" borderId="0" xfId="0" applyFont="1" applyFill="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102" fillId="6" borderId="0" xfId="0" applyFont="1" applyFill="1" applyAlignment="1" applyProtection="1"/>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102" fillId="6" borderId="0" xfId="0" applyFont="1" applyFill="1" applyAlignment="1" applyProtection="1">
      <alignment horizontal="left"/>
    </xf>
    <xf numFmtId="0" fontId="53" fillId="6" borderId="0" xfId="0" applyFont="1" applyFill="1" applyAlignment="1" applyProtection="1">
      <alignment horizontal="left"/>
    </xf>
    <xf numFmtId="0" fontId="53" fillId="6" borderId="0" xfId="0" applyFont="1" applyFill="1" applyAlignment="1" applyProtection="1"/>
    <xf numFmtId="0" fontId="54" fillId="6" borderId="0" xfId="0" applyFont="1" applyFill="1" applyAlignment="1" applyProtection="1">
      <alignment horizontal="left" vertical="center"/>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5"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5"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48"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200" fillId="0" borderId="0" xfId="5" applyFont="1">
      <alignment vertical="center"/>
    </xf>
    <xf numFmtId="0" fontId="97" fillId="0" borderId="0" xfId="0" applyFont="1" applyProtection="1">
      <alignment vertical="center"/>
      <protection locked="0"/>
    </xf>
    <xf numFmtId="0" fontId="209"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210" fillId="0" borderId="0" xfId="0" applyFont="1" applyAlignment="1">
      <alignment vertical="center"/>
    </xf>
    <xf numFmtId="0" fontId="136"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6" fillId="0" borderId="0" xfId="0" applyFont="1" applyFill="1" applyAlignment="1">
      <alignment vertical="center" wrapText="1"/>
    </xf>
    <xf numFmtId="0" fontId="210"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4" fillId="5" borderId="0" xfId="0" applyFont="1" applyFill="1" applyProtection="1">
      <alignment vertical="center"/>
      <protection locked="0"/>
    </xf>
    <xf numFmtId="0" fontId="101" fillId="0" borderId="0" xfId="0" applyFont="1" applyProtection="1">
      <alignment vertical="center"/>
      <protection locked="0"/>
    </xf>
    <xf numFmtId="0" fontId="210"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210"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6"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7"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6" fillId="0" borderId="0" xfId="0" applyFont="1" applyAlignment="1">
      <alignment horizontal="right" vertical="center"/>
    </xf>
    <xf numFmtId="0" fontId="97"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1"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62" fillId="6" borderId="26" xfId="0" applyFont="1" applyFill="1" applyBorder="1" applyAlignment="1" applyProtection="1">
      <alignment vertical="center" wrapText="1"/>
    </xf>
    <xf numFmtId="0" fontId="62" fillId="6" borderId="0" xfId="0" applyFont="1" applyFill="1" applyBorder="1" applyAlignment="1" applyProtection="1">
      <alignment vertical="center" wrapText="1"/>
    </xf>
    <xf numFmtId="0" fontId="62" fillId="6" borderId="58" xfId="0" applyFont="1" applyFill="1" applyBorder="1" applyAlignment="1" applyProtection="1">
      <alignment vertical="center" wrapText="1"/>
    </xf>
    <xf numFmtId="49" fontId="45" fillId="6" borderId="0" xfId="0" applyNumberFormat="1" applyFont="1" applyFill="1" applyAlignment="1" applyProtection="1">
      <alignment horizontal="center" vertical="center" wrapText="1"/>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0" borderId="0" xfId="0" applyFont="1" applyFill="1" applyBorder="1" applyAlignment="1" applyProtection="1">
      <alignment vertical="center" wrapText="1"/>
    </xf>
    <xf numFmtId="0" fontId="62" fillId="6" borderId="0" xfId="0" applyFont="1" applyFill="1" applyBorder="1" applyAlignment="1" applyProtection="1">
      <alignment horizontal="center" vertical="center" wrapText="1"/>
    </xf>
    <xf numFmtId="0" fontId="62" fillId="6" borderId="1" xfId="0" applyFont="1" applyFill="1" applyBorder="1" applyAlignment="1" applyProtection="1">
      <alignment horizontal="left" vertical="center"/>
    </xf>
    <xf numFmtId="14" fontId="62" fillId="0" borderId="13" xfId="0" applyNumberFormat="1" applyFont="1" applyFill="1" applyBorder="1" applyAlignment="1" applyProtection="1">
      <alignment horizontal="left" vertical="center"/>
      <protection locked="0"/>
    </xf>
    <xf numFmtId="0" fontId="62" fillId="6" borderId="1" xfId="0" applyFont="1" applyFill="1" applyBorder="1" applyAlignment="1" applyProtection="1">
      <alignment vertical="center" wrapText="1"/>
    </xf>
    <xf numFmtId="0" fontId="62" fillId="6" borderId="78" xfId="0" applyFont="1" applyFill="1" applyBorder="1" applyAlignment="1" applyProtection="1">
      <alignment horizontal="left" vertical="center"/>
    </xf>
    <xf numFmtId="14" fontId="62" fillId="5" borderId="78" xfId="0" applyNumberFormat="1" applyFont="1" applyFill="1" applyBorder="1" applyAlignment="1" applyProtection="1">
      <alignment horizontal="center" vertical="center"/>
      <protection locked="0"/>
    </xf>
    <xf numFmtId="0" fontId="62" fillId="6" borderId="85" xfId="0" applyFont="1" applyFill="1" applyBorder="1" applyAlignment="1" applyProtection="1">
      <alignment vertical="center" wrapText="1"/>
    </xf>
    <xf numFmtId="0" fontId="62" fillId="6" borderId="119" xfId="0" applyFont="1" applyFill="1" applyBorder="1" applyAlignment="1" applyProtection="1">
      <alignment vertical="center" wrapText="1"/>
    </xf>
    <xf numFmtId="0" fontId="62" fillId="6" borderId="0" xfId="0" applyFont="1" applyFill="1" applyAlignment="1" applyProtection="1">
      <alignment vertical="center" wrapText="1"/>
    </xf>
    <xf numFmtId="0" fontId="62" fillId="6" borderId="58" xfId="0" applyNumberFormat="1" applyFont="1" applyFill="1" applyBorder="1" applyAlignment="1" applyProtection="1">
      <alignment horizontal="left" vertical="center"/>
    </xf>
    <xf numFmtId="0" fontId="62" fillId="6" borderId="4" xfId="0" applyFont="1" applyFill="1" applyBorder="1" applyAlignment="1" applyProtection="1">
      <alignment vertical="center" wrapText="1"/>
    </xf>
    <xf numFmtId="0" fontId="62" fillId="7" borderId="60" xfId="0" applyFont="1" applyFill="1" applyBorder="1" applyAlignment="1" applyProtection="1">
      <alignment vertical="center" wrapText="1"/>
    </xf>
    <xf numFmtId="0" fontId="62" fillId="7" borderId="7" xfId="0" applyFont="1" applyFill="1" applyBorder="1" applyAlignment="1" applyProtection="1">
      <alignment vertical="center" wrapText="1"/>
    </xf>
    <xf numFmtId="0" fontId="62" fillId="6" borderId="46" xfId="0" applyFont="1" applyFill="1" applyBorder="1" applyAlignment="1" applyProtection="1">
      <alignment vertical="center" wrapText="1"/>
    </xf>
    <xf numFmtId="0" fontId="62" fillId="7" borderId="54" xfId="0" applyFont="1" applyFill="1" applyBorder="1" applyAlignment="1" applyProtection="1">
      <alignment vertical="center" wrapText="1"/>
    </xf>
    <xf numFmtId="0" fontId="62" fillId="7" borderId="22" xfId="0" applyFont="1" applyFill="1" applyBorder="1" applyAlignment="1" applyProtection="1">
      <alignment vertical="center" wrapText="1"/>
    </xf>
    <xf numFmtId="0" fontId="62" fillId="6" borderId="58" xfId="0" applyNumberFormat="1" applyFont="1" applyFill="1" applyBorder="1" applyAlignment="1" applyProtection="1">
      <alignment horizontal="center" vertical="center" wrapText="1"/>
    </xf>
    <xf numFmtId="0" fontId="62" fillId="7" borderId="5" xfId="0" applyFont="1" applyFill="1" applyBorder="1" applyAlignment="1" applyProtection="1">
      <alignment vertical="center" wrapText="1"/>
      <protection locked="0"/>
    </xf>
    <xf numFmtId="49" fontId="62" fillId="6" borderId="58" xfId="0" applyNumberFormat="1" applyFont="1" applyFill="1" applyBorder="1" applyAlignment="1" applyProtection="1">
      <alignment horizontal="center" vertical="center" wrapText="1"/>
    </xf>
    <xf numFmtId="0" fontId="62" fillId="5" borderId="5" xfId="0" applyFont="1" applyFill="1" applyBorder="1" applyAlignment="1" applyProtection="1">
      <alignment horizontal="left" vertical="center" wrapText="1"/>
      <protection locked="0"/>
    </xf>
    <xf numFmtId="0" fontId="62" fillId="5" borderId="54" xfId="0" applyFont="1" applyFill="1" applyBorder="1" applyAlignment="1" applyProtection="1">
      <alignment vertical="center" wrapText="1"/>
    </xf>
    <xf numFmtId="0" fontId="62" fillId="5" borderId="13" xfId="0" applyFont="1" applyFill="1" applyBorder="1" applyAlignment="1" applyProtection="1">
      <alignment horizontal="left" vertical="center"/>
      <protection locked="0"/>
    </xf>
    <xf numFmtId="0" fontId="62" fillId="5" borderId="22" xfId="0" applyFont="1" applyFill="1" applyBorder="1" applyAlignment="1" applyProtection="1">
      <alignment vertical="center" wrapText="1"/>
    </xf>
    <xf numFmtId="0" fontId="62" fillId="5" borderId="85" xfId="0" applyFont="1" applyFill="1" applyBorder="1" applyAlignment="1" applyProtection="1">
      <alignment horizontal="left" vertical="center"/>
      <protection locked="0"/>
    </xf>
    <xf numFmtId="0" fontId="62" fillId="5" borderId="88" xfId="0" applyFont="1" applyFill="1" applyBorder="1" applyAlignment="1" applyProtection="1">
      <alignment vertical="center" wrapText="1"/>
    </xf>
    <xf numFmtId="0" fontId="62" fillId="5" borderId="119" xfId="0" applyFont="1" applyFill="1" applyBorder="1" applyAlignment="1" applyProtection="1">
      <alignment vertical="center" wrapText="1"/>
    </xf>
    <xf numFmtId="0" fontId="62" fillId="6" borderId="87" xfId="0" applyFont="1" applyFill="1" applyBorder="1" applyAlignment="1" applyProtection="1">
      <alignment vertical="center" wrapText="1"/>
    </xf>
    <xf numFmtId="0" fontId="62" fillId="6" borderId="2" xfId="0" applyFont="1" applyFill="1" applyBorder="1" applyAlignment="1" applyProtection="1">
      <alignment horizontal="left" vertical="center"/>
    </xf>
    <xf numFmtId="0" fontId="62" fillId="2" borderId="7" xfId="0" applyFont="1" applyFill="1" applyBorder="1" applyAlignment="1" applyProtection="1">
      <alignment horizontal="center" vertical="center" wrapText="1"/>
      <protection locked="0"/>
    </xf>
    <xf numFmtId="0" fontId="62" fillId="7" borderId="60" xfId="0" applyFont="1" applyFill="1" applyBorder="1" applyAlignment="1" applyProtection="1">
      <alignment vertical="center" wrapText="1"/>
      <protection locked="0"/>
    </xf>
    <xf numFmtId="49" fontId="62" fillId="6" borderId="2" xfId="0" applyNumberFormat="1" applyFont="1" applyFill="1" applyBorder="1" applyAlignment="1" applyProtection="1">
      <alignment horizontal="left" vertical="center" wrapText="1"/>
    </xf>
    <xf numFmtId="49" fontId="227" fillId="0" borderId="4" xfId="0" applyNumberFormat="1" applyFont="1" applyFill="1" applyBorder="1" applyAlignment="1" applyProtection="1">
      <alignment horizontal="left" vertical="center"/>
      <protection locked="0"/>
    </xf>
    <xf numFmtId="0" fontId="62" fillId="0" borderId="60" xfId="0" applyFont="1" applyFill="1" applyBorder="1" applyAlignment="1" applyProtection="1">
      <alignment vertical="center" wrapText="1"/>
    </xf>
    <xf numFmtId="0" fontId="62" fillId="7" borderId="60" xfId="0" applyFont="1" applyFill="1" applyBorder="1" applyAlignment="1" applyProtection="1">
      <alignment horizontal="center" vertical="center" wrapText="1"/>
    </xf>
    <xf numFmtId="0" fontId="62" fillId="6" borderId="46" xfId="0" applyFont="1" applyFill="1" applyBorder="1" applyAlignment="1" applyProtection="1">
      <alignment horizontal="left" vertical="center"/>
    </xf>
    <xf numFmtId="0" fontId="62" fillId="5" borderId="13" xfId="0" applyFont="1" applyFill="1" applyBorder="1" applyAlignment="1" applyProtection="1">
      <alignment horizontal="center" vertical="center" wrapText="1"/>
      <protection locked="0"/>
    </xf>
    <xf numFmtId="0" fontId="62" fillId="7" borderId="54" xfId="0" applyFont="1" applyFill="1" applyBorder="1" applyAlignment="1" applyProtection="1">
      <alignment vertical="center" wrapText="1"/>
      <protection locked="0"/>
    </xf>
    <xf numFmtId="0" fontId="62" fillId="7" borderId="3" xfId="0" applyFont="1" applyFill="1" applyBorder="1" applyAlignment="1" applyProtection="1">
      <alignment vertical="center" wrapText="1"/>
    </xf>
    <xf numFmtId="49" fontId="62" fillId="6" borderId="13" xfId="0" applyNumberFormat="1" applyFont="1" applyFill="1" applyBorder="1" applyAlignment="1" applyProtection="1">
      <alignment horizontal="left" vertical="center" wrapText="1"/>
    </xf>
    <xf numFmtId="0" fontId="45" fillId="6" borderId="1" xfId="0" applyFont="1" applyFill="1" applyBorder="1" applyAlignment="1" applyProtection="1">
      <alignment vertical="center" wrapText="1"/>
    </xf>
    <xf numFmtId="49" fontId="45" fillId="6" borderId="1" xfId="0" applyNumberFormat="1" applyFont="1" applyFill="1" applyBorder="1" applyAlignment="1" applyProtection="1">
      <alignment horizontal="center" vertical="center" wrapText="1"/>
    </xf>
    <xf numFmtId="0" fontId="62" fillId="6" borderId="15" xfId="0" applyFont="1" applyFill="1" applyBorder="1" applyAlignment="1" applyProtection="1">
      <alignment horizontal="left" vertical="center"/>
    </xf>
    <xf numFmtId="0" fontId="62" fillId="2" borderId="15" xfId="0" applyFont="1" applyFill="1" applyBorder="1" applyAlignment="1" applyProtection="1">
      <alignment horizontal="left" vertical="center" wrapText="1"/>
    </xf>
    <xf numFmtId="0" fontId="62" fillId="6" borderId="60" xfId="0" applyFont="1" applyFill="1" applyBorder="1" applyAlignment="1" applyProtection="1">
      <alignment vertical="center" wrapText="1"/>
    </xf>
    <xf numFmtId="184" fontId="62" fillId="0" borderId="1" xfId="0" applyNumberFormat="1" applyFont="1" applyFill="1" applyBorder="1" applyAlignment="1" applyProtection="1">
      <alignment horizontal="center" vertical="center" shrinkToFit="1"/>
      <protection locked="0"/>
    </xf>
    <xf numFmtId="177" fontId="62" fillId="6" borderId="58"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left" vertical="center" wrapText="1"/>
    </xf>
    <xf numFmtId="179" fontId="62" fillId="6" borderId="58" xfId="0" applyNumberFormat="1" applyFont="1" applyFill="1" applyBorder="1" applyAlignment="1" applyProtection="1">
      <alignment horizontal="center" vertical="center" wrapText="1"/>
    </xf>
    <xf numFmtId="0" fontId="45" fillId="6" borderId="0" xfId="0" applyNumberFormat="1" applyFont="1" applyFill="1" applyAlignment="1" applyProtection="1">
      <alignment horizontal="center" vertical="center" wrapText="1"/>
    </xf>
    <xf numFmtId="0" fontId="45" fillId="6" borderId="0" xfId="0" applyNumberFormat="1" applyFont="1" applyFill="1" applyAlignment="1" applyProtection="1">
      <alignment vertical="center" wrapText="1"/>
    </xf>
    <xf numFmtId="49" fontId="62" fillId="6" borderId="15" xfId="0" applyNumberFormat="1" applyFont="1" applyFill="1" applyBorder="1" applyAlignment="1" applyProtection="1">
      <alignment horizontal="left" vertical="center" wrapText="1"/>
    </xf>
    <xf numFmtId="0" fontId="62" fillId="6" borderId="13" xfId="0" applyFont="1" applyFill="1" applyBorder="1" applyAlignment="1" applyProtection="1">
      <alignment horizontal="left" vertical="center"/>
    </xf>
    <xf numFmtId="0" fontId="62" fillId="6" borderId="1" xfId="0" applyFont="1" applyFill="1" applyBorder="1" applyAlignment="1" applyProtection="1">
      <alignment horizontal="left" vertical="center" wrapText="1"/>
    </xf>
    <xf numFmtId="179" fontId="62" fillId="6" borderId="58" xfId="0" applyNumberFormat="1" applyFont="1" applyFill="1" applyBorder="1" applyAlignment="1" applyProtection="1">
      <alignment horizontal="left" vertical="center"/>
    </xf>
    <xf numFmtId="0" fontId="62" fillId="5" borderId="77" xfId="0" applyFont="1" applyFill="1" applyBorder="1" applyAlignment="1" applyProtection="1">
      <alignment horizontal="left" vertical="center" wrapText="1"/>
      <protection locked="0"/>
    </xf>
    <xf numFmtId="0" fontId="62" fillId="6" borderId="78" xfId="0" applyFont="1" applyFill="1" applyBorder="1" applyAlignment="1" applyProtection="1">
      <alignment horizontal="lef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right" vertical="center" wrapText="1"/>
    </xf>
    <xf numFmtId="0" fontId="48" fillId="6" borderId="27" xfId="0" applyFont="1" applyFill="1" applyBorder="1" applyAlignment="1" applyProtection="1">
      <alignment vertical="center"/>
    </xf>
    <xf numFmtId="0" fontId="56" fillId="5" borderId="23" xfId="0" applyFont="1" applyFill="1" applyBorder="1" applyAlignment="1" applyProtection="1">
      <alignment horizontal="center" vertical="center" wrapText="1"/>
      <protection locked="0"/>
    </xf>
    <xf numFmtId="0" fontId="48" fillId="5" borderId="24"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8" fillId="5" borderId="5" xfId="0" applyFont="1" applyFill="1" applyBorder="1" applyAlignment="1" applyProtection="1">
      <alignment horizontal="center" vertical="center" wrapText="1"/>
      <protection locked="0"/>
    </xf>
    <xf numFmtId="0" fontId="48" fillId="0" borderId="86" xfId="0" applyFont="1" applyBorder="1" applyAlignment="1" applyProtection="1">
      <alignment vertical="center" wrapText="1"/>
      <protection locked="0"/>
    </xf>
    <xf numFmtId="0" fontId="56" fillId="5" borderId="23" xfId="0" applyFont="1" applyFill="1" applyBorder="1" applyAlignment="1" applyProtection="1">
      <alignment horizontal="center" vertical="center" wrapText="1" shrinkToFit="1"/>
      <protection locked="0"/>
    </xf>
    <xf numFmtId="0" fontId="62" fillId="6" borderId="56" xfId="0" applyFont="1" applyFill="1" applyBorder="1" applyAlignment="1" applyProtection="1">
      <alignment vertical="center" wrapText="1"/>
    </xf>
    <xf numFmtId="0" fontId="48" fillId="6" borderId="18" xfId="0" applyFont="1" applyFill="1" applyBorder="1" applyAlignment="1" applyProtection="1">
      <alignment horizontal="right" vertical="center" wrapText="1"/>
    </xf>
    <xf numFmtId="184" fontId="177" fillId="0" borderId="24" xfId="0" applyNumberFormat="1" applyFont="1" applyFill="1" applyBorder="1" applyAlignment="1" applyProtection="1">
      <alignment horizontal="left" vertical="center" shrinkToFit="1"/>
      <protection locked="0"/>
    </xf>
    <xf numFmtId="0" fontId="48" fillId="6" borderId="16" xfId="0" applyFont="1" applyFill="1" applyBorder="1" applyAlignment="1" applyProtection="1">
      <alignment horizontal="right" vertical="center" wrapText="1"/>
    </xf>
    <xf numFmtId="184" fontId="177" fillId="0" borderId="21" xfId="0" applyNumberFormat="1" applyFont="1" applyFill="1" applyBorder="1" applyAlignment="1" applyProtection="1">
      <alignment horizontal="left" vertical="center" shrinkToFit="1"/>
      <protection locked="0"/>
    </xf>
    <xf numFmtId="0" fontId="48" fillId="6" borderId="58" xfId="0" applyFont="1" applyFill="1" applyBorder="1" applyAlignment="1" applyProtection="1">
      <alignment horizontal="center" vertical="center" wrapText="1"/>
    </xf>
    <xf numFmtId="0" fontId="48" fillId="6" borderId="18" xfId="0" applyFont="1" applyFill="1" applyBorder="1" applyAlignment="1" applyProtection="1">
      <alignment horizontal="left" vertical="center" wrapText="1"/>
    </xf>
    <xf numFmtId="0" fontId="177" fillId="0" borderId="24" xfId="0" applyFont="1" applyFill="1" applyBorder="1" applyAlignment="1" applyProtection="1">
      <alignment horizontal="left" vertical="center" wrapText="1"/>
      <protection locked="0"/>
    </xf>
    <xf numFmtId="0" fontId="177" fillId="0" borderId="48" xfId="0" applyFont="1" applyFill="1" applyBorder="1" applyAlignment="1" applyProtection="1">
      <alignment horizontal="left" vertical="center" wrapText="1"/>
      <protection locked="0"/>
    </xf>
    <xf numFmtId="0" fontId="48" fillId="6" borderId="89" xfId="0" applyFont="1" applyFill="1" applyBorder="1" applyAlignment="1" applyProtection="1">
      <alignment horizontal="left" vertical="center" wrapText="1"/>
    </xf>
    <xf numFmtId="0" fontId="48" fillId="6" borderId="91" xfId="0" applyFont="1" applyFill="1" applyBorder="1" applyAlignment="1" applyProtection="1">
      <alignment horizontal="right" vertical="center" wrapText="1"/>
    </xf>
    <xf numFmtId="0" fontId="177" fillId="0" borderId="79" xfId="0" applyFont="1" applyFill="1" applyBorder="1" applyAlignment="1" applyProtection="1">
      <alignment horizontal="left" vertical="center" wrapText="1"/>
      <protection locked="0"/>
    </xf>
    <xf numFmtId="0" fontId="48" fillId="6" borderId="89" xfId="0" applyFont="1" applyFill="1" applyBorder="1" applyAlignment="1" applyProtection="1">
      <alignment horizontal="right" vertical="center" wrapText="1"/>
    </xf>
    <xf numFmtId="0" fontId="177" fillId="0" borderId="90" xfId="0" applyFont="1" applyFill="1" applyBorder="1" applyAlignment="1" applyProtection="1">
      <alignment horizontal="left" vertical="center" wrapText="1"/>
      <protection locked="0"/>
    </xf>
    <xf numFmtId="0" fontId="62" fillId="6" borderId="92" xfId="0" applyFont="1" applyFill="1" applyBorder="1" applyAlignment="1" applyProtection="1">
      <alignment vertical="center" wrapText="1"/>
    </xf>
    <xf numFmtId="0" fontId="62" fillId="2" borderId="4" xfId="0" applyFont="1" applyFill="1" applyBorder="1" applyAlignment="1" applyProtection="1">
      <alignment vertical="center"/>
      <protection locked="0"/>
    </xf>
    <xf numFmtId="0" fontId="62" fillId="2" borderId="7" xfId="0" applyFont="1" applyFill="1" applyBorder="1" applyAlignment="1" applyProtection="1">
      <alignment vertical="center" wrapText="1"/>
    </xf>
    <xf numFmtId="0" fontId="62" fillId="2" borderId="7" xfId="0" applyFont="1" applyFill="1" applyBorder="1" applyAlignment="1" applyProtection="1">
      <alignment horizontal="left" vertical="center"/>
      <protection locked="0"/>
    </xf>
    <xf numFmtId="0" fontId="62" fillId="0" borderId="2" xfId="0" applyFont="1" applyBorder="1" applyAlignment="1" applyProtection="1">
      <alignment horizontal="left" vertical="center" wrapText="1"/>
      <protection locked="0"/>
    </xf>
    <xf numFmtId="49" fontId="45" fillId="6" borderId="58" xfId="0" applyNumberFormat="1" applyFont="1" applyFill="1" applyBorder="1" applyAlignment="1" applyProtection="1">
      <alignment horizontal="center" vertical="center" wrapText="1"/>
    </xf>
    <xf numFmtId="0" fontId="62" fillId="2" borderId="5" xfId="0" applyFont="1" applyFill="1" applyBorder="1" applyAlignment="1" applyProtection="1">
      <alignment vertical="center"/>
      <protection locked="0"/>
    </xf>
    <xf numFmtId="0" fontId="62" fillId="2" borderId="3" xfId="0" applyFont="1" applyFill="1" applyBorder="1" applyAlignment="1" applyProtection="1">
      <alignment vertical="center"/>
    </xf>
    <xf numFmtId="0" fontId="62" fillId="5" borderId="3" xfId="0" applyFont="1" applyFill="1" applyBorder="1" applyAlignment="1" applyProtection="1">
      <alignment horizontal="center" vertical="center" wrapText="1"/>
      <protection locked="0"/>
    </xf>
    <xf numFmtId="0" fontId="62" fillId="6" borderId="5" xfId="0" applyFont="1" applyFill="1" applyBorder="1" applyAlignment="1" applyProtection="1">
      <alignment horizontal="left" vertical="center"/>
    </xf>
    <xf numFmtId="0" fontId="62" fillId="6" borderId="3" xfId="0" applyFont="1" applyFill="1" applyBorder="1" applyAlignment="1" applyProtection="1">
      <alignment vertical="center" wrapText="1"/>
    </xf>
    <xf numFmtId="0" fontId="62" fillId="0" borderId="1" xfId="0" applyFont="1" applyBorder="1" applyAlignment="1" applyProtection="1">
      <alignment horizontal="left" vertical="center"/>
      <protection locked="0"/>
    </xf>
    <xf numFmtId="0" fontId="62" fillId="5" borderId="22" xfId="0" applyFont="1" applyFill="1" applyBorder="1" applyAlignment="1" applyProtection="1">
      <alignment horizontal="center" vertical="center" wrapText="1"/>
      <protection locked="0"/>
    </xf>
    <xf numFmtId="0" fontId="62" fillId="6" borderId="22" xfId="0" applyFont="1" applyFill="1" applyBorder="1" applyAlignment="1" applyProtection="1">
      <alignment vertical="center" wrapText="1"/>
    </xf>
    <xf numFmtId="0" fontId="62" fillId="0" borderId="13" xfId="0" applyFont="1" applyBorder="1" applyAlignment="1" applyProtection="1">
      <alignment horizontal="left" vertical="center"/>
      <protection locked="0"/>
    </xf>
    <xf numFmtId="0" fontId="59" fillId="5" borderId="1" xfId="0" applyFont="1" applyFill="1" applyBorder="1" applyAlignment="1" applyProtection="1">
      <alignment horizontal="center" vertical="center" wrapText="1"/>
      <protection locked="0"/>
    </xf>
    <xf numFmtId="193" fontId="45" fillId="6" borderId="1" xfId="0" applyNumberFormat="1" applyFont="1" applyFill="1" applyBorder="1" applyAlignment="1" applyProtection="1">
      <alignment vertical="center" wrapText="1"/>
    </xf>
    <xf numFmtId="0" fontId="62" fillId="6" borderId="13" xfId="0" applyNumberFormat="1" applyFont="1" applyFill="1" applyBorder="1" applyAlignment="1" applyProtection="1">
      <alignment vertical="center" wrapText="1"/>
    </xf>
    <xf numFmtId="0" fontId="62" fillId="6" borderId="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6" borderId="15" xfId="0" applyNumberFormat="1" applyFont="1" applyFill="1" applyBorder="1" applyAlignment="1" applyProtection="1">
      <alignment vertical="center" wrapText="1"/>
    </xf>
    <xf numFmtId="0" fontId="62" fillId="5" borderId="1" xfId="0" applyNumberFormat="1" applyFont="1" applyFill="1" applyBorder="1" applyAlignment="1" applyProtection="1">
      <alignment horizontal="center" vertical="center" wrapText="1"/>
      <protection locked="0"/>
    </xf>
    <xf numFmtId="0" fontId="62" fillId="6" borderId="78" xfId="0" applyNumberFormat="1" applyFont="1" applyFill="1" applyBorder="1" applyAlignment="1" applyProtection="1">
      <alignment vertical="center" wrapText="1"/>
    </xf>
    <xf numFmtId="0" fontId="62" fillId="5" borderId="78" xfId="0" applyNumberFormat="1" applyFont="1" applyFill="1" applyBorder="1" applyAlignment="1" applyProtection="1">
      <alignment horizontal="center" vertical="center" wrapText="1"/>
      <protection locked="0"/>
    </xf>
    <xf numFmtId="0" fontId="62" fillId="0" borderId="78" xfId="0" applyNumberFormat="1" applyFont="1" applyFill="1" applyBorder="1" applyAlignment="1" applyProtection="1">
      <alignment horizontal="center" vertical="center" wrapText="1"/>
      <protection locked="0"/>
    </xf>
    <xf numFmtId="0" fontId="104" fillId="6" borderId="152" xfId="0" applyFont="1" applyFill="1" applyBorder="1" applyAlignment="1" applyProtection="1">
      <alignment vertical="center"/>
    </xf>
    <xf numFmtId="0" fontId="47" fillId="6" borderId="152" xfId="0" applyFont="1" applyFill="1" applyBorder="1" applyAlignment="1" applyProtection="1">
      <alignment vertical="center" wrapText="1"/>
    </xf>
    <xf numFmtId="0" fontId="47" fillId="6" borderId="153" xfId="0" applyFont="1" applyFill="1" applyBorder="1" applyAlignment="1" applyProtection="1">
      <alignment vertical="center" wrapText="1"/>
    </xf>
    <xf numFmtId="0" fontId="47" fillId="6" borderId="152" xfId="0" applyFont="1" applyFill="1" applyBorder="1" applyAlignment="1" applyProtection="1">
      <alignment horizontal="center" vertical="center" wrapText="1"/>
    </xf>
    <xf numFmtId="0" fontId="47" fillId="0" borderId="152" xfId="0" applyFont="1" applyBorder="1" applyAlignment="1" applyProtection="1">
      <alignment vertical="center" wrapText="1"/>
    </xf>
    <xf numFmtId="0" fontId="45" fillId="6" borderId="0" xfId="0" applyFont="1" applyFill="1" applyBorder="1" applyAlignment="1" applyProtection="1">
      <alignment horizontal="center" vertical="center" wrapText="1"/>
    </xf>
    <xf numFmtId="0" fontId="45" fillId="6" borderId="54" xfId="0" applyFont="1" applyFill="1" applyBorder="1" applyAlignment="1" applyProtection="1">
      <alignment vertical="center" wrapText="1"/>
    </xf>
    <xf numFmtId="0" fontId="45" fillId="6" borderId="3" xfId="0" applyFont="1" applyFill="1" applyBorder="1" applyAlignment="1" applyProtection="1">
      <alignment vertical="center" wrapText="1"/>
    </xf>
    <xf numFmtId="49" fontId="45" fillId="6" borderId="5" xfId="0" applyNumberFormat="1"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0" fontId="45" fillId="6"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49" fontId="45" fillId="0" borderId="5" xfId="0" applyNumberFormat="1" applyFont="1" applyBorder="1" applyAlignment="1" applyProtection="1">
      <alignment vertical="center" wrapText="1"/>
      <protection locked="0"/>
    </xf>
    <xf numFmtId="0" fontId="45" fillId="0" borderId="0" xfId="0" applyFont="1" applyAlignment="1" applyProtection="1">
      <alignment horizontal="center" vertical="center" wrapText="1"/>
    </xf>
    <xf numFmtId="49" fontId="45" fillId="0" borderId="58" xfId="0" applyNumberFormat="1" applyFont="1" applyBorder="1" applyAlignment="1" applyProtection="1">
      <alignment horizontal="center" vertical="center" wrapText="1"/>
    </xf>
    <xf numFmtId="49" fontId="45" fillId="0" borderId="0" xfId="0" applyNumberFormat="1"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9"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6"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5" fillId="6" borderId="54" xfId="0" applyFont="1" applyFill="1" applyBorder="1" applyProtection="1">
      <alignment vertical="center"/>
    </xf>
    <xf numFmtId="0" fontId="47" fillId="6" borderId="3"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0" fontId="45" fillId="6" borderId="15" xfId="0" applyFont="1" applyFill="1" applyBorder="1" applyProtection="1">
      <alignment vertical="center"/>
    </xf>
    <xf numFmtId="176" fontId="47" fillId="6" borderId="10" xfId="1" applyNumberFormat="1" applyFont="1" applyFill="1" applyBorder="1" applyAlignment="1" applyProtection="1">
      <alignment horizontal="center" vertical="center"/>
    </xf>
    <xf numFmtId="0" fontId="45" fillId="6" borderId="0" xfId="0" applyFont="1" applyFill="1" applyBorder="1" applyProtection="1">
      <alignment vertical="center"/>
      <protection locked="0"/>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177" fontId="48" fillId="0" borderId="1" xfId="1" applyNumberFormat="1" applyFont="1" applyFill="1" applyBorder="1" applyAlignment="1" applyProtection="1">
      <alignment vertical="center"/>
      <protection locked="0" hidden="1"/>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82"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7" xfId="0" applyFont="1" applyFill="1" applyBorder="1" applyAlignment="1" applyProtection="1">
      <alignment horizontal="center" vertical="center"/>
      <protection locked="0"/>
    </xf>
    <xf numFmtId="0" fontId="45" fillId="6" borderId="6" xfId="0" applyFont="1" applyFill="1" applyBorder="1" applyAlignment="1" applyProtection="1">
      <alignment vertical="center" wrapText="1"/>
    </xf>
    <xf numFmtId="179" fontId="45" fillId="6" borderId="0" xfId="0" applyNumberFormat="1" applyFont="1" applyFill="1" applyAlignment="1" applyProtection="1">
      <alignment horizontal="center" vertical="center"/>
      <protection locked="0"/>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101" fillId="6" borderId="0" xfId="0" applyFont="1" applyFill="1" applyAlignment="1" applyProtection="1">
      <alignment horizontal="center" vertical="center"/>
      <protection locked="0"/>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181" fontId="101" fillId="6" borderId="0" xfId="0" applyNumberFormat="1" applyFont="1" applyFill="1" applyAlignment="1" applyProtection="1">
      <alignment horizontal="center" vertical="center"/>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50" fillId="6" borderId="0" xfId="0" applyFont="1" applyFill="1" applyAlignment="1" applyProtection="1">
      <alignment vertical="center"/>
      <protection locked="0"/>
    </xf>
    <xf numFmtId="0" fontId="45" fillId="0" borderId="23" xfId="0" applyFont="1" applyBorder="1" applyAlignment="1" applyProtection="1">
      <alignment horizontal="right" vertical="center" wrapText="1"/>
      <protection locked="0"/>
    </xf>
    <xf numFmtId="0" fontId="45" fillId="6" borderId="0" xfId="0" applyFont="1" applyFill="1" applyBorder="1" applyAlignment="1" applyProtection="1">
      <alignment vertical="center"/>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123" fillId="0" borderId="5" xfId="5" applyFont="1" applyBorder="1" applyAlignment="1">
      <alignment horizontal="right" vertical="center"/>
    </xf>
    <xf numFmtId="192" fontId="123" fillId="0" borderId="5" xfId="5" applyNumberFormat="1" applyFont="1" applyFill="1" applyBorder="1" applyAlignment="1">
      <alignment horizontal="right" vertical="center"/>
    </xf>
    <xf numFmtId="0" fontId="123" fillId="0" borderId="5" xfId="5" applyFont="1" applyFill="1" applyBorder="1" applyAlignment="1">
      <alignment horizontal="left" vertical="center"/>
    </xf>
    <xf numFmtId="0" fontId="123" fillId="0" borderId="154" xfId="5" applyFont="1" applyBorder="1" applyAlignment="1">
      <alignment vertical="center"/>
    </xf>
    <xf numFmtId="0" fontId="123" fillId="0" borderId="154" xfId="5" applyFont="1" applyFill="1" applyBorder="1">
      <alignment vertical="center"/>
    </xf>
    <xf numFmtId="0" fontId="123" fillId="0" borderId="154" xfId="5" applyFont="1" applyFill="1" applyBorder="1" applyAlignment="1">
      <alignment horizontal="left" vertical="center"/>
    </xf>
    <xf numFmtId="14" fontId="125" fillId="0" borderId="5" xfId="5" applyNumberFormat="1" applyFont="1" applyBorder="1">
      <alignment vertical="center"/>
    </xf>
    <xf numFmtId="0" fontId="123" fillId="0" borderId="154" xfId="5" applyFont="1" applyFill="1" applyBorder="1" applyAlignment="1">
      <alignment horizontal="right" vertical="center"/>
    </xf>
    <xf numFmtId="0" fontId="125" fillId="0" borderId="154" xfId="5" applyFont="1" applyBorder="1">
      <alignment vertical="center"/>
    </xf>
    <xf numFmtId="0" fontId="219" fillId="7" borderId="102" xfId="0" applyFont="1" applyFill="1" applyBorder="1" applyAlignment="1" applyProtection="1">
      <alignment horizontal="center" vertical="center" wrapText="1"/>
      <protection locked="0"/>
    </xf>
    <xf numFmtId="0" fontId="219" fillId="7" borderId="102" xfId="0" applyNumberFormat="1" applyFont="1" applyFill="1" applyBorder="1" applyAlignment="1" applyProtection="1">
      <alignment horizontal="center" vertical="center" wrapText="1"/>
      <protection locked="0"/>
    </xf>
    <xf numFmtId="0" fontId="219" fillId="7" borderId="103" xfId="0" applyFont="1" applyFill="1" applyBorder="1" applyAlignment="1" applyProtection="1">
      <alignment horizontal="center" vertical="center" wrapText="1"/>
      <protection locked="0"/>
    </xf>
    <xf numFmtId="0" fontId="241" fillId="7" borderId="0" xfId="0" applyNumberFormat="1" applyFont="1" applyFill="1" applyAlignment="1" applyProtection="1">
      <alignment horizontal="center" vertical="center"/>
      <protection locked="0"/>
    </xf>
    <xf numFmtId="0" fontId="241" fillId="7" borderId="0" xfId="0" applyFont="1" applyFill="1" applyAlignment="1" applyProtection="1">
      <alignment horizontal="center" vertical="center"/>
      <protection locked="0"/>
    </xf>
    <xf numFmtId="0" fontId="241" fillId="0" borderId="0" xfId="0" applyFont="1" applyAlignment="1" applyProtection="1">
      <alignment horizontal="center" vertical="center"/>
      <protection locked="0"/>
    </xf>
    <xf numFmtId="0" fontId="47" fillId="6" borderId="63" xfId="0" applyFont="1" applyFill="1" applyBorder="1" applyAlignment="1" applyProtection="1">
      <alignment horizontal="center" vertical="center" wrapText="1"/>
    </xf>
    <xf numFmtId="0" fontId="47" fillId="6" borderId="34" xfId="0" applyFont="1" applyFill="1" applyBorder="1" applyAlignment="1" applyProtection="1">
      <alignment horizontal="right" vertical="center" wrapText="1"/>
    </xf>
    <xf numFmtId="0" fontId="47" fillId="6" borderId="65" xfId="0" applyFont="1" applyFill="1" applyBorder="1" applyAlignment="1" applyProtection="1">
      <alignment horizontal="center" vertical="center"/>
    </xf>
    <xf numFmtId="0" fontId="47" fillId="6" borderId="0" xfId="0" applyFont="1" applyFill="1" applyBorder="1" applyAlignment="1" applyProtection="1">
      <alignment horizontal="right" vertical="center" wrapText="1"/>
    </xf>
    <xf numFmtId="0" fontId="47" fillId="6" borderId="63" xfId="0" applyFont="1" applyFill="1" applyBorder="1" applyAlignment="1" applyProtection="1">
      <alignment horizontal="right" vertical="center" wrapText="1"/>
    </xf>
    <xf numFmtId="0" fontId="45" fillId="7"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49" fontId="175" fillId="0" borderId="10" xfId="0" applyNumberFormat="1" applyFont="1" applyFill="1" applyBorder="1" applyAlignment="1" applyProtection="1">
      <alignment horizontal="center" vertical="center" wrapText="1"/>
      <protection locked="0"/>
    </xf>
    <xf numFmtId="49" fontId="45" fillId="6" borderId="0" xfId="0" applyNumberFormat="1" applyFont="1" applyFill="1" applyBorder="1" applyAlignment="1" applyProtection="1">
      <alignment horizontal="center" vertical="center" wrapText="1"/>
      <protection locked="0"/>
    </xf>
    <xf numFmtId="0" fontId="45" fillId="6" borderId="7" xfId="0" applyFont="1" applyFill="1" applyBorder="1" applyAlignment="1" applyProtection="1">
      <alignment horizontal="center" vertical="center" wrapText="1"/>
    </xf>
    <xf numFmtId="0" fontId="175" fillId="0" borderId="8"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49" fontId="45" fillId="6" borderId="14" xfId="0" applyNumberFormat="1" applyFont="1" applyFill="1" applyBorder="1" applyAlignment="1" applyProtection="1">
      <alignment horizontal="center" vertical="center" wrapText="1"/>
    </xf>
    <xf numFmtId="0" fontId="175" fillId="0" borderId="24" xfId="0" applyFont="1" applyBorder="1" applyAlignment="1" applyProtection="1">
      <alignment horizontal="center" vertical="center" wrapText="1"/>
      <protection locked="0"/>
    </xf>
    <xf numFmtId="0" fontId="45" fillId="6" borderId="0" xfId="0" applyFont="1" applyFill="1" applyBorder="1" applyAlignment="1" applyProtection="1">
      <alignment horizontal="center" vertical="center" wrapText="1"/>
      <protection locked="0"/>
    </xf>
    <xf numFmtId="49" fontId="45" fillId="6" borderId="12" xfId="0" applyNumberFormat="1" applyFont="1" applyFill="1" applyBorder="1" applyAlignment="1" applyProtection="1">
      <alignment horizontal="center" vertical="center" wrapText="1"/>
    </xf>
    <xf numFmtId="0" fontId="45" fillId="6" borderId="66" xfId="0" applyFont="1" applyFill="1" applyBorder="1" applyAlignment="1" applyProtection="1">
      <alignment horizontal="center" vertical="center" wrapText="1"/>
    </xf>
    <xf numFmtId="0" fontId="175" fillId="0" borderId="49" xfId="0" applyNumberFormat="1" applyFont="1" applyFill="1" applyBorder="1" applyAlignment="1" applyProtection="1">
      <alignment horizontal="center" vertical="center" wrapText="1"/>
      <protection locked="0"/>
    </xf>
    <xf numFmtId="0" fontId="47" fillId="6" borderId="12" xfId="0" applyFont="1" applyFill="1" applyBorder="1" applyAlignment="1" applyProtection="1">
      <alignment vertical="center" wrapText="1"/>
    </xf>
    <xf numFmtId="0" fontId="45" fillId="6" borderId="32" xfId="0" applyFont="1" applyFill="1" applyBorder="1" applyAlignment="1" applyProtection="1">
      <alignment horizontal="center" vertical="center" wrapText="1"/>
    </xf>
    <xf numFmtId="0" fontId="175" fillId="0" borderId="49" xfId="0" applyFont="1" applyBorder="1" applyAlignment="1" applyProtection="1">
      <alignment horizontal="center" vertical="center"/>
      <protection locked="0"/>
    </xf>
    <xf numFmtId="0" fontId="45" fillId="7" borderId="0" xfId="0" applyFont="1" applyFill="1" applyBorder="1" applyAlignment="1" applyProtection="1">
      <alignment horizontal="center" vertical="center" wrapText="1"/>
      <protection locked="0"/>
    </xf>
    <xf numFmtId="0" fontId="45" fillId="7" borderId="0" xfId="0" applyNumberFormat="1" applyFont="1" applyFill="1" applyBorder="1" applyAlignment="1" applyProtection="1">
      <alignment horizontal="center" vertical="center" wrapText="1"/>
      <protection locked="0"/>
    </xf>
    <xf numFmtId="49" fontId="45" fillId="7"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xf>
    <xf numFmtId="0" fontId="219" fillId="7" borderId="0" xfId="0" applyFont="1" applyFill="1" applyBorder="1" applyAlignment="1" applyProtection="1">
      <alignment horizontal="center" vertical="center" wrapText="1"/>
      <protection locked="0"/>
    </xf>
    <xf numFmtId="0" fontId="219" fillId="7" borderId="0" xfId="0" applyNumberFormat="1" applyFont="1" applyFill="1" applyBorder="1" applyAlignment="1" applyProtection="1">
      <alignment horizontal="center" vertical="center" wrapText="1"/>
      <protection locked="0"/>
    </xf>
    <xf numFmtId="0" fontId="219" fillId="7" borderId="35" xfId="0" applyNumberFormat="1" applyFont="1" applyFill="1" applyBorder="1" applyAlignment="1" applyProtection="1">
      <alignment horizontal="center" vertical="center" wrapText="1"/>
      <protection locked="0"/>
    </xf>
    <xf numFmtId="0" fontId="241" fillId="7" borderId="0" xfId="0" applyFont="1" applyFill="1" applyAlignment="1" applyProtection="1">
      <alignment horizontal="center" vertical="center" wrapText="1"/>
      <protection locked="0"/>
    </xf>
    <xf numFmtId="0" fontId="241" fillId="7" borderId="0" xfId="0" applyNumberFormat="1" applyFont="1" applyFill="1" applyAlignment="1" applyProtection="1">
      <alignment horizontal="center" vertical="center" wrapText="1"/>
      <protection locked="0"/>
    </xf>
    <xf numFmtId="0" fontId="44" fillId="6" borderId="105" xfId="0" applyFont="1" applyFill="1" applyBorder="1" applyAlignment="1" applyProtection="1">
      <alignment horizontal="center" vertical="center"/>
    </xf>
    <xf numFmtId="0" fontId="47" fillId="6" borderId="0" xfId="0" applyFont="1" applyFill="1" applyBorder="1" applyAlignment="1" applyProtection="1">
      <alignment horizontal="right" vertical="center" wrapText="1"/>
      <protection locked="0"/>
    </xf>
    <xf numFmtId="0" fontId="45" fillId="7" borderId="0" xfId="0" applyFont="1" applyFill="1" applyAlignment="1" applyProtection="1">
      <alignment horizontal="center" vertical="center" wrapText="1"/>
      <protection locked="0"/>
    </xf>
    <xf numFmtId="0" fontId="45" fillId="7" borderId="0" xfId="0" applyNumberFormat="1" applyFont="1" applyFill="1" applyAlignment="1" applyProtection="1">
      <alignment horizontal="center" vertical="center" wrapText="1"/>
      <protection locked="0"/>
    </xf>
    <xf numFmtId="0" fontId="45" fillId="7" borderId="0" xfId="0" applyNumberFormat="1" applyFont="1" applyFill="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16" xfId="0" applyFont="1" applyFill="1" applyBorder="1" applyAlignment="1" applyProtection="1">
      <alignment horizontal="right" vertical="center" wrapText="1"/>
    </xf>
    <xf numFmtId="0" fontId="47" fillId="6" borderId="31" xfId="0" applyFont="1" applyFill="1" applyBorder="1" applyAlignment="1" applyProtection="1">
      <alignment horizontal="center" vertical="center" wrapText="1"/>
    </xf>
    <xf numFmtId="0" fontId="47" fillId="6" borderId="82" xfId="0" applyFont="1" applyFill="1" applyBorder="1" applyAlignment="1" applyProtection="1">
      <alignment horizontal="right" vertical="center" wrapText="1"/>
    </xf>
    <xf numFmtId="49" fontId="45" fillId="6" borderId="62" xfId="0" applyNumberFormat="1" applyFont="1" applyFill="1" applyBorder="1" applyAlignment="1" applyProtection="1">
      <alignment horizontal="center" vertical="center" wrapText="1"/>
    </xf>
    <xf numFmtId="49" fontId="47" fillId="6" borderId="27" xfId="0" applyNumberFormat="1" applyFont="1" applyFill="1" applyBorder="1" applyAlignment="1" applyProtection="1">
      <alignment vertical="center" wrapText="1"/>
    </xf>
    <xf numFmtId="0" fontId="45" fillId="6" borderId="41" xfId="0" applyFont="1" applyFill="1" applyBorder="1" applyAlignment="1" applyProtection="1">
      <alignment horizontal="center" vertical="center" wrapText="1"/>
    </xf>
    <xf numFmtId="49" fontId="45" fillId="6" borderId="24" xfId="0" applyNumberFormat="1" applyFont="1" applyFill="1" applyBorder="1" applyAlignment="1" applyProtection="1">
      <alignment horizontal="center" vertical="center" wrapText="1"/>
    </xf>
    <xf numFmtId="49" fontId="47" fillId="6" borderId="80" xfId="0" applyNumberFormat="1" applyFont="1" applyFill="1" applyBorder="1" applyAlignment="1" applyProtection="1">
      <alignment vertical="center" wrapText="1"/>
    </xf>
    <xf numFmtId="0" fontId="45" fillId="6" borderId="23" xfId="0" applyFont="1" applyFill="1" applyBorder="1" applyAlignment="1" applyProtection="1">
      <alignment horizontal="center" vertical="center" wrapText="1"/>
    </xf>
    <xf numFmtId="0" fontId="45" fillId="5" borderId="24" xfId="0" applyNumberFormat="1" applyFont="1" applyFill="1" applyBorder="1" applyAlignment="1" applyProtection="1">
      <alignment horizontal="center" vertical="center" wrapText="1"/>
      <protection locked="0"/>
    </xf>
    <xf numFmtId="49" fontId="47" fillId="6" borderId="81" xfId="0" applyNumberFormat="1" applyFont="1" applyFill="1" applyBorder="1" applyAlignment="1" applyProtection="1">
      <alignment vertical="center" wrapText="1"/>
    </xf>
    <xf numFmtId="0" fontId="45" fillId="6" borderId="25" xfId="0" applyFont="1" applyFill="1" applyBorder="1" applyAlignment="1" applyProtection="1">
      <alignment horizontal="center" vertical="center" wrapText="1"/>
    </xf>
    <xf numFmtId="0" fontId="45" fillId="0" borderId="49" xfId="0" applyNumberFormat="1" applyFont="1" applyFill="1" applyBorder="1" applyAlignment="1" applyProtection="1">
      <alignment horizontal="center" vertical="center" wrapText="1"/>
      <protection locked="0"/>
    </xf>
    <xf numFmtId="0" fontId="47" fillId="6" borderId="81" xfId="0" applyFont="1" applyFill="1" applyBorder="1" applyAlignment="1" applyProtection="1">
      <alignment vertical="center" wrapText="1"/>
    </xf>
    <xf numFmtId="0" fontId="45" fillId="6" borderId="0" xfId="0" applyFont="1" applyFill="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48" fillId="7" borderId="1" xfId="0" applyFont="1" applyFill="1" applyBorder="1" applyProtection="1">
      <alignment vertical="center"/>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8" fillId="7" borderId="1"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103" fillId="6" borderId="0" xfId="0" applyFont="1" applyFill="1" applyBorder="1" applyAlignment="1" applyProtection="1">
      <alignment horizontal="center" vertical="center"/>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6"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1" fillId="6" borderId="0" xfId="0" applyFont="1" applyFill="1" applyBorder="1" applyAlignment="1" applyProtection="1">
      <alignment vertical="center"/>
    </xf>
    <xf numFmtId="0" fontId="241"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0" fontId="49" fillId="0" borderId="24" xfId="0" applyFont="1" applyFill="1" applyBorder="1" applyAlignment="1" applyProtection="1">
      <alignment vertical="center" wrapText="1"/>
      <protection locked="0"/>
    </xf>
    <xf numFmtId="0" fontId="48" fillId="5" borderId="3" xfId="0" applyFont="1" applyFill="1" applyBorder="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105" fillId="6" borderId="1" xfId="0" applyFont="1" applyFill="1" applyBorder="1" applyAlignment="1" applyProtection="1">
      <alignment horizontal="center" vertical="center" wrapText="1"/>
    </xf>
    <xf numFmtId="0" fontId="48" fillId="6" borderId="24" xfId="0" applyFont="1" applyFill="1" applyBorder="1" applyProtection="1">
      <alignment vertical="center"/>
    </xf>
    <xf numFmtId="0" fontId="49" fillId="6" borderId="0" xfId="0" applyFont="1" applyFill="1" applyProtection="1">
      <alignment vertical="center"/>
      <protection locked="0"/>
    </xf>
    <xf numFmtId="0" fontId="117" fillId="0" borderId="24" xfId="0" applyFont="1" applyFill="1" applyBorder="1" applyAlignment="1" applyProtection="1">
      <alignment vertical="center" wrapText="1"/>
      <protection locked="0"/>
    </xf>
    <xf numFmtId="0" fontId="48" fillId="2" borderId="3"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102" fillId="6" borderId="5" xfId="0" applyFont="1" applyFill="1" applyBorder="1" applyAlignment="1" applyProtection="1">
      <alignment horizontal="center" vertical="center" wrapText="1"/>
    </xf>
    <xf numFmtId="0" fontId="109" fillId="6" borderId="22" xfId="0" applyFont="1" applyFill="1" applyBorder="1" applyAlignment="1" applyProtection="1">
      <alignment vertical="center" wrapText="1"/>
    </xf>
    <xf numFmtId="0" fontId="109" fillId="6" borderId="54" xfId="0" applyFont="1" applyFill="1" applyBorder="1" applyAlignment="1" applyProtection="1">
      <alignment horizontal="center" vertical="center"/>
    </xf>
    <xf numFmtId="0" fontId="109" fillId="6" borderId="3" xfId="0" applyFont="1" applyFill="1" applyBorder="1" applyAlignment="1" applyProtection="1">
      <alignment vertical="center" wrapText="1"/>
    </xf>
    <xf numFmtId="0" fontId="117" fillId="0" borderId="49" xfId="0" applyFont="1" applyFill="1" applyBorder="1" applyAlignment="1" applyProtection="1">
      <alignment vertical="center" wrapText="1"/>
      <protection locked="0"/>
    </xf>
    <xf numFmtId="0" fontId="109" fillId="6" borderId="35" xfId="0" applyFont="1" applyFill="1" applyBorder="1" applyAlignment="1" applyProtection="1">
      <alignment vertical="center" wrapText="1"/>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0" fontId="109" fillId="6" borderId="7" xfId="0" applyFont="1" applyFill="1" applyBorder="1" applyAlignment="1" applyProtection="1">
      <alignment vertical="center" wrapText="1"/>
    </xf>
    <xf numFmtId="0" fontId="172" fillId="6" borderId="1" xfId="0" applyFont="1" applyFill="1" applyBorder="1" applyAlignment="1">
      <alignment horizontal="center" vertical="center" wrapText="1"/>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172" fillId="6" borderId="1" xfId="0" applyFont="1" applyFill="1" applyBorder="1" applyAlignment="1">
      <alignment vertical="center" wrapText="1"/>
    </xf>
    <xf numFmtId="0" fontId="48"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45" fillId="2" borderId="1" xfId="2" applyFont="1" applyFill="1" applyBorder="1" applyAlignment="1" applyProtection="1">
      <alignment horizontal="center" vertical="center" wrapText="1"/>
      <protection locked="0"/>
    </xf>
    <xf numFmtId="0" fontId="101"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49" fontId="53" fillId="6" borderId="23" xfId="0" applyNumberFormat="1" applyFont="1" applyFill="1" applyBorder="1" applyAlignment="1" applyProtection="1">
      <alignment vertical="center" wrapText="1"/>
    </xf>
    <xf numFmtId="49" fontId="53" fillId="6" borderId="25" xfId="0" applyNumberFormat="1" applyFont="1" applyFill="1" applyBorder="1" applyAlignment="1" applyProtection="1">
      <alignment vertical="center" wrapText="1"/>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130" fillId="6" borderId="5" xfId="0" applyFont="1" applyFill="1" applyBorder="1" applyAlignment="1" applyProtection="1">
      <alignment vertical="center" wrapText="1"/>
    </xf>
    <xf numFmtId="0" fontId="130" fillId="6" borderId="33"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45" fillId="6" borderId="1" xfId="0" applyFont="1" applyFill="1" applyBorder="1" applyAlignment="1" applyProtection="1">
      <alignment horizontal="center" vertical="center" wrapText="1"/>
      <protection locked="0"/>
    </xf>
    <xf numFmtId="0" fontId="137"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58"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18" fillId="6" borderId="1" xfId="0" applyFont="1" applyFill="1" applyBorder="1">
      <alignment vertical="center"/>
    </xf>
    <xf numFmtId="0" fontId="101" fillId="6" borderId="24" xfId="0" applyFont="1" applyFill="1" applyBorder="1" applyProtection="1">
      <alignment vertical="center"/>
    </xf>
    <xf numFmtId="0" fontId="101" fillId="6" borderId="0" xfId="0" applyFont="1" applyFill="1" applyBorder="1">
      <alignment vertical="center"/>
    </xf>
    <xf numFmtId="0" fontId="101" fillId="6" borderId="56" xfId="0" applyFont="1" applyFill="1" applyBorder="1" applyProtection="1">
      <alignment vertical="center"/>
    </xf>
    <xf numFmtId="0" fontId="58" fillId="6" borderId="18" xfId="1" applyFont="1" applyFill="1" applyBorder="1" applyAlignment="1" applyProtection="1">
      <alignment vertical="center"/>
    </xf>
    <xf numFmtId="0" fontId="218" fillId="6" borderId="23" xfId="0" applyFont="1" applyFill="1" applyBorder="1" applyAlignment="1">
      <alignment horizontal="center" vertical="center"/>
    </xf>
    <xf numFmtId="0" fontId="218" fillId="6" borderId="0" xfId="0" applyFont="1" applyFill="1" applyBorder="1">
      <alignment vertical="center"/>
    </xf>
    <xf numFmtId="0" fontId="218"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6" borderId="23" xfId="0" applyFont="1" applyFill="1" applyBorder="1" applyAlignment="1">
      <alignment horizontal="center" vertical="center"/>
    </xf>
    <xf numFmtId="0" fontId="101" fillId="6" borderId="5" xfId="0" applyFont="1" applyFill="1" applyBorder="1" applyProtection="1">
      <alignment vertical="center"/>
    </xf>
    <xf numFmtId="0" fontId="101" fillId="5" borderId="1" xfId="0" applyFont="1" applyFill="1" applyBorder="1" applyAlignment="1" applyProtection="1">
      <alignment horizontal="center" vertical="center"/>
      <protection locked="0"/>
    </xf>
    <xf numFmtId="0" fontId="101" fillId="6" borderId="25" xfId="0" applyFont="1" applyFill="1" applyBorder="1" applyAlignment="1">
      <alignment horizontal="center" vertical="center"/>
    </xf>
    <xf numFmtId="0" fontId="101" fillId="6" borderId="66" xfId="0" applyFont="1" applyFill="1" applyBorder="1">
      <alignment vertical="center"/>
    </xf>
    <xf numFmtId="0" fontId="101" fillId="6" borderId="47" xfId="0" applyFont="1" applyFill="1" applyBorder="1">
      <alignment vertical="center"/>
    </xf>
    <xf numFmtId="0" fontId="63" fillId="6" borderId="85" xfId="0" applyFont="1" applyFill="1" applyBorder="1" applyAlignment="1" applyProtection="1">
      <alignment horizontal="right" vertical="center"/>
    </xf>
    <xf numFmtId="0" fontId="63" fillId="5" borderId="119" xfId="0" applyFont="1" applyFill="1" applyBorder="1" applyAlignment="1" applyProtection="1">
      <alignment vertical="center"/>
      <protection locked="0"/>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9" fontId="58" fillId="6" borderId="0" xfId="0" applyNumberFormat="1" applyFont="1" applyFill="1" applyBorder="1" applyAlignment="1" applyProtection="1">
      <alignment horizontal="center" vertical="center"/>
      <protection locked="0"/>
    </xf>
    <xf numFmtId="181" fontId="58" fillId="6" borderId="0" xfId="0" applyNumberFormat="1" applyFont="1" applyFill="1" applyBorder="1" applyAlignment="1" applyProtection="1">
      <alignment vertical="center"/>
      <protection locked="0"/>
    </xf>
    <xf numFmtId="0" fontId="58" fillId="6" borderId="0" xfId="0"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46" fillId="6" borderId="0" xfId="0" applyFont="1" applyFill="1" applyBorder="1" applyAlignment="1" applyProtection="1">
      <alignment vertical="center"/>
      <protection locked="0"/>
    </xf>
    <xf numFmtId="189" fontId="45" fillId="6" borderId="21" xfId="0" applyNumberFormat="1" applyFont="1" applyFill="1" applyBorder="1" applyAlignment="1" applyProtection="1">
      <alignment horizontal="center" vertical="center" wrapText="1"/>
    </xf>
    <xf numFmtId="189"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9" fontId="52" fillId="6" borderId="48" xfId="0" applyNumberFormat="1" applyFont="1" applyFill="1" applyBorder="1" applyAlignment="1" applyProtection="1">
      <alignment horizontal="center" vertical="center"/>
    </xf>
    <xf numFmtId="189" fontId="52" fillId="6" borderId="48" xfId="0" applyNumberFormat="1" applyFont="1" applyFill="1" applyBorder="1" applyAlignment="1" applyProtection="1">
      <alignment horizontal="center" vertical="center" wrapText="1"/>
    </xf>
    <xf numFmtId="189"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3"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59" fillId="6" borderId="95"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3" fillId="5" borderId="119" xfId="0" applyFont="1" applyFill="1" applyBorder="1" applyAlignment="1" applyProtection="1">
      <alignment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9" fillId="6" borderId="18" xfId="0" applyFont="1" applyFill="1" applyBorder="1" applyAlignment="1" applyProtection="1">
      <alignment horizontal="center" vertical="center"/>
    </xf>
    <xf numFmtId="0" fontId="52" fillId="6" borderId="18" xfId="0" applyFont="1" applyFill="1" applyBorder="1" applyAlignment="1" applyProtection="1"/>
    <xf numFmtId="9" fontId="45" fillId="6" borderId="0" xfId="0" applyNumberFormat="1" applyFont="1" applyFill="1" applyBorder="1" applyAlignment="1" applyProtection="1">
      <alignment horizontal="center" vertical="center" wrapText="1"/>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52" fillId="0" borderId="58" xfId="0" applyFont="1" applyBorder="1" applyAlignment="1" applyProtection="1">
      <protection locked="0"/>
    </xf>
    <xf numFmtId="9" fontId="45" fillId="0" borderId="58"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vertical="center"/>
      <protection locked="0"/>
    </xf>
    <xf numFmtId="0" fontId="45" fillId="0" borderId="58"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protection locked="0"/>
    </xf>
    <xf numFmtId="0" fontId="50" fillId="0" borderId="58" xfId="0" applyFont="1" applyFill="1" applyBorder="1" applyAlignment="1" applyProtection="1">
      <alignment vertical="center" wrapText="1"/>
      <protection locked="0"/>
    </xf>
    <xf numFmtId="0" fontId="45" fillId="0" borderId="58" xfId="0" applyFont="1" applyFill="1" applyBorder="1" applyAlignment="1" applyProtection="1">
      <alignment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4"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101" fillId="6" borderId="96"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101"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5"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101" fillId="6" borderId="23" xfId="0" applyNumberFormat="1" applyFont="1" applyFill="1" applyBorder="1" applyAlignment="1" applyProtection="1">
      <alignment horizontal="center" vertical="center"/>
    </xf>
    <xf numFmtId="0" fontId="54" fillId="5" borderId="1" xfId="0" applyNumberFormat="1"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101" fillId="6" borderId="25" xfId="0" applyNumberFormat="1"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wrapText="1"/>
      <protection locked="0"/>
    </xf>
    <xf numFmtId="0" fontId="102" fillId="6" borderId="2"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49" fillId="6" borderId="4" xfId="0" applyFont="1" applyFill="1" applyBorder="1" applyAlignment="1" applyProtection="1">
      <alignment vertical="center"/>
    </xf>
    <xf numFmtId="0" fontId="54"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2" fillId="6" borderId="74" xfId="0" applyFont="1" applyFill="1" applyBorder="1" applyAlignment="1" applyProtection="1">
      <alignment horizontal="left" vertical="center" wrapText="1"/>
    </xf>
    <xf numFmtId="0" fontId="54" fillId="6" borderId="41" xfId="0" applyFont="1" applyFill="1" applyBorder="1" applyAlignment="1" applyProtection="1">
      <alignment horizontal="center" vertical="center" wrapText="1"/>
    </xf>
    <xf numFmtId="0" fontId="54" fillId="6" borderId="8" xfId="0"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9" fontId="54" fillId="6" borderId="25" xfId="0" applyNumberFormat="1" applyFont="1" applyFill="1" applyBorder="1" applyAlignment="1" applyProtection="1">
      <alignment horizontal="center" vertical="center" wrapText="1"/>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2" fillId="6" borderId="65" xfId="0" applyFont="1" applyFill="1" applyBorder="1" applyAlignment="1" applyProtection="1">
      <alignment vertical="center" wrapText="1"/>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5" borderId="84" xfId="8" applyFont="1" applyFill="1" applyBorder="1" applyAlignment="1" applyProtection="1">
      <alignment horizontal="center" vertical="center" wrapText="1"/>
      <protection locked="0"/>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10" fontId="54" fillId="7" borderId="0" xfId="0" applyNumberFormat="1" applyFont="1" applyFill="1" applyAlignment="1" applyProtection="1">
      <alignment horizontal="center" vertical="center" wrapText="1"/>
    </xf>
    <xf numFmtId="10" fontId="54" fillId="0" borderId="0" xfId="0" applyNumberFormat="1" applyFont="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7" fontId="54" fillId="6" borderId="15" xfId="0" applyNumberFormat="1" applyFont="1" applyFill="1" applyBorder="1" applyAlignment="1" applyProtection="1">
      <alignment horizontal="center" vertical="center" wrapText="1"/>
    </xf>
    <xf numFmtId="187"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0" fontId="52" fillId="6" borderId="26" xfId="8" applyFont="1" applyFill="1" applyBorder="1" applyAlignment="1" applyProtection="1">
      <alignment horizontal="center" vertical="center" wrapText="1"/>
      <protection locked="0"/>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2"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2"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2" fillId="6" borderId="32"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2"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54"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4" fillId="6" borderId="9" xfId="3" applyNumberFormat="1" applyFont="1" applyFill="1" applyBorder="1" applyAlignment="1" applyProtection="1">
      <alignment horizontal="center" vertical="center"/>
    </xf>
    <xf numFmtId="0" fontId="54" fillId="6" borderId="2" xfId="3" applyNumberFormat="1" applyFont="1" applyFill="1" applyBorder="1" applyAlignment="1" applyProtection="1">
      <alignment horizontal="center" vertical="center"/>
    </xf>
    <xf numFmtId="0" fontId="54" fillId="6" borderId="2" xfId="3" applyNumberFormat="1" applyFont="1" applyFill="1" applyBorder="1" applyAlignment="1" applyProtection="1">
      <alignment horizontal="center" vertical="center" wrapText="1"/>
    </xf>
    <xf numFmtId="0" fontId="54" fillId="6" borderId="17" xfId="3" applyNumberFormat="1" applyFont="1" applyFill="1" applyBorder="1" applyAlignment="1" applyProtection="1">
      <alignment horizontal="center" vertical="center"/>
    </xf>
    <xf numFmtId="0" fontId="54"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129" fillId="6" borderId="0" xfId="0" applyFont="1" applyFill="1">
      <alignment vertical="center"/>
    </xf>
    <xf numFmtId="0" fontId="129" fillId="6" borderId="1" xfId="0" applyFont="1" applyFill="1" applyBorder="1" applyAlignment="1">
      <alignment vertical="center" wrapText="1"/>
    </xf>
    <xf numFmtId="0" fontId="129" fillId="5" borderId="1" xfId="0" applyFont="1" applyFill="1" applyBorder="1" applyAlignment="1" applyProtection="1">
      <alignment horizontal="center" vertical="center"/>
      <protection locked="0"/>
    </xf>
    <xf numFmtId="0" fontId="53" fillId="6" borderId="96"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0" fontId="105" fillId="0" borderId="0" xfId="9" applyFont="1" applyFill="1" applyBorder="1" applyAlignment="1" applyProtection="1">
      <alignment horizontal="center" vertical="center"/>
      <protection locked="0"/>
    </xf>
    <xf numFmtId="0" fontId="150" fillId="14" borderId="0" xfId="9" applyFont="1" applyFill="1" applyBorder="1" applyAlignment="1" applyProtection="1">
      <alignment horizontal="center" vertical="center"/>
      <protection locked="0"/>
    </xf>
    <xf numFmtId="0" fontId="117" fillId="6" borderId="0" xfId="0" applyFont="1" applyFill="1" applyProtection="1">
      <alignment vertical="center"/>
      <protection locked="0"/>
    </xf>
    <xf numFmtId="0" fontId="142" fillId="16" borderId="0" xfId="9" applyFont="1" applyFill="1">
      <alignment vertical="center"/>
    </xf>
    <xf numFmtId="0" fontId="117" fillId="5" borderId="0" xfId="9" applyFont="1" applyFill="1">
      <alignment vertical="center"/>
    </xf>
    <xf numFmtId="0" fontId="105" fillId="16" borderId="0" xfId="9" applyFont="1" applyFill="1">
      <alignment vertical="center"/>
    </xf>
    <xf numFmtId="0" fontId="101"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5" fillId="16" borderId="122" xfId="9" applyFont="1" applyFill="1" applyBorder="1" applyAlignment="1">
      <alignment horizontal="center" vertical="center"/>
    </xf>
    <xf numFmtId="0" fontId="105" fillId="16" borderId="0" xfId="9" applyFont="1" applyFill="1" applyBorder="1" applyAlignment="1">
      <alignment horizontal="center" vertical="center"/>
    </xf>
    <xf numFmtId="0" fontId="150" fillId="16" borderId="0" xfId="9" applyFont="1" applyFill="1" applyBorder="1" applyAlignment="1" applyProtection="1">
      <alignment horizontal="center" vertical="center"/>
      <protection locked="0"/>
    </xf>
    <xf numFmtId="0" fontId="105" fillId="16" borderId="0" xfId="9" applyFont="1" applyFill="1" applyAlignment="1">
      <alignment horizontal="center" vertical="center"/>
    </xf>
    <xf numFmtId="0" fontId="102" fillId="16" borderId="0" xfId="9" applyFont="1" applyFill="1" applyAlignment="1">
      <alignment horizontal="center" vertical="center"/>
    </xf>
    <xf numFmtId="10" fontId="102" fillId="16" borderId="0" xfId="9" applyNumberFormat="1" applyFont="1" applyFill="1" applyAlignment="1">
      <alignment horizontal="center" vertical="center"/>
    </xf>
    <xf numFmtId="0" fontId="144" fillId="16" borderId="0" xfId="9" applyFont="1" applyFill="1">
      <alignment vertical="center"/>
    </xf>
    <xf numFmtId="192" fontId="123" fillId="0" borderId="1" xfId="5" applyNumberFormat="1" applyFont="1" applyFill="1" applyBorder="1" applyAlignment="1">
      <alignment horizontal="right" vertical="center"/>
    </xf>
    <xf numFmtId="181" fontId="102"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49" fillId="12" borderId="126" xfId="9"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0" fontId="54" fillId="5" borderId="28" xfId="0" applyFont="1" applyFill="1" applyBorder="1" applyAlignment="1" applyProtection="1">
      <alignment horizontal="center"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186" fontId="105" fillId="12" borderId="124" xfId="9" applyNumberFormat="1" applyFont="1" applyFill="1" applyBorder="1" applyAlignment="1" applyProtection="1">
      <alignment horizontal="center" vertical="center" wrapText="1"/>
    </xf>
    <xf numFmtId="186" fontId="105" fillId="12" borderId="130" xfId="9" applyNumberFormat="1"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9" fillId="12" borderId="126" xfId="9" applyFont="1" applyFill="1" applyBorder="1" applyAlignment="1" applyProtection="1">
      <alignment horizontal="center" vertical="center" wrapText="1"/>
    </xf>
    <xf numFmtId="0" fontId="187" fillId="7" borderId="151" xfId="0" applyFont="1" applyFill="1" applyBorder="1" applyAlignment="1" applyProtection="1">
      <alignment vertical="center" wrapText="1"/>
      <protection locked="0"/>
    </xf>
    <xf numFmtId="0" fontId="187" fillId="7" borderId="5" xfId="0" applyFont="1" applyFill="1" applyBorder="1" applyAlignment="1" applyProtection="1">
      <alignment vertical="center"/>
      <protection locked="0"/>
    </xf>
    <xf numFmtId="0" fontId="48" fillId="0" borderId="1" xfId="0" applyFont="1" applyBorder="1" applyAlignment="1" applyProtection="1">
      <alignment horizontal="left" vertical="center" wrapText="1"/>
      <protection locked="0"/>
    </xf>
    <xf numFmtId="0" fontId="45" fillId="0" borderId="2" xfId="0" applyFont="1" applyBorder="1" applyAlignment="1" applyProtection="1">
      <alignment horizontal="left" vertical="center" wrapText="1"/>
      <protection locked="0"/>
    </xf>
    <xf numFmtId="176" fontId="117" fillId="0" borderId="1" xfId="0" applyNumberFormat="1" applyFont="1" applyBorder="1" applyAlignment="1" applyProtection="1">
      <alignment vertical="center" wrapText="1"/>
      <protection locked="0"/>
    </xf>
    <xf numFmtId="176" fontId="103" fillId="0" borderId="1" xfId="0" applyNumberFormat="1" applyFont="1" applyBorder="1" applyAlignment="1" applyProtection="1">
      <alignment vertical="center" wrapText="1"/>
      <protection locked="0"/>
    </xf>
    <xf numFmtId="177" fontId="78" fillId="0" borderId="1" xfId="1" applyNumberFormat="1" applyFont="1" applyFill="1" applyBorder="1" applyAlignment="1" applyProtection="1">
      <alignment vertical="center"/>
      <protection locked="0" hidden="1"/>
    </xf>
    <xf numFmtId="0" fontId="97" fillId="0" borderId="0" xfId="0" applyFont="1">
      <alignment vertical="center"/>
    </xf>
    <xf numFmtId="0" fontId="149" fillId="12" borderId="126" xfId="9" applyFont="1" applyFill="1" applyBorder="1" applyAlignment="1" applyProtection="1">
      <alignment horizontal="center" vertical="center" wrapText="1"/>
    </xf>
    <xf numFmtId="0" fontId="97" fillId="17" borderId="0" xfId="0" applyFont="1" applyFill="1">
      <alignment vertical="center"/>
    </xf>
    <xf numFmtId="0" fontId="54" fillId="17" borderId="0" xfId="0" applyFont="1" applyFill="1" applyBorder="1" applyAlignment="1" applyProtection="1">
      <alignment horizontal="center" vertical="center"/>
      <protection locked="0"/>
    </xf>
    <xf numFmtId="191" fontId="54" fillId="17" borderId="1" xfId="0" applyNumberFormat="1" applyFont="1" applyFill="1" applyBorder="1" applyAlignment="1" applyProtection="1">
      <alignment horizontal="center" vertical="center" wrapText="1"/>
      <protection locked="0"/>
    </xf>
    <xf numFmtId="0" fontId="200"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10"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182" fontId="62" fillId="0" borderId="78"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82" fontId="62" fillId="0" borderId="1" xfId="0" applyNumberFormat="1" applyFont="1" applyFill="1" applyBorder="1" applyAlignment="1" applyProtection="1">
      <alignment horizontal="center" vertical="center" wrapText="1"/>
    </xf>
    <xf numFmtId="182" fontId="62" fillId="0" borderId="5" xfId="0" applyNumberFormat="1" applyFont="1" applyFill="1" applyBorder="1" applyAlignment="1" applyProtection="1">
      <alignment horizontal="center" vertical="center" wrapText="1"/>
    </xf>
    <xf numFmtId="182" fontId="62" fillId="0" borderId="54" xfId="0" applyNumberFormat="1" applyFont="1" applyFill="1" applyBorder="1" applyAlignment="1" applyProtection="1">
      <alignment horizontal="center" vertical="center" wrapText="1"/>
    </xf>
    <xf numFmtId="182" fontId="62"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30"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75" fillId="0" borderId="0" xfId="0" applyFont="1" applyAlignment="1" applyProtection="1">
      <alignment vertical="center" wrapText="1"/>
      <protection locked="0"/>
    </xf>
    <xf numFmtId="0" fontId="129"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2" fillId="5" borderId="1" xfId="5" applyFont="1" applyFill="1" applyBorder="1" applyAlignment="1">
      <alignment horizontal="center" vertical="center"/>
    </xf>
    <xf numFmtId="0" fontId="123" fillId="0" borderId="1" xfId="5" applyFont="1" applyBorder="1" applyAlignment="1">
      <alignment horizontal="center" vertical="center"/>
    </xf>
    <xf numFmtId="0" fontId="123" fillId="0" borderId="5" xfId="5" applyFont="1" applyBorder="1" applyAlignment="1">
      <alignment horizontal="center" vertical="center"/>
    </xf>
    <xf numFmtId="0" fontId="123" fillId="0" borderId="154" xfId="5" applyFont="1" applyBorder="1" applyAlignment="1">
      <alignment horizontal="center" vertical="center"/>
    </xf>
    <xf numFmtId="0" fontId="97" fillId="6" borderId="0"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62" fillId="6" borderId="15" xfId="0" applyFont="1" applyFill="1" applyBorder="1" applyAlignment="1" applyProtection="1">
      <alignment horizontal="left" vertical="center"/>
    </xf>
    <xf numFmtId="0" fontId="62" fillId="6" borderId="2" xfId="0" applyFont="1" applyFill="1" applyBorder="1" applyAlignment="1" applyProtection="1">
      <alignment horizontal="left" vertical="center"/>
    </xf>
    <xf numFmtId="0" fontId="62" fillId="0" borderId="5"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62" fillId="6" borderId="22" xfId="0" applyFont="1" applyFill="1" applyBorder="1" applyAlignment="1" applyProtection="1">
      <alignment horizontal="left" vertical="center"/>
    </xf>
    <xf numFmtId="0" fontId="62" fillId="6" borderId="35" xfId="0" applyFont="1" applyFill="1" applyBorder="1" applyAlignment="1" applyProtection="1">
      <alignment horizontal="left" vertical="center"/>
    </xf>
    <xf numFmtId="0" fontId="62" fillId="6" borderId="1" xfId="0" applyNumberFormat="1" applyFont="1" applyFill="1" applyBorder="1" applyAlignment="1" applyProtection="1">
      <alignment horizontal="center" vertical="center" wrapText="1"/>
    </xf>
    <xf numFmtId="0" fontId="62" fillId="6" borderId="34" xfId="0" applyFont="1" applyFill="1" applyBorder="1" applyAlignment="1" applyProtection="1">
      <alignment horizontal="left" vertical="center" wrapText="1"/>
    </xf>
    <xf numFmtId="0" fontId="62" fillId="6" borderId="64" xfId="0" applyFont="1" applyFill="1" applyBorder="1" applyAlignment="1" applyProtection="1">
      <alignment horizontal="left" vertical="center" wrapText="1"/>
    </xf>
    <xf numFmtId="0" fontId="62" fillId="6" borderId="65" xfId="0" applyFont="1" applyFill="1" applyBorder="1" applyAlignment="1" applyProtection="1">
      <alignment horizontal="left" vertical="center" wrapText="1"/>
    </xf>
    <xf numFmtId="0" fontId="62" fillId="6" borderId="13" xfId="0" applyFont="1" applyFill="1" applyBorder="1" applyAlignment="1" applyProtection="1">
      <alignment horizontal="center" vertical="center" wrapText="1"/>
    </xf>
    <xf numFmtId="0" fontId="62" fillId="6" borderId="104"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49" fontId="221" fillId="0" borderId="4" xfId="0" applyNumberFormat="1" applyFont="1" applyFill="1" applyBorder="1" applyAlignment="1" applyProtection="1">
      <alignment horizontal="left" vertical="center"/>
      <protection locked="0"/>
    </xf>
    <xf numFmtId="49" fontId="227" fillId="0" borderId="54" xfId="0" applyNumberFormat="1" applyFont="1" applyFill="1" applyBorder="1" applyAlignment="1" applyProtection="1">
      <alignment horizontal="left" vertical="center"/>
      <protection locked="0"/>
    </xf>
    <xf numFmtId="49" fontId="227" fillId="0" borderId="3" xfId="0" applyNumberFormat="1" applyFont="1" applyFill="1" applyBorder="1" applyAlignment="1" applyProtection="1">
      <alignment horizontal="left" vertical="center"/>
      <protection locked="0"/>
    </xf>
    <xf numFmtId="0" fontId="227" fillId="0" borderId="5" xfId="0" applyNumberFormat="1" applyFont="1" applyBorder="1" applyAlignment="1" applyProtection="1">
      <alignment horizontal="left" vertical="center"/>
      <protection locked="0"/>
    </xf>
    <xf numFmtId="0" fontId="227" fillId="0" borderId="54" xfId="0" applyNumberFormat="1" applyFont="1" applyBorder="1" applyAlignment="1" applyProtection="1">
      <alignment horizontal="left" vertical="center"/>
      <protection locked="0"/>
    </xf>
    <xf numFmtId="0" fontId="227" fillId="0" borderId="3" xfId="0" applyNumberFormat="1" applyFont="1" applyBorder="1" applyAlignment="1" applyProtection="1">
      <alignment horizontal="left" vertical="center"/>
      <protection locked="0"/>
    </xf>
    <xf numFmtId="49" fontId="227" fillId="7" borderId="5" xfId="0" applyNumberFormat="1" applyFont="1" applyFill="1" applyBorder="1" applyAlignment="1" applyProtection="1">
      <alignment horizontal="left" vertical="center"/>
      <protection locked="0"/>
    </xf>
    <xf numFmtId="49" fontId="227" fillId="7" borderId="54" xfId="0" applyNumberFormat="1" applyFont="1" applyFill="1" applyBorder="1" applyAlignment="1" applyProtection="1">
      <alignment horizontal="left" vertical="center"/>
      <protection locked="0"/>
    </xf>
    <xf numFmtId="49" fontId="227" fillId="7" borderId="3" xfId="0" applyNumberFormat="1" applyFont="1" applyFill="1" applyBorder="1" applyAlignment="1" applyProtection="1">
      <alignment horizontal="left" vertical="center"/>
      <protection locked="0"/>
    </xf>
    <xf numFmtId="49" fontId="227" fillId="7" borderId="85" xfId="0" applyNumberFormat="1" applyFont="1" applyFill="1" applyBorder="1" applyAlignment="1" applyProtection="1">
      <alignment horizontal="left" vertical="center"/>
      <protection locked="0"/>
    </xf>
    <xf numFmtId="49" fontId="227" fillId="7" borderId="88" xfId="0" applyNumberFormat="1" applyFont="1" applyFill="1" applyBorder="1" applyAlignment="1" applyProtection="1">
      <alignment horizontal="left" vertical="center"/>
      <protection locked="0"/>
    </xf>
    <xf numFmtId="49" fontId="227" fillId="7" borderId="119"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4" fillId="6" borderId="106" xfId="0" applyFont="1" applyFill="1" applyBorder="1" applyAlignment="1" applyProtection="1">
      <alignment horizontal="center" vertical="center"/>
    </xf>
    <xf numFmtId="0" fontId="44" fillId="6" borderId="102" xfId="0" applyFont="1" applyFill="1" applyBorder="1" applyAlignment="1" applyProtection="1">
      <alignment horizontal="center" vertical="center"/>
    </xf>
    <xf numFmtId="0" fontId="48" fillId="6" borderId="54" xfId="0" applyFont="1" applyFill="1" applyBorder="1" applyAlignment="1" applyProtection="1">
      <alignment horizontal="left"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17" borderId="13" xfId="0" applyFont="1" applyFill="1" applyBorder="1" applyAlignment="1" applyProtection="1">
      <alignment horizontal="center" vertical="center"/>
      <protection locked="0"/>
    </xf>
    <xf numFmtId="0" fontId="45" fillId="17" borderId="15" xfId="0" applyFont="1" applyFill="1" applyBorder="1" applyAlignment="1" applyProtection="1">
      <alignment horizontal="center" vertical="center"/>
      <protection locked="0"/>
    </xf>
    <xf numFmtId="0" fontId="45" fillId="17" borderId="2" xfId="0" applyFont="1" applyFill="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130" fillId="6" borderId="23" xfId="0" applyFont="1" applyFill="1" applyBorder="1" applyProtection="1">
      <alignment vertical="center"/>
    </xf>
    <xf numFmtId="0" fontId="130" fillId="6" borderId="25" xfId="0" applyFont="1" applyFill="1" applyBorder="1" applyProtection="1">
      <alignmen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182" fontId="45" fillId="6" borderId="5" xfId="0" applyNumberFormat="1" applyFont="1" applyFill="1" applyBorder="1" applyAlignment="1" applyProtection="1">
      <alignment horizontal="center" vertical="center" wrapText="1"/>
    </xf>
    <xf numFmtId="182" fontId="45" fillId="6" borderId="54" xfId="0" applyNumberFormat="1" applyFont="1" applyFill="1" applyBorder="1" applyAlignment="1" applyProtection="1">
      <alignment horizontal="center" vertical="center" wrapText="1"/>
    </xf>
    <xf numFmtId="182" fontId="45" fillId="6" borderId="3" xfId="0" applyNumberFormat="1"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17" borderId="1" xfId="0" applyFont="1" applyFill="1" applyBorder="1" applyAlignment="1" applyProtection="1">
      <alignment horizontal="center" vertical="center"/>
      <protection locked="0"/>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center" vertical="center" wrapText="1"/>
      <protection locked="0"/>
    </xf>
    <xf numFmtId="0" fontId="45" fillId="5" borderId="3" xfId="0"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102" fillId="6" borderId="1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center" vertical="center"/>
    </xf>
    <xf numFmtId="0" fontId="48" fillId="6" borderId="53"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107" fillId="6" borderId="107" xfId="0" applyFont="1" applyFill="1" applyBorder="1" applyProtection="1">
      <alignment vertical="center"/>
    </xf>
    <xf numFmtId="0" fontId="107" fillId="6" borderId="108"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31" fillId="6" borderId="1" xfId="0" applyFont="1" applyFill="1" applyBorder="1" applyAlignment="1" applyProtection="1">
      <alignment horizontal="center" vertical="center" wrapText="1"/>
      <protection locked="0"/>
    </xf>
    <xf numFmtId="192" fontId="131" fillId="6" borderId="1" xfId="0" applyNumberFormat="1" applyFont="1" applyFill="1" applyBorder="1" applyAlignment="1" applyProtection="1">
      <alignment horizontal="center" vertical="center" wrapText="1"/>
    </xf>
    <xf numFmtId="0" fontId="131"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2" fillId="6" borderId="1" xfId="0" applyFont="1" applyFill="1" applyBorder="1" applyAlignment="1">
      <alignment horizontal="center"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54" fillId="6" borderId="40" xfId="0" applyNumberFormat="1" applyFont="1" applyFill="1" applyBorder="1" applyAlignment="1" applyProtection="1">
      <alignment horizontal="center" vertical="center" wrapText="1"/>
    </xf>
    <xf numFmtId="49" fontId="54" fillId="6" borderId="14" xfId="0" applyNumberFormat="1" applyFont="1" applyFill="1" applyBorder="1" applyAlignment="1" applyProtection="1">
      <alignment horizontal="center" vertical="center" wrapText="1"/>
    </xf>
    <xf numFmtId="49" fontId="101" fillId="6" borderId="18" xfId="0" applyNumberFormat="1" applyFont="1" applyFill="1" applyBorder="1" applyAlignment="1" applyProtection="1">
      <alignment horizontal="center" vertical="center" wrapText="1"/>
    </xf>
    <xf numFmtId="49" fontId="101" fillId="6" borderId="12"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4" fillId="6" borderId="29"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18" fillId="6" borderId="1"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2"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2"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2" fillId="0" borderId="1" xfId="0" applyFont="1" applyFill="1" applyBorder="1" applyAlignment="1">
      <alignment horizontal="center" vertical="center"/>
    </xf>
    <xf numFmtId="0" fontId="82"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186" fontId="52"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xf>
    <xf numFmtId="0" fontId="149" fillId="12" borderId="132" xfId="9"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0" fontId="149" fillId="12" borderId="128" xfId="9" applyFont="1" applyFill="1" applyBorder="1" applyAlignment="1" applyProtection="1">
      <alignment horizontal="center" vertical="center" wrapText="1"/>
    </xf>
    <xf numFmtId="0" fontId="142" fillId="0" borderId="0" xfId="9" applyFont="1" applyAlignment="1">
      <alignment horizontal="center" vertical="center"/>
    </xf>
    <xf numFmtId="0" fontId="105" fillId="0" borderId="0" xfId="9" applyFont="1" applyAlignment="1">
      <alignment horizontal="center" vertical="center"/>
    </xf>
    <xf numFmtId="0" fontId="147" fillId="0" borderId="0" xfId="9" applyFont="1" applyAlignment="1">
      <alignment horizontal="center" vertical="center"/>
    </xf>
    <xf numFmtId="0" fontId="149" fillId="12" borderId="123" xfId="9" applyFont="1" applyFill="1" applyBorder="1" applyAlignment="1" applyProtection="1">
      <alignment horizontal="center" vertical="center" wrapText="1"/>
    </xf>
    <xf numFmtId="0" fontId="102" fillId="12" borderId="132" xfId="9" applyFont="1" applyFill="1" applyBorder="1" applyAlignment="1" applyProtection="1">
      <alignment horizontal="center" vertical="center" wrapText="1"/>
    </xf>
    <xf numFmtId="0" fontId="102" fillId="12" borderId="126" xfId="9" applyFont="1" applyFill="1" applyBorder="1" applyAlignment="1" applyProtection="1">
      <alignment horizontal="center" vertical="center" wrapText="1"/>
    </xf>
    <xf numFmtId="0" fontId="102" fillId="12" borderId="128" xfId="9" applyFont="1" applyFill="1" applyBorder="1" applyAlignment="1" applyProtection="1">
      <alignment horizontal="center" vertical="center" wrapText="1"/>
    </xf>
    <xf numFmtId="0" fontId="149" fillId="12" borderId="155" xfId="9"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row r="14">
          <cell r="B14">
            <v>2665.73</v>
          </cell>
          <cell r="C14">
            <v>633.59</v>
          </cell>
          <cell r="D14">
            <v>5775</v>
          </cell>
          <cell r="I14">
            <v>4096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46024.009999999995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C3">
            <v>47469.143203327512</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1190</v>
      </c>
      <c r="B1" s="1582" t="s">
        <v>1269</v>
      </c>
    </row>
    <row r="2" spans="1:2" s="1587" customFormat="1" ht="15" thickTop="1">
      <c r="A2" s="1585" t="s">
        <v>1191</v>
      </c>
      <c r="B2" s="1586" t="str">
        <f>'预评函-封皮'!B37:I37</f>
        <v>北京市出让国有建设用地使用权及在建建筑物房地产抵押价值预评估</v>
      </c>
    </row>
    <row r="3" spans="1:2" s="1590" customFormat="1">
      <c r="A3" s="1588" t="s">
        <v>1192</v>
      </c>
      <c r="B3" s="1589" t="str">
        <f>'预评函-封皮'!B40</f>
        <v>北京国隆置业有限公司</v>
      </c>
    </row>
    <row r="4" spans="1:2" s="1590" customFormat="1">
      <c r="A4" s="1588" t="s">
        <v>1193</v>
      </c>
      <c r="B4" s="1589" t="str">
        <f ca="1">'预评函-封皮'!B46</f>
        <v>吴薇（注册号：1419970001)、郑燚（注册号：1120070131)</v>
      </c>
    </row>
    <row r="5" spans="1:2" s="1584" customFormat="1" ht="15" thickBot="1">
      <c r="A5" s="1591" t="s">
        <v>1194</v>
      </c>
      <c r="B5" s="1592" t="str">
        <f>'预评函-封皮'!B49</f>
        <v>康正预评字号</v>
      </c>
    </row>
    <row r="6" spans="1:2" s="1587" customFormat="1" ht="15" thickTop="1">
      <c r="A6" s="1585" t="s">
        <v>1195</v>
      </c>
      <c r="B6" s="1586" t="str">
        <f>'预评函-1'!A4</f>
        <v>受贵公司委托，我公司对北京市出让国有建设用地使用权及在建建筑物房地产抵押价值进行了预评估。</v>
      </c>
    </row>
    <row r="7" spans="1:2" s="1590" customFormat="1">
      <c r="A7" s="1588" t="s">
        <v>1235</v>
      </c>
      <c r="B7" s="1589" t="str">
        <f>'预评函-1'!A7</f>
        <v>估价对象为北京市出让国有建设用地使用权及在建建筑物房地产，为所有。根据《国有土地使用证》[]，估价对象（分摊）出让国有建设用地使用权面积为10938.89平方米，建筑面积为46024.01平方米。</v>
      </c>
    </row>
    <row r="8" spans="1:2" s="1590" customFormat="1">
      <c r="A8" s="1588" t="s">
        <v>1236</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1237</v>
      </c>
      <c r="B9" s="1589" t="str">
        <f>'预评函-1'!A10</f>
        <v>估价对象为北京市出让国有建设用地使用权及在建建筑物房地产,属开发建设的居住项目，该项目尚在开发建设中。根据《国有土地使用证》[]，估价对象（分摊）出让国有建设用地使用权面积为10938.89平方米，规划建筑面积为46024.01平方米。</v>
      </c>
    </row>
    <row r="10" spans="1:2" s="1590" customFormat="1">
      <c r="A10" s="1588" t="s">
        <v>1238</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1196</v>
      </c>
      <c r="B11" s="1589" t="str">
        <f>'预评函-1'!A13</f>
        <v>为估价委托人在向兴业银行三元桥支行办理贷款手续过程中，确定房地产抵押贷款额度提供参考依据而评估房地产抵押价值。</v>
      </c>
    </row>
    <row r="12" spans="1:2" s="1590" customFormat="1">
      <c r="A12" s="1588" t="s">
        <v>1197</v>
      </c>
      <c r="B12" s="1589" t="str">
        <f>'预评函-1'!A15</f>
        <v>2020年1月2日（评估专业人员实地查勘之日）</v>
      </c>
    </row>
    <row r="13" spans="1:2" s="1590" customFormat="1">
      <c r="A13" s="1588" t="s">
        <v>1198</v>
      </c>
      <c r="B13" s="1589"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pans="1:2" s="1590" customFormat="1">
      <c r="A14" s="1588" t="s">
        <v>1199</v>
      </c>
      <c r="B14" s="1589"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1200</v>
      </c>
      <c r="B15" s="1589" t="str">
        <f>'预评函-1'!A20</f>
        <v>本次估价的“房地产抵押价值”是指估价对象在价值时点的“房地产价值”扣减估价师于价值时点所知悉的法定优先受偿款后的余额。</v>
      </c>
    </row>
    <row r="16" spans="1:2" s="1590" customFormat="1">
      <c r="A16" s="1588" t="s">
        <v>1201</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1202</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1203</v>
      </c>
      <c r="B18" s="1592" t="str">
        <f>'预评函-1'!A24</f>
        <v>本次评估采用的主估价方法为成本法和假设开发法。</v>
      </c>
    </row>
    <row r="19" spans="1:2" s="1587" customFormat="1" ht="15" thickTop="1">
      <c r="A19" s="1585" t="s">
        <v>1204</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1205</v>
      </c>
      <c r="B20" s="1589">
        <f ca="1">'预评函-2'!D5</f>
        <v>51925</v>
      </c>
    </row>
    <row r="21" spans="1:2" s="1590" customFormat="1">
      <c r="A21" s="1588" t="s">
        <v>1206</v>
      </c>
      <c r="B21" s="1589">
        <f ca="1">'预评函-2'!D7</f>
        <v>11282</v>
      </c>
    </row>
    <row r="22" spans="1:2" s="1590" customFormat="1">
      <c r="A22" s="1588" t="s">
        <v>1207</v>
      </c>
      <c r="B22" s="1589" t="str">
        <f ca="1">'预评函-2'!D6</f>
        <v>伍亿壹仟玖佰贰拾伍万元整</v>
      </c>
    </row>
    <row r="23" spans="1:2" s="1590" customFormat="1">
      <c r="A23" s="1588" t="s">
        <v>1258</v>
      </c>
      <c r="B23" s="1589" t="str">
        <f>'预评函-2'!B8</f>
        <v>2.估价师知悉的法定优先受偿款</v>
      </c>
    </row>
    <row r="24" spans="1:2" s="1590" customFormat="1">
      <c r="A24" s="1588" t="s">
        <v>1264</v>
      </c>
      <c r="B24" s="1589">
        <f>'预评函-2'!D8</f>
        <v>0</v>
      </c>
    </row>
    <row r="25" spans="1:2" s="1590" customFormat="1">
      <c r="A25" s="1588" t="s">
        <v>1208</v>
      </c>
      <c r="B25" s="1589" t="str">
        <f>'预评函-2'!D9</f>
        <v>零元整</v>
      </c>
    </row>
    <row r="26" spans="1:2" s="1590" customFormat="1">
      <c r="A26" s="1588" t="s">
        <v>1209</v>
      </c>
      <c r="B26" s="1589">
        <f>'预评函-2'!D10</f>
        <v>0</v>
      </c>
    </row>
    <row r="27" spans="1:2" s="1590" customFormat="1">
      <c r="A27" s="1588" t="s">
        <v>1210</v>
      </c>
      <c r="B27" s="1589">
        <f>'预评函-2'!D11</f>
        <v>0</v>
      </c>
    </row>
    <row r="28" spans="1:2" s="1590" customFormat="1">
      <c r="A28" s="1588" t="s">
        <v>1211</v>
      </c>
      <c r="B28" s="1589">
        <f>'预评函-2'!D12</f>
        <v>0</v>
      </c>
    </row>
    <row r="29" spans="1:2" s="1590" customFormat="1">
      <c r="A29" s="1588" t="s">
        <v>1262</v>
      </c>
      <c r="B29" s="1589" t="str">
        <f>'预评函-2'!B13</f>
        <v>3.房地产抵押价值</v>
      </c>
    </row>
    <row r="30" spans="1:2" s="1590" customFormat="1">
      <c r="A30" s="1588" t="s">
        <v>1263</v>
      </c>
      <c r="B30" s="1589">
        <f ca="1">'预评函-2'!D13</f>
        <v>51925</v>
      </c>
    </row>
    <row r="31" spans="1:2" s="1590" customFormat="1">
      <c r="A31" s="1588" t="s">
        <v>1245</v>
      </c>
      <c r="B31" s="1589">
        <f ca="1">'预评函-2'!D15</f>
        <v>11282</v>
      </c>
    </row>
    <row r="32" spans="1:2" s="1590" customFormat="1">
      <c r="A32" s="1588" t="s">
        <v>1212</v>
      </c>
      <c r="B32" s="1589" t="str">
        <f ca="1">'预评函-2'!D14</f>
        <v>伍亿壹仟玖佰贰拾伍万元整</v>
      </c>
    </row>
    <row r="33" spans="1:2" s="1590" customFormat="1">
      <c r="A33" s="1588" t="s">
        <v>1247</v>
      </c>
      <c r="B33" s="1589" t="str">
        <f>'预评函-2'!B16</f>
        <v>——</v>
      </c>
    </row>
    <row r="34" spans="1:2" s="1590" customFormat="1">
      <c r="A34" s="1588" t="s">
        <v>1265</v>
      </c>
      <c r="B34" s="1589" t="str">
        <f>'预评函-2'!D16</f>
        <v>——</v>
      </c>
    </row>
    <row r="35" spans="1:2" s="1590" customFormat="1">
      <c r="A35" s="1588" t="s">
        <v>1246</v>
      </c>
      <c r="B35" s="1589" t="str">
        <f>'预评函-2'!D18</f>
        <v>——</v>
      </c>
    </row>
    <row r="36" spans="1:2" s="1590" customFormat="1">
      <c r="A36" s="1588" t="s">
        <v>1213</v>
      </c>
      <c r="B36" s="1589" t="e">
        <f>'预评函-2'!D17</f>
        <v>#VALUE!</v>
      </c>
    </row>
    <row r="37" spans="1:2" s="1590" customFormat="1">
      <c r="A37" s="1588" t="s">
        <v>1248</v>
      </c>
      <c r="B37" s="1589" t="str">
        <f>'预评函-2'!B19</f>
        <v>4.抵押净值</v>
      </c>
    </row>
    <row r="38" spans="1:2" s="1590" customFormat="1">
      <c r="A38" s="1588" t="s">
        <v>1266</v>
      </c>
      <c r="B38" s="1589">
        <f ca="1">'预评函-2'!D19</f>
        <v>44765</v>
      </c>
    </row>
    <row r="39" spans="1:2" s="1590" customFormat="1">
      <c r="A39" s="1588" t="s">
        <v>1214</v>
      </c>
      <c r="B39" s="1589">
        <f ca="1">'预评函-2'!D21</f>
        <v>9726</v>
      </c>
    </row>
    <row r="40" spans="1:2" s="1590" customFormat="1">
      <c r="A40" s="1588" t="s">
        <v>1215</v>
      </c>
      <c r="B40" s="1589" t="str">
        <f ca="1">'预评函-2'!D20</f>
        <v>肆亿肆仟柒佰陆拾伍万元整</v>
      </c>
    </row>
    <row r="41" spans="1:2" s="1590" customFormat="1">
      <c r="A41" s="1588" t="s">
        <v>1261</v>
      </c>
      <c r="B41" s="1589" t="str">
        <f>'预评函-3'!A4</f>
        <v>北京市出让国有建设用地使用权及在建建筑物房地产</v>
      </c>
    </row>
    <row r="42" spans="1:2" s="1590" customFormat="1">
      <c r="A42" s="1588" t="s">
        <v>1259</v>
      </c>
      <c r="B42" s="1589" t="str">
        <f>'预评函-3'!B2</f>
        <v>建筑面积</v>
      </c>
    </row>
    <row r="43" spans="1:2" s="1590" customFormat="1">
      <c r="A43" s="1588" t="s">
        <v>1260</v>
      </c>
      <c r="B43" s="1589">
        <f>'预评函-3'!B4</f>
        <v>46024.009999999995</v>
      </c>
    </row>
    <row r="44" spans="1:2" s="1590" customFormat="1">
      <c r="A44" s="1588" t="s">
        <v>1244</v>
      </c>
      <c r="B44" s="1589" t="str">
        <f>'预评函-3'!C2</f>
        <v>(分摊)土地面积</v>
      </c>
    </row>
    <row r="45" spans="1:2" s="1590" customFormat="1">
      <c r="A45" s="1588" t="s">
        <v>1216</v>
      </c>
      <c r="B45" s="1589">
        <f>'预评函-3'!C4</f>
        <v>10938.89</v>
      </c>
    </row>
    <row r="46" spans="1:2" s="1590" customFormat="1">
      <c r="A46" s="1588" t="s">
        <v>1242</v>
      </c>
      <c r="B46" s="1589" t="str">
        <f>'预评函-3'!D2</f>
        <v>出让国有建设用地使用权价值</v>
      </c>
    </row>
    <row r="47" spans="1:2" s="1590" customFormat="1">
      <c r="A47" s="1588" t="s">
        <v>1217</v>
      </c>
      <c r="B47" s="1589">
        <f ca="1">'预评函-3'!D4</f>
        <v>45279</v>
      </c>
    </row>
    <row r="48" spans="1:2" s="1590" customFormat="1">
      <c r="A48" s="1588" t="s">
        <v>1218</v>
      </c>
      <c r="B48" s="1589">
        <f ca="1">'预评函-3'!E4</f>
        <v>9838</v>
      </c>
    </row>
    <row r="49" spans="1:2" s="1590" customFormat="1">
      <c r="A49" s="1588" t="s">
        <v>1219</v>
      </c>
      <c r="B49" s="1589" t="str">
        <f ca="1">'预评函-3'!D5</f>
        <v>肆亿伍仟贰佰柒拾玖万元整</v>
      </c>
    </row>
    <row r="50" spans="1:2" s="1590" customFormat="1">
      <c r="A50" s="1588" t="s">
        <v>1243</v>
      </c>
      <c r="B50" s="1589" t="str">
        <f>'预评函-3'!F2</f>
        <v>在建建筑物价值</v>
      </c>
    </row>
    <row r="51" spans="1:2" s="1590" customFormat="1">
      <c r="A51" s="1588" t="s">
        <v>1220</v>
      </c>
      <c r="B51" s="1589">
        <f ca="1">'预评函-3'!F4</f>
        <v>6646</v>
      </c>
    </row>
    <row r="52" spans="1:2" s="1590" customFormat="1">
      <c r="A52" s="1588" t="s">
        <v>1221</v>
      </c>
      <c r="B52" s="1589">
        <f ca="1">'预评函-3'!G4</f>
        <v>1444</v>
      </c>
    </row>
    <row r="53" spans="1:2" s="1590" customFormat="1">
      <c r="A53" s="1588" t="s">
        <v>1249</v>
      </c>
      <c r="B53" s="1589" t="str">
        <f ca="1">'预评函-3'!F5</f>
        <v>陆仟陆佰肆拾陆万元整</v>
      </c>
    </row>
    <row r="54" spans="1:2" s="1590" customFormat="1">
      <c r="A54" s="1588" t="s">
        <v>1267</v>
      </c>
      <c r="B54" s="1589" t="str">
        <f>'预评函-3'!A8</f>
        <v>房地产抵押价值</v>
      </c>
    </row>
    <row r="55" spans="1:2" s="1590" customFormat="1">
      <c r="A55" s="1588" t="s">
        <v>1250</v>
      </c>
      <c r="B55" s="1589" t="str">
        <f>'预评函-3'!A10</f>
        <v/>
      </c>
    </row>
    <row r="56" spans="1:2" s="1590" customFormat="1">
      <c r="A56" s="1588" t="s">
        <v>1251</v>
      </c>
      <c r="B56" s="1589" t="str">
        <f>'预评函-3'!A12</f>
        <v>抵押净值</v>
      </c>
    </row>
    <row r="57" spans="1:2" s="1584" customFormat="1" ht="15" thickBot="1">
      <c r="A57" s="1591" t="s">
        <v>1268</v>
      </c>
      <c r="B57" s="1592" t="str">
        <f>'预评函-3'!A6</f>
        <v>估价师知悉的法定优先受偿款</v>
      </c>
    </row>
    <row r="58" spans="1:2" s="1587" customFormat="1" ht="15" thickTop="1">
      <c r="A58" s="1585" t="s">
        <v>1222</v>
      </c>
      <c r="B58" s="1586" t="str">
        <f>'预评函-4'!A12</f>
        <v>2.本《评估意见函》仅供金融机构进行内部审核使用，不做其他目的之用。</v>
      </c>
    </row>
    <row r="59" spans="1:2" s="1590" customFormat="1">
      <c r="A59" s="1588" t="s">
        <v>1223</v>
      </c>
      <c r="B59" s="1589" t="str">
        <f>'预评函-4'!A13</f>
        <v>3.抵押双方在办理抵押登记手续时，应使用本公司出具的正式《房地产评估报告》，特提醒报告使用者注意。</v>
      </c>
    </row>
    <row r="60" spans="1:2" s="1590" customFormat="1">
      <c r="A60" s="1588" t="s">
        <v>1224</v>
      </c>
      <c r="B60" s="1589" t="str">
        <f>'预评函-4'!A14</f>
        <v>4.本次评估估价师所知悉的法定优先受偿款情况说明如下：</v>
      </c>
    </row>
    <row r="61" spans="1:2" s="1590" customFormat="1">
      <c r="A61" s="1588" t="s">
        <v>1225</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1226</v>
      </c>
      <c r="B62" s="1589" t="str">
        <f>'预评函-4'!A16</f>
        <v>（2）根据《工程款支付情况说明》，截至价值时点，估价对象不存在应付未付工程款项。（只要没有施工方盖章的，均“设定”进行表述）</v>
      </c>
    </row>
    <row r="63" spans="1:2" s="1590" customFormat="1">
      <c r="A63" s="1588" t="s">
        <v>1227</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1239</v>
      </c>
      <c r="B64" s="1589" t="str">
        <f>'预评函-4'!A18</f>
        <v>故，本次评估不存在估价师知悉的法定优先受偿款</v>
      </c>
    </row>
    <row r="65" spans="1:2" s="1590" customFormat="1">
      <c r="A65" s="1588" t="s">
        <v>1228</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1229</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1240</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1241</v>
      </c>
      <c r="B68" s="1589" t="str">
        <f>'预评函-4'!A22</f>
        <v>8.其他需特殊说明事项：无（注意调整序号）</v>
      </c>
    </row>
    <row r="69" spans="1:2" s="1584" customFormat="1" ht="15" thickBot="1">
      <c r="A69" s="1591" t="s">
        <v>1230</v>
      </c>
      <c r="B69" s="1593">
        <f>'预评函-4'!C31</f>
        <v>42551</v>
      </c>
    </row>
    <row r="70" spans="1:2" ht="15" thickTop="1">
      <c r="A70" s="1594" t="s">
        <v>1231</v>
      </c>
      <c r="B70" s="1595" t="str">
        <f>'预评函-4'!A4</f>
        <v>吴薇</v>
      </c>
    </row>
    <row r="71" spans="1:2">
      <c r="A71" s="1588" t="s">
        <v>1232</v>
      </c>
      <c r="B71" s="1589">
        <f ca="1">'预评函-4'!B4</f>
        <v>1419970001</v>
      </c>
    </row>
    <row r="72" spans="1:2">
      <c r="A72" s="1588" t="s">
        <v>1233</v>
      </c>
      <c r="B72" s="1597" t="str">
        <f>'预评函-4'!A5</f>
        <v>郑燚</v>
      </c>
    </row>
    <row r="73" spans="1:2" s="1584" customFormat="1" ht="15" thickBot="1">
      <c r="A73" s="1591" t="s">
        <v>1234</v>
      </c>
      <c r="B73" s="1592">
        <f ca="1">'预评函-4'!B5</f>
        <v>1120070131</v>
      </c>
    </row>
    <row r="74" spans="1:2" ht="15" thickTop="1">
      <c r="A74" s="1581" t="s">
        <v>1270</v>
      </c>
      <c r="B74" s="159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47</v>
      </c>
      <c r="B1" s="2004" t="s">
        <v>1660</v>
      </c>
      <c r="C1" s="2005" t="s">
        <v>735</v>
      </c>
      <c r="D1" s="2006" t="s">
        <v>1661</v>
      </c>
      <c r="E1" s="2006" t="s">
        <v>1662</v>
      </c>
      <c r="F1" s="2006" t="s">
        <v>1663</v>
      </c>
      <c r="G1" s="2006" t="s">
        <v>1664</v>
      </c>
      <c r="H1" s="2006" t="s">
        <v>1665</v>
      </c>
      <c r="I1" s="2006" t="s">
        <v>1666</v>
      </c>
      <c r="J1" s="2006" t="s">
        <v>1667</v>
      </c>
      <c r="K1" s="2006" t="s">
        <v>1668</v>
      </c>
      <c r="L1" s="2006" t="s">
        <v>1669</v>
      </c>
      <c r="M1" s="2006" t="s">
        <v>1670</v>
      </c>
      <c r="N1" s="2006" t="s">
        <v>1671</v>
      </c>
      <c r="O1" s="2006" t="s">
        <v>1672</v>
      </c>
      <c r="P1" s="2007" t="s">
        <v>729</v>
      </c>
      <c r="Q1" s="2007" t="s">
        <v>1116</v>
      </c>
      <c r="R1" s="2006" t="s">
        <v>1110</v>
      </c>
      <c r="S1" s="2006" t="s">
        <v>1673</v>
      </c>
      <c r="T1" s="2008" t="s">
        <v>1674</v>
      </c>
      <c r="U1" s="2006" t="s">
        <v>1675</v>
      </c>
      <c r="V1" s="2006" t="s">
        <v>1676</v>
      </c>
      <c r="W1" s="2006" t="s">
        <v>731</v>
      </c>
    </row>
    <row r="2" spans="1:23">
      <c r="A2" s="2010" t="s">
        <v>19</v>
      </c>
      <c r="B2" s="2010" t="s">
        <v>1677</v>
      </c>
      <c r="C2" s="2011" t="s">
        <v>736</v>
      </c>
      <c r="D2" s="2012" t="s">
        <v>1678</v>
      </c>
      <c r="E2" s="2012" t="s">
        <v>1679</v>
      </c>
      <c r="F2" s="2012" t="s">
        <v>1680</v>
      </c>
      <c r="G2" s="2012">
        <v>40</v>
      </c>
      <c r="H2" s="2012" t="s">
        <v>1680</v>
      </c>
      <c r="I2" s="2012" t="s">
        <v>1681</v>
      </c>
      <c r="J2" s="2012" t="s">
        <v>1682</v>
      </c>
      <c r="K2" s="2012" t="s">
        <v>1683</v>
      </c>
      <c r="L2" s="2012" t="s">
        <v>1683</v>
      </c>
      <c r="M2" s="2012" t="s">
        <v>1683</v>
      </c>
      <c r="N2" s="2012" t="s">
        <v>1683</v>
      </c>
      <c r="O2" s="2012" t="s">
        <v>1683</v>
      </c>
      <c r="P2" s="2012" t="s">
        <v>1683</v>
      </c>
      <c r="Q2" s="2012" t="s">
        <v>1683</v>
      </c>
      <c r="R2" s="2012" t="s">
        <v>1112</v>
      </c>
      <c r="S2" s="2012" t="s">
        <v>1683</v>
      </c>
      <c r="T2" s="2012" t="s">
        <v>1684</v>
      </c>
      <c r="U2" s="2012" t="s">
        <v>1683</v>
      </c>
      <c r="V2" s="2012" t="s">
        <v>1685</v>
      </c>
      <c r="W2" s="2012" t="s">
        <v>1683</v>
      </c>
    </row>
    <row r="3" spans="1:23">
      <c r="A3" s="2010" t="s">
        <v>1686</v>
      </c>
      <c r="B3" s="2013" t="s">
        <v>1117</v>
      </c>
      <c r="C3" s="2014" t="s">
        <v>737</v>
      </c>
      <c r="D3" s="2012" t="s">
        <v>1687</v>
      </c>
      <c r="E3" s="2012" t="s">
        <v>13</v>
      </c>
      <c r="F3" s="2012" t="s">
        <v>1688</v>
      </c>
      <c r="G3" s="2012">
        <v>50</v>
      </c>
      <c r="H3" s="2012" t="s">
        <v>1688</v>
      </c>
      <c r="I3" s="2012" t="s">
        <v>1689</v>
      </c>
      <c r="J3" s="2012" t="s">
        <v>1690</v>
      </c>
      <c r="K3" s="2012" t="s">
        <v>1691</v>
      </c>
      <c r="L3" s="2012" t="s">
        <v>1691</v>
      </c>
      <c r="M3" s="2012" t="s">
        <v>1691</v>
      </c>
      <c r="N3" s="2012" t="s">
        <v>1691</v>
      </c>
      <c r="O3" s="2012" t="s">
        <v>1691</v>
      </c>
      <c r="P3" s="2012" t="s">
        <v>1691</v>
      </c>
      <c r="Q3" s="2012" t="s">
        <v>1691</v>
      </c>
      <c r="R3" s="2012" t="s">
        <v>1111</v>
      </c>
      <c r="S3" s="2012" t="s">
        <v>1691</v>
      </c>
      <c r="T3" s="2012" t="s">
        <v>1692</v>
      </c>
      <c r="U3" s="2012" t="s">
        <v>1691</v>
      </c>
      <c r="V3" s="2012" t="s">
        <v>1693</v>
      </c>
      <c r="W3" s="2012" t="s">
        <v>1691</v>
      </c>
    </row>
    <row r="4" spans="1:23">
      <c r="A4" s="2010" t="s">
        <v>1694</v>
      </c>
      <c r="B4" s="2010" t="s">
        <v>1695</v>
      </c>
      <c r="C4" s="2011" t="s">
        <v>738</v>
      </c>
      <c r="D4" s="2012" t="s">
        <v>840</v>
      </c>
      <c r="E4" s="2012" t="s">
        <v>1696</v>
      </c>
      <c r="F4" s="2012" t="s">
        <v>1697</v>
      </c>
      <c r="G4" s="2012">
        <v>70</v>
      </c>
      <c r="H4" s="2012" t="s">
        <v>1697</v>
      </c>
      <c r="I4" s="2012" t="s">
        <v>1698</v>
      </c>
      <c r="K4" s="2012" t="s">
        <v>1699</v>
      </c>
      <c r="L4" s="2012" t="s">
        <v>1699</v>
      </c>
      <c r="M4" s="2012" t="s">
        <v>1699</v>
      </c>
      <c r="N4" s="2012" t="s">
        <v>1699</v>
      </c>
      <c r="O4" s="2012" t="s">
        <v>1699</v>
      </c>
      <c r="P4" s="2012" t="s">
        <v>1699</v>
      </c>
      <c r="Q4" s="2012" t="s">
        <v>1699</v>
      </c>
      <c r="R4" s="2012" t="s">
        <v>1113</v>
      </c>
      <c r="S4" s="2012" t="s">
        <v>1699</v>
      </c>
      <c r="T4" s="2012" t="s">
        <v>1700</v>
      </c>
      <c r="U4" s="2012" t="s">
        <v>1699</v>
      </c>
      <c r="W4" s="2012" t="s">
        <v>1699</v>
      </c>
    </row>
    <row r="5" spans="1:23">
      <c r="A5" s="2010" t="s">
        <v>1701</v>
      </c>
      <c r="B5" s="2010" t="s">
        <v>1702</v>
      </c>
      <c r="C5" s="2011" t="s">
        <v>739</v>
      </c>
      <c r="F5" s="2012" t="s">
        <v>1703</v>
      </c>
      <c r="H5" s="2012" t="s">
        <v>1704</v>
      </c>
      <c r="I5" s="2012" t="s">
        <v>1705</v>
      </c>
      <c r="K5" s="2012" t="s">
        <v>1706</v>
      </c>
      <c r="L5" s="2012" t="s">
        <v>1706</v>
      </c>
      <c r="M5" s="2012" t="s">
        <v>1706</v>
      </c>
      <c r="N5" s="2012" t="s">
        <v>1706</v>
      </c>
      <c r="O5" s="2012" t="s">
        <v>1706</v>
      </c>
      <c r="P5" s="2012" t="s">
        <v>1706</v>
      </c>
      <c r="Q5" s="2012" t="s">
        <v>1706</v>
      </c>
      <c r="R5" s="2012" t="s">
        <v>1114</v>
      </c>
      <c r="S5" s="2012" t="s">
        <v>1706</v>
      </c>
      <c r="T5" s="2012" t="s">
        <v>1707</v>
      </c>
      <c r="U5" s="2012" t="s">
        <v>1706</v>
      </c>
      <c r="W5" s="2012" t="s">
        <v>1706</v>
      </c>
    </row>
    <row r="6" spans="1:23">
      <c r="A6" s="2010" t="s">
        <v>1708</v>
      </c>
      <c r="B6" s="2013" t="s">
        <v>1118</v>
      </c>
      <c r="C6" s="2016" t="s">
        <v>27</v>
      </c>
      <c r="F6" s="2012" t="s">
        <v>1704</v>
      </c>
      <c r="H6" s="2012" t="s">
        <v>1709</v>
      </c>
      <c r="I6" s="2012" t="s">
        <v>1710</v>
      </c>
      <c r="K6" s="2012" t="s">
        <v>1711</v>
      </c>
      <c r="L6" s="2012" t="s">
        <v>1711</v>
      </c>
      <c r="M6" s="2012" t="s">
        <v>1711</v>
      </c>
      <c r="N6" s="2012" t="s">
        <v>1711</v>
      </c>
      <c r="O6" s="2012" t="s">
        <v>1711</v>
      </c>
      <c r="P6" s="2012" t="s">
        <v>1711</v>
      </c>
      <c r="Q6" s="2012" t="s">
        <v>1711</v>
      </c>
      <c r="R6" s="2012" t="s">
        <v>1115</v>
      </c>
      <c r="S6" s="2012" t="s">
        <v>1711</v>
      </c>
      <c r="T6" s="2012"/>
      <c r="U6" s="2012" t="s">
        <v>1711</v>
      </c>
      <c r="W6" s="2012" t="s">
        <v>1711</v>
      </c>
    </row>
    <row r="7" spans="1:23">
      <c r="A7" s="2010" t="s">
        <v>1712</v>
      </c>
      <c r="B7" s="2013" t="s">
        <v>1119</v>
      </c>
      <c r="C7" s="2011" t="s">
        <v>28</v>
      </c>
      <c r="F7" s="2012" t="s">
        <v>1713</v>
      </c>
      <c r="H7" s="2012" t="s">
        <v>1714</v>
      </c>
      <c r="I7" s="2012" t="s">
        <v>1715</v>
      </c>
    </row>
    <row r="8" spans="1:23">
      <c r="A8" s="2010" t="s">
        <v>1716</v>
      </c>
      <c r="B8" s="2010" t="s">
        <v>1717</v>
      </c>
      <c r="C8" s="2011" t="s">
        <v>740</v>
      </c>
      <c r="F8" s="2012" t="s">
        <v>1718</v>
      </c>
      <c r="H8" s="2012"/>
      <c r="I8" s="2012" t="s">
        <v>1719</v>
      </c>
    </row>
    <row r="9" spans="1:23">
      <c r="A9" s="2010" t="s">
        <v>1720</v>
      </c>
      <c r="B9" s="2010" t="s">
        <v>1721</v>
      </c>
      <c r="C9" s="2011" t="s">
        <v>741</v>
      </c>
      <c r="F9" s="2012" t="s">
        <v>1722</v>
      </c>
      <c r="H9" s="2012"/>
    </row>
    <row r="10" spans="1:23">
      <c r="A10" s="2010" t="s">
        <v>1723</v>
      </c>
      <c r="B10" s="2010" t="s">
        <v>1724</v>
      </c>
      <c r="C10" s="2011" t="s">
        <v>742</v>
      </c>
      <c r="F10" s="2012" t="s">
        <v>13</v>
      </c>
    </row>
    <row r="11" spans="1:23">
      <c r="A11" s="2010" t="s">
        <v>1725</v>
      </c>
      <c r="B11" s="2010" t="s">
        <v>1726</v>
      </c>
      <c r="C11" s="2011" t="s">
        <v>743</v>
      </c>
    </row>
    <row r="12" spans="1:23">
      <c r="A12" s="2010" t="s">
        <v>1727</v>
      </c>
      <c r="B12" s="2010" t="s">
        <v>1728</v>
      </c>
      <c r="C12" s="2011" t="s">
        <v>744</v>
      </c>
    </row>
    <row r="13" spans="1:23">
      <c r="A13" s="2010" t="s">
        <v>1729</v>
      </c>
      <c r="B13" s="2010" t="s">
        <v>1730</v>
      </c>
      <c r="C13" s="2011" t="s">
        <v>745</v>
      </c>
    </row>
    <row r="14" spans="1:23">
      <c r="A14" s="2010" t="s">
        <v>1731</v>
      </c>
      <c r="B14" s="2010" t="s">
        <v>1732</v>
      </c>
      <c r="C14" s="2012" t="s">
        <v>13</v>
      </c>
    </row>
    <row r="15" spans="1:23">
      <c r="A15" s="2010" t="s">
        <v>1733</v>
      </c>
      <c r="B15" s="2010" t="s">
        <v>1734</v>
      </c>
      <c r="C15" s="2011"/>
    </row>
    <row r="16" spans="1:23">
      <c r="A16" s="2010" t="s">
        <v>1735</v>
      </c>
      <c r="B16" s="2010" t="s">
        <v>732</v>
      </c>
      <c r="C16" s="2011"/>
    </row>
    <row r="17" spans="1:3">
      <c r="A17" s="2010" t="s">
        <v>1736</v>
      </c>
      <c r="B17" s="2010" t="s">
        <v>733</v>
      </c>
      <c r="C17" s="2011"/>
    </row>
    <row r="18" spans="1:3">
      <c r="A18" s="2010" t="s">
        <v>1737</v>
      </c>
      <c r="B18" s="2010" t="s">
        <v>733</v>
      </c>
      <c r="C18" s="2011"/>
    </row>
    <row r="19" spans="1:3">
      <c r="A19" s="2010" t="s">
        <v>1738</v>
      </c>
      <c r="B19" s="2010" t="s">
        <v>733</v>
      </c>
      <c r="C19" s="2011"/>
    </row>
    <row r="20" spans="1:3">
      <c r="A20" s="2010" t="s">
        <v>1739</v>
      </c>
      <c r="B20" s="2010" t="s">
        <v>733</v>
      </c>
      <c r="C20" s="2011"/>
    </row>
    <row r="21" spans="1:3">
      <c r="A21" s="2010" t="s">
        <v>1740</v>
      </c>
      <c r="B21" s="2010" t="s">
        <v>733</v>
      </c>
      <c r="C21" s="2011"/>
    </row>
    <row r="22" spans="1:3">
      <c r="A22" s="2010" t="s">
        <v>1741</v>
      </c>
      <c r="B22" s="2010" t="s">
        <v>733</v>
      </c>
      <c r="C22" s="2011"/>
    </row>
    <row r="23" spans="1:3">
      <c r="A23" s="2010" t="s">
        <v>1742</v>
      </c>
      <c r="B23" s="2010" t="s">
        <v>733</v>
      </c>
      <c r="C23" s="2011"/>
    </row>
    <row r="24" spans="1:3">
      <c r="A24" s="2010" t="s">
        <v>1743</v>
      </c>
      <c r="B24" s="2010" t="s">
        <v>733</v>
      </c>
      <c r="C24" s="2011"/>
    </row>
    <row r="25" spans="1:3">
      <c r="A25" s="2010" t="s">
        <v>1744</v>
      </c>
      <c r="B25" s="2010" t="s">
        <v>733</v>
      </c>
      <c r="C25" s="2011"/>
    </row>
    <row r="26" spans="1:3">
      <c r="A26" s="2010" t="s">
        <v>1745</v>
      </c>
      <c r="B26" s="2010" t="s">
        <v>733</v>
      </c>
      <c r="C26" s="2011"/>
    </row>
    <row r="27" spans="1:3">
      <c r="A27" s="2010" t="s">
        <v>733</v>
      </c>
      <c r="B27" s="2010" t="s">
        <v>733</v>
      </c>
      <c r="C27" s="2011"/>
    </row>
    <row r="28" spans="1:3">
      <c r="A28" s="2010" t="s">
        <v>733</v>
      </c>
      <c r="B28" s="2010" t="s">
        <v>733</v>
      </c>
      <c r="C28" s="2011"/>
    </row>
    <row r="29" spans="1:3">
      <c r="A29" s="2010" t="s">
        <v>733</v>
      </c>
      <c r="B29" s="2010" t="s">
        <v>733</v>
      </c>
      <c r="C29" s="2011"/>
    </row>
    <row r="30" spans="1:3">
      <c r="A30" s="2010" t="s">
        <v>733</v>
      </c>
      <c r="B30" s="2010" t="s">
        <v>733</v>
      </c>
      <c r="C30" s="2011"/>
    </row>
    <row r="31" spans="1:3">
      <c r="A31" s="2010" t="s">
        <v>733</v>
      </c>
      <c r="B31" s="2010" t="s">
        <v>733</v>
      </c>
      <c r="C31" s="2011"/>
    </row>
    <row r="32" spans="1:3">
      <c r="A32" s="2010" t="s">
        <v>733</v>
      </c>
      <c r="B32" s="2010" t="s">
        <v>733</v>
      </c>
      <c r="C32" s="2011"/>
    </row>
    <row r="33" spans="1:3">
      <c r="A33" s="2010" t="s">
        <v>733</v>
      </c>
      <c r="B33" s="2010" t="s">
        <v>733</v>
      </c>
      <c r="C33" s="2011"/>
    </row>
    <row r="34" spans="1:3">
      <c r="A34" s="2010" t="s">
        <v>733</v>
      </c>
      <c r="B34" s="2010" t="s">
        <v>733</v>
      </c>
      <c r="C34" s="2011"/>
    </row>
    <row r="35" spans="1:3">
      <c r="A35" s="2010" t="s">
        <v>733</v>
      </c>
      <c r="B35" s="2010" t="s">
        <v>733</v>
      </c>
      <c r="C35" s="2011"/>
    </row>
    <row r="36" spans="1:3">
      <c r="A36" s="2010" t="s">
        <v>733</v>
      </c>
      <c r="B36" s="2010" t="s">
        <v>733</v>
      </c>
      <c r="C36" s="2011"/>
    </row>
    <row r="37" spans="1:3">
      <c r="A37" s="2010" t="s">
        <v>733</v>
      </c>
      <c r="B37" s="2010" t="s">
        <v>733</v>
      </c>
      <c r="C37" s="2011"/>
    </row>
    <row r="38" spans="1:3">
      <c r="A38" s="2010" t="s">
        <v>733</v>
      </c>
      <c r="B38" s="2010" t="s">
        <v>733</v>
      </c>
      <c r="C38" s="2011"/>
    </row>
    <row r="39" spans="1:3">
      <c r="A39" s="2010" t="s">
        <v>733</v>
      </c>
      <c r="B39" s="2010" t="s">
        <v>733</v>
      </c>
      <c r="C39" s="2011"/>
    </row>
    <row r="40" spans="1:3">
      <c r="A40" s="2010" t="s">
        <v>733</v>
      </c>
      <c r="B40" s="2010" t="s">
        <v>733</v>
      </c>
      <c r="C40" s="2011"/>
    </row>
    <row r="41" spans="1:3">
      <c r="A41" s="2010" t="s">
        <v>733</v>
      </c>
      <c r="B41" s="2010" t="s">
        <v>733</v>
      </c>
      <c r="C41" s="2011"/>
    </row>
    <row r="42" spans="1:3">
      <c r="A42" s="2010" t="s">
        <v>733</v>
      </c>
      <c r="B42" s="2010" t="s">
        <v>733</v>
      </c>
      <c r="C42" s="2011"/>
    </row>
    <row r="43" spans="1:3">
      <c r="A43" s="2010" t="s">
        <v>733</v>
      </c>
      <c r="B43" s="2010" t="s">
        <v>733</v>
      </c>
      <c r="C43" s="2011"/>
    </row>
    <row r="44" spans="1:3">
      <c r="A44" s="2010" t="s">
        <v>733</v>
      </c>
      <c r="B44" s="2010" t="s">
        <v>733</v>
      </c>
      <c r="C44" s="2011"/>
    </row>
    <row r="45" spans="1:3">
      <c r="A45" s="2010" t="s">
        <v>733</v>
      </c>
      <c r="B45" s="2010" t="s">
        <v>733</v>
      </c>
      <c r="C45" s="2011"/>
    </row>
    <row r="46" spans="1:3">
      <c r="A46" s="2010" t="s">
        <v>733</v>
      </c>
      <c r="B46" s="2010" t="s">
        <v>733</v>
      </c>
      <c r="C46" s="2011"/>
    </row>
    <row r="47" spans="1:3">
      <c r="A47" s="2010" t="s">
        <v>733</v>
      </c>
      <c r="B47" s="2010" t="s">
        <v>733</v>
      </c>
      <c r="C47" s="2011"/>
    </row>
    <row r="48" spans="1:3">
      <c r="A48" s="2010" t="s">
        <v>733</v>
      </c>
      <c r="B48" s="2010" t="s">
        <v>733</v>
      </c>
      <c r="C48" s="2011"/>
    </row>
    <row r="49" spans="1:4">
      <c r="A49" s="2010" t="s">
        <v>733</v>
      </c>
      <c r="B49" s="2010" t="s">
        <v>733</v>
      </c>
      <c r="C49" s="2011"/>
    </row>
    <row r="50" spans="1:4">
      <c r="A50" s="2010" t="s">
        <v>733</v>
      </c>
      <c r="B50" s="2010" t="s">
        <v>733</v>
      </c>
      <c r="C50" s="2011"/>
    </row>
    <row r="51" spans="1:4">
      <c r="A51" s="2017" t="s">
        <v>829</v>
      </c>
      <c r="B51" s="2018"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2018" t="s">
        <v>1255</v>
      </c>
    </row>
    <row r="52" spans="1:4">
      <c r="A52" s="2017" t="s">
        <v>830</v>
      </c>
      <c r="B52" s="2017" t="s">
        <v>831</v>
      </c>
      <c r="C52" s="2015" t="s">
        <v>832</v>
      </c>
      <c r="D52" s="2015" t="s">
        <v>833</v>
      </c>
    </row>
    <row r="53" spans="1:4">
      <c r="A53" s="3004" t="s">
        <v>834</v>
      </c>
      <c r="B53" s="2018" t="s">
        <v>835</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4">
      <c r="A54" s="3004"/>
      <c r="B54" s="2018" t="s">
        <v>836</v>
      </c>
      <c r="C54" s="2015" t="s">
        <v>1252</v>
      </c>
    </row>
    <row r="55" spans="1:4">
      <c r="A55" s="3004"/>
      <c r="B55" s="2018" t="s">
        <v>837</v>
      </c>
      <c r="C55" s="2015" t="s">
        <v>1253</v>
      </c>
    </row>
    <row r="56" spans="1:4">
      <c r="A56" s="3004"/>
      <c r="B56" s="2018" t="s">
        <v>838</v>
      </c>
      <c r="C56" s="2015" t="s">
        <v>1257</v>
      </c>
    </row>
    <row r="57" spans="1:4">
      <c r="A57" s="3004"/>
      <c r="B57" s="2018" t="s">
        <v>839</v>
      </c>
      <c r="C57" s="2015" t="s">
        <v>1254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1746</v>
      </c>
      <c r="B1" s="301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4"/>
      <c r="D1" s="3014"/>
      <c r="E1" s="3014"/>
      <c r="F1" s="3014"/>
      <c r="G1" s="3014"/>
      <c r="H1" s="3014"/>
      <c r="I1" s="301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2" t="s">
        <v>1747</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1" t="s">
        <v>1748</v>
      </c>
      <c r="B3" s="2032">
        <v>43832</v>
      </c>
      <c r="C3" s="2033" t="s">
        <v>1749</v>
      </c>
      <c r="D3" s="2032">
        <f>B3</f>
        <v>43832</v>
      </c>
      <c r="E3" s="2022"/>
      <c r="F3" s="2022"/>
      <c r="G3" s="2022"/>
      <c r="H3" s="2022"/>
      <c r="I3" s="2022"/>
      <c r="J3" s="2022"/>
      <c r="K3" s="2023"/>
      <c r="L3" s="2024"/>
      <c r="M3" s="2024"/>
      <c r="N3" s="2025"/>
      <c r="O3" s="2026"/>
      <c r="P3" s="2025"/>
      <c r="Q3" s="2025"/>
      <c r="R3" s="2025"/>
      <c r="S3" s="2027"/>
    </row>
    <row r="4" spans="1:19" ht="18" customHeight="1" thickBot="1">
      <c r="A4" s="2034" t="s">
        <v>1750</v>
      </c>
      <c r="B4" s="2035" t="s">
        <v>3095</v>
      </c>
      <c r="C4" s="1034">
        <f ca="1">SUMIF(注册房地产估价师,B4,估价师及机构信息!B3:B24)</f>
        <v>1419970001</v>
      </c>
      <c r="D4" s="2035" t="s">
        <v>3032</v>
      </c>
      <c r="E4" s="1035">
        <f ca="1">SUMIF(注册房地产估价师,D4,估价师及机构信息!B3:B24)</f>
        <v>1120070131</v>
      </c>
      <c r="F4" s="2035" t="s">
        <v>46</v>
      </c>
      <c r="G4" s="2036">
        <f>SUMIF(注册房地产估价师,F4,估价师及机构信息!B3:B24)</f>
        <v>0</v>
      </c>
      <c r="H4" s="2035" t="s">
        <v>46</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1751</v>
      </c>
      <c r="B5" s="2949" t="s">
        <v>3027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1752</v>
      </c>
      <c r="B6" s="2950" t="s">
        <v>3028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1753</v>
      </c>
      <c r="B7" s="2047" t="str">
        <f>B5</f>
        <v>北京国隆置业有限公司</v>
      </c>
      <c r="C7" s="2044"/>
      <c r="D7" s="2045"/>
      <c r="E7" s="2030"/>
      <c r="F7" s="2038"/>
      <c r="G7" s="2038"/>
      <c r="H7" s="2038"/>
      <c r="I7" s="2038"/>
      <c r="J7" s="2038"/>
      <c r="K7" s="2048"/>
      <c r="L7" s="2024"/>
      <c r="M7" s="2024"/>
      <c r="N7" s="2025"/>
      <c r="O7" s="2026"/>
      <c r="P7" s="2025"/>
      <c r="Q7" s="2025"/>
      <c r="R7" s="2025"/>
    </row>
    <row r="8" spans="1:19" ht="18" customHeight="1">
      <c r="A8" s="2043" t="s">
        <v>1754</v>
      </c>
      <c r="B8" s="2049" t="s">
        <v>3029</v>
      </c>
      <c r="C8" s="2050"/>
      <c r="D8" s="3016" t="s">
        <v>1755</v>
      </c>
      <c r="E8" s="2051" t="s">
        <v>3030</v>
      </c>
      <c r="F8" s="2052"/>
      <c r="G8" s="2022"/>
      <c r="H8" s="2022"/>
      <c r="I8" s="2022"/>
      <c r="J8" s="2038"/>
      <c r="K8" s="2039"/>
      <c r="L8" s="2024"/>
      <c r="M8" s="2024"/>
      <c r="N8" s="2025"/>
      <c r="O8" s="2026"/>
      <c r="P8" s="2025"/>
      <c r="Q8" s="2025"/>
      <c r="R8" s="2025"/>
    </row>
    <row r="9" spans="1:19" ht="18" customHeight="1" thickBot="1">
      <c r="A9" s="2036" t="s">
        <v>1756</v>
      </c>
      <c r="B9" s="2053" t="s">
        <v>3030</v>
      </c>
      <c r="C9" s="2054"/>
      <c r="D9" s="3017"/>
      <c r="E9" s="2053" t="s">
        <v>1256</v>
      </c>
      <c r="F9" s="2055"/>
      <c r="G9" s="2056"/>
      <c r="H9" s="2056"/>
      <c r="I9" s="2056"/>
      <c r="J9" s="2038"/>
      <c r="K9" s="2048"/>
      <c r="L9" s="2024"/>
      <c r="M9" s="2024"/>
      <c r="N9" s="2025"/>
      <c r="O9" s="2026"/>
      <c r="P9" s="2025"/>
      <c r="Q9" s="2025"/>
      <c r="R9" s="2025"/>
    </row>
    <row r="10" spans="1:19" ht="18" customHeight="1" thickTop="1">
      <c r="A10" s="2057" t="s">
        <v>1757</v>
      </c>
      <c r="B10" s="2058" t="s">
        <v>3031</v>
      </c>
      <c r="C10" s="2059"/>
      <c r="D10" s="2042"/>
      <c r="E10" s="2060" t="s">
        <v>1758</v>
      </c>
      <c r="F10" s="2061"/>
      <c r="G10" s="2062"/>
      <c r="H10" s="2063"/>
      <c r="I10" s="2042"/>
      <c r="J10" s="2038"/>
      <c r="K10" s="2048"/>
      <c r="L10" s="2024"/>
      <c r="M10" s="2024"/>
      <c r="N10" s="2025"/>
      <c r="O10" s="2026"/>
      <c r="P10" s="2025"/>
      <c r="Q10" s="2025"/>
      <c r="R10" s="2025"/>
    </row>
    <row r="11" spans="1:19" ht="18" customHeight="1">
      <c r="A11" s="2064" t="s">
        <v>1759</v>
      </c>
      <c r="B11" s="2065" t="s">
        <v>3033</v>
      </c>
      <c r="C11" s="2066"/>
      <c r="D11" s="2067"/>
      <c r="E11" s="2038"/>
      <c r="F11" s="2038"/>
      <c r="G11" s="2038"/>
      <c r="H11" s="2038"/>
      <c r="I11" s="2038"/>
      <c r="J11" s="2038"/>
      <c r="K11" s="2048"/>
      <c r="L11" s="2024"/>
      <c r="M11" s="2024"/>
      <c r="N11" s="2025"/>
      <c r="O11" s="2026"/>
      <c r="P11" s="2025"/>
      <c r="Q11" s="2025"/>
      <c r="R11" s="2025"/>
    </row>
    <row r="12" spans="1:19" ht="18" customHeight="1">
      <c r="A12" s="2068" t="s">
        <v>1760</v>
      </c>
      <c r="B12" s="2065" t="s">
        <v>3034</v>
      </c>
      <c r="C12" s="2069" t="s">
        <v>1761</v>
      </c>
      <c r="D12" s="2070" t="s">
        <v>1762</v>
      </c>
      <c r="E12" s="2070" t="s">
        <v>1763</v>
      </c>
      <c r="F12" s="2070" t="s">
        <v>1764</v>
      </c>
      <c r="G12" s="2070" t="s">
        <v>1765</v>
      </c>
      <c r="H12" s="2070" t="s">
        <v>1766</v>
      </c>
      <c r="I12" s="2070" t="s">
        <v>1767</v>
      </c>
      <c r="J12" s="2038"/>
      <c r="K12" s="2048"/>
      <c r="L12" s="2024"/>
      <c r="M12" s="2024"/>
      <c r="N12" s="2025"/>
      <c r="O12" s="2026"/>
      <c r="P12" s="2025"/>
      <c r="Q12" s="2025"/>
      <c r="R12" s="2025"/>
    </row>
    <row r="13" spans="1:19" ht="18" customHeight="1">
      <c r="A13" s="2071"/>
      <c r="B13" s="2072"/>
      <c r="C13" s="2073" t="s">
        <v>1768</v>
      </c>
      <c r="D13" s="2074">
        <v>66194</v>
      </c>
      <c r="E13" s="2074">
        <v>55236</v>
      </c>
      <c r="F13" s="2074"/>
      <c r="G13" s="2074"/>
      <c r="H13" s="2074">
        <v>58889</v>
      </c>
      <c r="I13" s="1044"/>
      <c r="J13" s="2038"/>
      <c r="K13" s="2048"/>
      <c r="L13" s="2024"/>
      <c r="M13" s="2024"/>
      <c r="N13" s="2025"/>
      <c r="O13" s="2026"/>
      <c r="P13" s="2025"/>
      <c r="Q13" s="2025"/>
      <c r="R13" s="2025"/>
    </row>
    <row r="14" spans="1:19" ht="18" customHeight="1">
      <c r="A14" s="2071"/>
      <c r="B14" s="2072"/>
      <c r="C14" s="2073" t="s">
        <v>1769</v>
      </c>
      <c r="D14" s="1047">
        <v>70</v>
      </c>
      <c r="E14" s="1047">
        <v>40</v>
      </c>
      <c r="F14" s="1047"/>
      <c r="G14" s="1047"/>
      <c r="H14" s="1047">
        <v>50</v>
      </c>
      <c r="I14" s="1047"/>
      <c r="J14" s="2038"/>
      <c r="K14" s="2075"/>
      <c r="L14" s="2024"/>
      <c r="M14" s="2024"/>
      <c r="N14" s="2025"/>
      <c r="O14" s="2026"/>
      <c r="P14" s="2025"/>
      <c r="Q14" s="2025"/>
      <c r="R14" s="2025"/>
    </row>
    <row r="15" spans="1:19" ht="18" customHeight="1">
      <c r="A15" s="2057"/>
      <c r="B15" s="2076"/>
      <c r="C15" s="2073" t="s">
        <v>1770</v>
      </c>
      <c r="D15" s="1046">
        <f>IF(B12="出让",IF(D13="","",ROUNDDOWN(MIN((D13-$D$3)/365,D14),2)),D14)</f>
        <v>61.26</v>
      </c>
      <c r="E15" s="1046">
        <f>IF(B12="出让",IF(E13="","",ROUNDDOWN(MIN((E13-$D$3)/365,E14),2)),E14)</f>
        <v>31.24</v>
      </c>
      <c r="F15" s="1046" t="str">
        <f>IF(B12="出让",IF(F13="","",ROUNDDOWN(MIN((F13-$D$3)/365,F14),2)),F14)</f>
        <v/>
      </c>
      <c r="G15" s="1046" t="str">
        <f>IF(B12="出让",IF(G13="","",ROUNDDOWN(MIN((G13-$D$3)/365,G14),2)),G14)</f>
        <v/>
      </c>
      <c r="H15" s="1046">
        <f>IF(B12="出让",IF(H13="","",ROUNDDOWN(MIN((H13-$D$3)/365,H14),2)),H14)</f>
        <v>41.25</v>
      </c>
      <c r="I15" s="1046" t="str">
        <f>IF(B12="出让",IF(I13="","",ROUNDDOWN(MIN((I13-$D$3)/365,I14),2)),I14)</f>
        <v/>
      </c>
      <c r="J15" s="2038"/>
      <c r="K15" s="2077"/>
      <c r="L15" s="2078"/>
      <c r="M15" s="2078"/>
      <c r="N15" s="2079"/>
      <c r="O15" s="2078"/>
      <c r="P15" s="2079"/>
      <c r="Q15" s="2025"/>
      <c r="R15" s="2025"/>
    </row>
    <row r="16" spans="1:19" ht="30.75" customHeight="1">
      <c r="A16" s="2060" t="s">
        <v>1771</v>
      </c>
      <c r="B16" s="3023" t="s">
        <v>3035</v>
      </c>
      <c r="C16" s="3024"/>
      <c r="D16" s="3025"/>
      <c r="E16" s="2080" t="s">
        <v>1772</v>
      </c>
      <c r="F16" s="3026"/>
      <c r="G16" s="3027"/>
      <c r="H16" s="3027"/>
      <c r="I16" s="3028"/>
      <c r="J16" s="2025"/>
      <c r="K16" s="2077"/>
      <c r="L16" s="2078"/>
      <c r="M16" s="2078"/>
      <c r="N16" s="2079"/>
      <c r="O16" s="2078"/>
      <c r="P16" s="2079"/>
      <c r="Q16" s="2025"/>
      <c r="R16" s="2025"/>
    </row>
    <row r="17" spans="1:22" ht="18" customHeight="1">
      <c r="A17" s="2081" t="s">
        <v>1773</v>
      </c>
      <c r="B17" s="2031" t="s">
        <v>1774</v>
      </c>
      <c r="C17" s="1051">
        <f>'数据-汇总表'!E3</f>
        <v>46024.009999999995</v>
      </c>
      <c r="D17" s="2082" t="s">
        <v>1775</v>
      </c>
      <c r="E17" s="3029" t="s">
        <v>1776</v>
      </c>
      <c r="F17" s="3030"/>
      <c r="G17" s="3030"/>
      <c r="H17" s="3030"/>
      <c r="I17" s="3031"/>
      <c r="J17" s="2025"/>
      <c r="K17" s="2083"/>
      <c r="L17" s="2078"/>
      <c r="M17" s="2078"/>
      <c r="N17" s="2079"/>
      <c r="O17" s="2078"/>
      <c r="P17" s="2079"/>
      <c r="Q17" s="2025"/>
      <c r="R17" s="2025"/>
      <c r="S17" s="2025"/>
      <c r="T17" s="2025"/>
      <c r="U17" s="2025"/>
      <c r="V17" s="2025"/>
    </row>
    <row r="18" spans="1:22" ht="36" customHeight="1" thickBot="1">
      <c r="A18" s="2084" t="s">
        <v>1777</v>
      </c>
      <c r="B18" s="2034" t="s">
        <v>1778</v>
      </c>
      <c r="C18" s="1441">
        <f>'数据-汇总表'!D3</f>
        <v>10938.89</v>
      </c>
      <c r="D18" s="2085" t="s">
        <v>1775</v>
      </c>
      <c r="E18" s="3032" t="s">
        <v>1779</v>
      </c>
      <c r="F18" s="3033"/>
      <c r="G18" s="3033"/>
      <c r="H18" s="3033"/>
      <c r="I18" s="3034"/>
      <c r="J18" s="2025"/>
      <c r="K18" s="2083"/>
      <c r="L18" s="2078"/>
      <c r="M18" s="2078"/>
      <c r="N18" s="2079"/>
      <c r="O18" s="2078"/>
      <c r="P18" s="2079"/>
      <c r="Q18" s="2025"/>
      <c r="R18" s="2025"/>
      <c r="S18" s="2025"/>
      <c r="T18" s="2025"/>
      <c r="U18" s="2025"/>
      <c r="V18" s="2025"/>
    </row>
    <row r="19" spans="1:22" ht="37.5" customHeight="1" thickTop="1" thickBot="1">
      <c r="A19" s="370" t="s">
        <v>1780</v>
      </c>
      <c r="B19" s="349" t="s">
        <v>1781</v>
      </c>
      <c r="C19" s="2086"/>
      <c r="D19" s="2087" t="s">
        <v>1782</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1783</v>
      </c>
      <c r="B20" s="3019" t="s">
        <v>1784</v>
      </c>
      <c r="C20" s="3020"/>
      <c r="D20" s="3021" t="s">
        <v>1785</v>
      </c>
      <c r="E20" s="3022"/>
      <c r="F20" s="2092" t="s">
        <v>1786</v>
      </c>
      <c r="G20" s="2038"/>
      <c r="H20" s="2038"/>
      <c r="I20" s="2038"/>
      <c r="J20" s="2038"/>
      <c r="K20" s="3018" t="s">
        <v>1787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1788</v>
      </c>
      <c r="C21" s="2094" t="s">
        <v>1789</v>
      </c>
      <c r="D21" s="2095" t="s">
        <v>1790</v>
      </c>
      <c r="E21" s="2096" t="s">
        <v>1789</v>
      </c>
      <c r="F21" s="2097"/>
      <c r="G21" s="2038"/>
      <c r="H21" s="2038"/>
      <c r="I21" s="2038"/>
      <c r="J21" s="2038"/>
      <c r="K21" s="301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1791</v>
      </c>
      <c r="C22" s="2094" t="s">
        <v>1792</v>
      </c>
      <c r="D22" s="2022"/>
      <c r="E22" s="2022"/>
      <c r="F22" s="2099"/>
      <c r="G22" s="2038"/>
      <c r="H22" s="2038"/>
      <c r="I22" s="2038"/>
      <c r="J22" s="2038"/>
      <c r="K22" s="301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1793</v>
      </c>
      <c r="B23" s="180" t="s">
        <v>1794</v>
      </c>
      <c r="C23" s="2101"/>
      <c r="D23" s="2102" t="s">
        <v>1794</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1795</v>
      </c>
      <c r="C24" s="2106"/>
      <c r="D24" s="2100" t="s">
        <v>1795</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1796</v>
      </c>
      <c r="C25" s="2106"/>
      <c r="D25" s="2100" t="s">
        <v>1796</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1797</v>
      </c>
      <c r="C26" s="2110"/>
      <c r="D26" s="2111" t="s">
        <v>1798</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06" t="s">
        <v>1799</v>
      </c>
      <c r="B27" s="2057" t="s">
        <v>1800</v>
      </c>
      <c r="C27" s="2114" t="s">
        <v>3036</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06"/>
      <c r="B28" s="2031" t="s">
        <v>1801</v>
      </c>
      <c r="C28" s="2116" t="s">
        <v>3037</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06"/>
      <c r="B29" s="2031" t="s">
        <v>1802</v>
      </c>
      <c r="C29" s="2119" t="s">
        <v>3038</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07"/>
      <c r="B30" s="2031" t="s">
        <v>1803</v>
      </c>
      <c r="C30" s="3008"/>
      <c r="D30" s="3009"/>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10" t="s">
        <v>1804</v>
      </c>
      <c r="B31" s="2121" t="s">
        <v>3039</v>
      </c>
      <c r="C31" s="2122" t="str">
        <f>IF(B31="现房","成新及维护状况正常否",IF(B31="在建","工程状态是否正常",IF(B31="土地","是否闲置","-")))</f>
        <v>工程状态是否正常</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11"/>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11"/>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1805</v>
      </c>
      <c r="B34" s="2128" t="s">
        <v>3040</v>
      </c>
      <c r="C34" s="2128" t="s">
        <v>3041</v>
      </c>
      <c r="D34" s="2128" t="s">
        <v>3042</v>
      </c>
      <c r="E34" s="2128" t="s">
        <v>3043</v>
      </c>
      <c r="F34" s="2128" t="s">
        <v>3044</v>
      </c>
      <c r="G34" s="2128" t="s">
        <v>3045</v>
      </c>
      <c r="H34" s="2128" t="s">
        <v>3046</v>
      </c>
      <c r="I34" s="2038"/>
      <c r="J34" s="2038"/>
      <c r="K34" s="1792">
        <f>COUNTIF(B34:H34,"——")</f>
        <v>0</v>
      </c>
      <c r="L34" s="2069" t="s">
        <v>1806</v>
      </c>
      <c r="M34" s="2069" t="s">
        <v>1807</v>
      </c>
      <c r="N34" s="2069" t="s">
        <v>1808</v>
      </c>
      <c r="O34" s="2069" t="s">
        <v>1809</v>
      </c>
      <c r="P34" s="2069" t="s">
        <v>1810</v>
      </c>
      <c r="Q34" s="2069" t="s">
        <v>1811</v>
      </c>
      <c r="R34" s="2069" t="s">
        <v>1812</v>
      </c>
      <c r="S34" s="3005" t="s">
        <v>1813</v>
      </c>
      <c r="T34" s="2129" t="str">
        <f>NUMBERSTRING(7-K34,1)&amp;"通"</f>
        <v>七通</v>
      </c>
      <c r="U34" s="2025"/>
      <c r="V34" s="2025"/>
    </row>
    <row r="35" spans="1:22" ht="18" customHeight="1">
      <c r="A35" s="2130"/>
      <c r="B35" s="3012" t="s">
        <v>1814</v>
      </c>
      <c r="C35" s="3012"/>
      <c r="D35" s="3012"/>
      <c r="E35" s="3012"/>
      <c r="F35" s="2131">
        <f>C10</f>
        <v>0</v>
      </c>
      <c r="G35" s="2038"/>
      <c r="H35" s="2038"/>
      <c r="I35" s="2038"/>
      <c r="J35" s="2038"/>
      <c r="K35" s="2069"/>
      <c r="L35" s="2069"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通路、通电、通讯、通上水、通下水、燃气</v>
      </c>
      <c r="R35" s="45" t="str">
        <f>B34&amp;"、"&amp;C34&amp;"、"&amp;D34&amp;"、"&amp;E34&amp;"、"&amp;F34&amp;"、"&amp;G34&amp;"、"&amp;H34</f>
        <v>通路、通电、通讯、通上水、通下水、燃气、通热</v>
      </c>
      <c r="S35" s="3005"/>
      <c r="T35" s="45" t="str">
        <f>IF(T34="一通",L35,IF(T34="二通",M35,IF(T34="三通",N35,IF(T34="四通",O35,IF(T34="五通",P35,IF(T34="六通",Q35,R35))))))</f>
        <v>通路、通电、通讯、通上水、通下水、燃气、通热</v>
      </c>
      <c r="U35" s="2025"/>
      <c r="V35" s="2025"/>
    </row>
    <row r="36" spans="1:22" ht="18" customHeight="1">
      <c r="A36" s="2132"/>
      <c r="B36" s="2131" t="s">
        <v>1815</v>
      </c>
      <c r="C36" s="2131" t="s">
        <v>1816</v>
      </c>
      <c r="D36" s="2131" t="s">
        <v>1817</v>
      </c>
      <c r="E36" s="2131" t="s">
        <v>1818</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1819</v>
      </c>
      <c r="B37" s="2135" t="s">
        <v>32</v>
      </c>
      <c r="C37" s="2135"/>
      <c r="D37" s="2135" t="s">
        <v>32</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1820</v>
      </c>
      <c r="B38" s="2137" t="s">
        <v>362</v>
      </c>
      <c r="C38" s="2137"/>
      <c r="D38" s="2137" t="s">
        <v>362</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1821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5" t="s">
        <v>1822</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1823</v>
      </c>
      <c r="B42" s="1792" t="s">
        <v>1824</v>
      </c>
      <c r="C42" s="1792" t="s">
        <v>1825</v>
      </c>
      <c r="D42" s="1792" t="s">
        <v>1826</v>
      </c>
      <c r="E42" s="1792" t="s">
        <v>1827</v>
      </c>
      <c r="F42" s="1792" t="s">
        <v>1828</v>
      </c>
      <c r="G42" s="1792" t="s">
        <v>1829</v>
      </c>
      <c r="H42" s="1792" t="s">
        <v>1830</v>
      </c>
      <c r="I42" s="1792" t="s">
        <v>1831</v>
      </c>
      <c r="J42" s="2147" t="s">
        <v>1832</v>
      </c>
      <c r="K42" s="2070" t="s">
        <v>1833</v>
      </c>
      <c r="L42" s="2070" t="s">
        <v>1834</v>
      </c>
      <c r="M42" s="2070" t="s">
        <v>1835</v>
      </c>
      <c r="N42" s="1792" t="s">
        <v>1836</v>
      </c>
      <c r="O42" s="1792" t="s">
        <v>1837</v>
      </c>
      <c r="P42" s="1792" t="s">
        <v>1838</v>
      </c>
      <c r="Q42" s="2069" t="s">
        <v>1839</v>
      </c>
      <c r="R42" s="2069" t="s">
        <v>1840</v>
      </c>
      <c r="S42" s="2025"/>
      <c r="T42" s="2025"/>
      <c r="U42" s="2025"/>
      <c r="V42" s="2025"/>
    </row>
    <row r="43" spans="1:22" s="2152" customFormat="1" ht="18" customHeight="1">
      <c r="A43" s="2148"/>
      <c r="B43" s="1269"/>
      <c r="C43" s="1269"/>
      <c r="D43" s="1269"/>
      <c r="E43" s="1269"/>
      <c r="F43" s="1269"/>
      <c r="G43" s="1269"/>
      <c r="H43" s="6"/>
      <c r="I43" s="6"/>
      <c r="J43" s="2149"/>
      <c r="K43" s="2150"/>
      <c r="L43" s="2150"/>
      <c r="M43" s="6"/>
      <c r="N43" s="1269"/>
      <c r="O43" s="6"/>
      <c r="P43" s="1269"/>
      <c r="Q43" s="1269"/>
      <c r="R43" s="1269"/>
      <c r="S43" s="2151"/>
      <c r="T43" s="2151"/>
      <c r="U43" s="2151"/>
      <c r="V43" s="2151"/>
    </row>
    <row r="44" spans="1:22" s="2152" customFormat="1" ht="18" customHeight="1">
      <c r="A44" s="2148"/>
      <c r="B44" s="2148"/>
      <c r="C44" s="1269"/>
      <c r="D44" s="1269"/>
      <c r="E44" s="1269"/>
      <c r="F44" s="1269"/>
      <c r="G44" s="1269"/>
      <c r="H44" s="6"/>
      <c r="I44" s="6"/>
      <c r="J44" s="2149"/>
      <c r="K44" s="2150"/>
      <c r="L44" s="2150"/>
      <c r="M44" s="6"/>
      <c r="N44" s="1269"/>
      <c r="O44" s="6"/>
      <c r="P44" s="1269"/>
      <c r="Q44" s="1269"/>
      <c r="R44" s="1269"/>
      <c r="S44" s="2151"/>
      <c r="T44" s="2151"/>
      <c r="U44" s="2151"/>
      <c r="V44" s="2151"/>
    </row>
    <row r="45" spans="1:22" s="2152" customFormat="1" ht="18" customHeight="1">
      <c r="A45" s="2148"/>
      <c r="B45" s="2148"/>
      <c r="C45" s="1269"/>
      <c r="D45" s="1269"/>
      <c r="E45" s="1269"/>
      <c r="F45" s="1269"/>
      <c r="G45" s="1269"/>
      <c r="H45" s="6"/>
      <c r="I45" s="6"/>
      <c r="J45" s="2149"/>
      <c r="K45" s="2150"/>
      <c r="L45" s="2150"/>
      <c r="M45" s="6"/>
      <c r="N45" s="1269"/>
      <c r="O45" s="6"/>
      <c r="P45" s="1269"/>
      <c r="Q45" s="1269"/>
      <c r="R45" s="1269"/>
      <c r="S45" s="2151"/>
      <c r="T45" s="2151"/>
      <c r="U45" s="2151"/>
      <c r="V45" s="2151"/>
    </row>
    <row r="46" spans="1:22" s="2152" customFormat="1" ht="18" customHeight="1">
      <c r="A46" s="2148"/>
      <c r="B46" s="2148"/>
      <c r="C46" s="1269"/>
      <c r="D46" s="1269"/>
      <c r="E46" s="1269"/>
      <c r="F46" s="1269"/>
      <c r="G46" s="1269"/>
      <c r="H46" s="6"/>
      <c r="I46" s="6"/>
      <c r="J46" s="2149"/>
      <c r="K46" s="2150"/>
      <c r="L46" s="2150"/>
      <c r="M46" s="6"/>
      <c r="N46" s="1269"/>
      <c r="O46" s="6"/>
      <c r="P46" s="1269"/>
      <c r="Q46" s="1269"/>
      <c r="R46" s="1269"/>
      <c r="S46" s="2151"/>
      <c r="T46" s="2151"/>
      <c r="U46" s="2151"/>
      <c r="V46" s="2151"/>
    </row>
    <row r="47" spans="1:22" s="2152" customFormat="1" ht="18" customHeight="1">
      <c r="A47" s="2148"/>
      <c r="B47" s="2148"/>
      <c r="C47" s="1269"/>
      <c r="D47" s="1269"/>
      <c r="E47" s="1269"/>
      <c r="F47" s="1269"/>
      <c r="G47" s="1269"/>
      <c r="H47" s="6"/>
      <c r="I47" s="6"/>
      <c r="J47" s="2149"/>
      <c r="K47" s="2150"/>
      <c r="L47" s="2150"/>
      <c r="M47" s="6"/>
      <c r="N47" s="1269"/>
      <c r="O47" s="6"/>
      <c r="P47" s="1269"/>
      <c r="Q47" s="1269"/>
      <c r="R47" s="1269"/>
      <c r="S47" s="2151"/>
      <c r="T47" s="2151"/>
      <c r="U47" s="2151"/>
      <c r="V47" s="2151"/>
    </row>
    <row r="48" spans="1:22" s="2152" customFormat="1" ht="18" customHeight="1">
      <c r="A48" s="2148"/>
      <c r="B48" s="2148"/>
      <c r="C48" s="1269"/>
      <c r="D48" s="1269"/>
      <c r="E48" s="1269"/>
      <c r="F48" s="1269"/>
      <c r="G48" s="1269"/>
      <c r="H48" s="6"/>
      <c r="I48" s="6"/>
      <c r="J48" s="2149"/>
      <c r="K48" s="2150"/>
      <c r="L48" s="2150"/>
      <c r="M48" s="6"/>
      <c r="N48" s="1269"/>
      <c r="O48" s="6"/>
      <c r="P48" s="1269"/>
      <c r="Q48" s="1269"/>
      <c r="R48" s="1269"/>
      <c r="S48" s="2151"/>
      <c r="T48" s="2151"/>
      <c r="U48" s="2151"/>
      <c r="V48" s="2151"/>
    </row>
    <row r="49" spans="1:22" s="2152" customFormat="1" ht="18" customHeight="1">
      <c r="A49" s="2148"/>
      <c r="B49" s="2148"/>
      <c r="C49" s="1269"/>
      <c r="D49" s="1269"/>
      <c r="E49" s="1269"/>
      <c r="F49" s="1269"/>
      <c r="G49" s="1269"/>
      <c r="H49" s="6"/>
      <c r="I49" s="6"/>
      <c r="J49" s="2149"/>
      <c r="K49" s="2150"/>
      <c r="L49" s="2150"/>
      <c r="M49" s="6"/>
      <c r="N49" s="1269"/>
      <c r="O49" s="6"/>
      <c r="P49" s="1269"/>
      <c r="Q49" s="1269"/>
      <c r="R49" s="1269"/>
      <c r="S49" s="2151"/>
      <c r="T49" s="2151"/>
      <c r="U49" s="2151"/>
      <c r="V49" s="2151"/>
    </row>
    <row r="50" spans="1:22" s="2152" customFormat="1" ht="18" customHeight="1">
      <c r="A50" s="2148"/>
      <c r="B50" s="2148"/>
      <c r="C50" s="1269"/>
      <c r="D50" s="1269"/>
      <c r="E50" s="1269"/>
      <c r="F50" s="1269"/>
      <c r="G50" s="1269"/>
      <c r="H50" s="6"/>
      <c r="I50" s="6"/>
      <c r="J50" s="2149"/>
      <c r="K50" s="2150"/>
      <c r="L50" s="2150"/>
      <c r="M50" s="6"/>
      <c r="N50" s="1269"/>
      <c r="O50" s="6"/>
      <c r="P50" s="1269"/>
      <c r="Q50" s="1269"/>
      <c r="R50" s="1269"/>
      <c r="S50" s="2151"/>
      <c r="T50" s="2151"/>
      <c r="U50" s="2151"/>
      <c r="V50" s="2151"/>
    </row>
    <row r="51" spans="1:22" s="2152" customFormat="1" ht="18" customHeight="1">
      <c r="A51" s="2148"/>
      <c r="B51" s="2148"/>
      <c r="C51" s="1269"/>
      <c r="D51" s="1269"/>
      <c r="E51" s="1269"/>
      <c r="F51" s="1269"/>
      <c r="G51" s="1269"/>
      <c r="H51" s="6"/>
      <c r="I51" s="6"/>
      <c r="J51" s="2149"/>
      <c r="K51" s="2150"/>
      <c r="L51" s="2150"/>
      <c r="M51" s="6"/>
      <c r="N51" s="1269"/>
      <c r="O51" s="6"/>
      <c r="P51" s="1269"/>
      <c r="Q51" s="1269"/>
      <c r="R51" s="1269"/>
    </row>
    <row r="52" spans="1:22" s="2152" customFormat="1" ht="18" customHeight="1">
      <c r="A52" s="7"/>
      <c r="B52" s="7"/>
      <c r="C52" s="7"/>
      <c r="D52" s="7"/>
      <c r="E52" s="7"/>
      <c r="F52" s="6"/>
      <c r="G52" s="7"/>
      <c r="H52" s="7"/>
      <c r="I52" s="7"/>
      <c r="J52" s="2153"/>
      <c r="K52" s="2150"/>
      <c r="L52" s="2150"/>
      <c r="M52" s="2150"/>
      <c r="N52" s="7"/>
      <c r="O52" s="7"/>
      <c r="P52" s="7"/>
      <c r="Q52" s="7"/>
      <c r="R52" s="7"/>
    </row>
    <row r="53" spans="1:22" s="2152" customFormat="1" ht="18" customHeight="1">
      <c r="A53" s="7"/>
      <c r="B53" s="7"/>
      <c r="C53" s="7"/>
      <c r="D53" s="7"/>
      <c r="E53" s="7"/>
      <c r="F53" s="6"/>
      <c r="G53" s="7"/>
      <c r="H53" s="7"/>
      <c r="I53" s="7"/>
      <c r="J53" s="2153"/>
      <c r="K53" s="2150"/>
      <c r="L53" s="2150"/>
      <c r="M53" s="2150"/>
      <c r="N53" s="7"/>
      <c r="O53" s="7"/>
      <c r="P53" s="7"/>
      <c r="Q53" s="7"/>
      <c r="R53" s="7"/>
    </row>
    <row r="54" spans="1:22" s="2152" customFormat="1" ht="18" customHeight="1">
      <c r="A54" s="7"/>
      <c r="B54" s="7"/>
      <c r="C54" s="7"/>
      <c r="D54" s="7"/>
      <c r="E54" s="7"/>
      <c r="F54" s="6"/>
      <c r="G54" s="7"/>
      <c r="H54" s="7"/>
      <c r="I54" s="7"/>
      <c r="J54" s="2153"/>
      <c r="K54" s="2150"/>
      <c r="L54" s="2150"/>
      <c r="M54" s="2150"/>
      <c r="N54" s="7"/>
      <c r="O54" s="7"/>
      <c r="P54" s="7"/>
      <c r="Q54" s="7"/>
      <c r="R54" s="7"/>
    </row>
    <row r="55" spans="1:22" s="2152" customFormat="1" ht="18" customHeight="1">
      <c r="A55" s="7"/>
      <c r="B55" s="7"/>
      <c r="C55" s="7"/>
      <c r="D55" s="7"/>
      <c r="E55" s="7"/>
      <c r="F55" s="6"/>
      <c r="G55" s="7"/>
      <c r="H55" s="7"/>
      <c r="I55" s="7"/>
      <c r="J55" s="2153"/>
      <c r="K55" s="2150"/>
      <c r="L55" s="2150"/>
      <c r="M55" s="2150"/>
      <c r="N55" s="7"/>
      <c r="O55" s="7"/>
      <c r="P55" s="7"/>
      <c r="Q55" s="7"/>
      <c r="R55" s="7"/>
    </row>
    <row r="56" spans="1:22" s="2152" customFormat="1" ht="18" customHeight="1">
      <c r="A56" s="7"/>
      <c r="B56" s="7"/>
      <c r="C56" s="7"/>
      <c r="D56" s="7"/>
      <c r="E56" s="7"/>
      <c r="F56" s="6"/>
      <c r="G56" s="7"/>
      <c r="H56" s="7"/>
      <c r="I56" s="7"/>
      <c r="J56" s="2153"/>
      <c r="K56" s="2150"/>
      <c r="L56" s="2150"/>
      <c r="M56" s="2150"/>
      <c r="N56" s="7"/>
      <c r="O56" s="7"/>
      <c r="P56" s="7"/>
      <c r="Q56" s="7"/>
      <c r="R56" s="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H19" sqref="H19"/>
      <selection pane="topRight" activeCell="H19" sqref="H19"/>
      <selection pane="bottomLeft" activeCell="H19" sqref="H19"/>
      <selection pane="bottomRight" activeCell="I15" sqref="I15:I18"/>
    </sheetView>
  </sheetViews>
  <sheetFormatPr defaultColWidth="9"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9" style="2154"/>
  </cols>
  <sheetData>
    <row r="1" spans="1:72" ht="20.25">
      <c r="A1" s="2157" t="s">
        <v>1841</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1842</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8" t="s">
        <v>1843</v>
      </c>
      <c r="B2" s="8" t="s">
        <v>1844</v>
      </c>
      <c r="C2" s="8" t="s">
        <v>1845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1846</v>
      </c>
      <c r="AZ2" s="1267" t="s">
        <v>1847</v>
      </c>
      <c r="BA2" s="8" t="s">
        <v>1848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0">
        <f>ROUND(H5/Sheet1!B6*45255.53,2)</f>
        <v>10938.89</v>
      </c>
      <c r="B3" s="11">
        <f>IF(C3="否",G5-AT5,G5)</f>
        <v>46024.009999999995</v>
      </c>
      <c r="C3" s="2163" t="s">
        <v>1849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2" t="s">
        <v>1850</v>
      </c>
      <c r="B5" s="1800"/>
      <c r="C5" s="1800"/>
      <c r="D5" s="1803"/>
      <c r="E5" s="13" t="s">
        <v>0</v>
      </c>
      <c r="F5" s="13">
        <f>SUM(F13:F587)</f>
        <v>0</v>
      </c>
      <c r="G5" s="13">
        <f>SUM(G13:G587)</f>
        <v>46024.009999999995</v>
      </c>
      <c r="H5" s="13">
        <f t="shared" ref="H5:AT5" si="0">SUM(H13:H656)</f>
        <v>46024.009999999995</v>
      </c>
      <c r="I5" s="13">
        <f t="shared" si="0"/>
        <v>37043.53</v>
      </c>
      <c r="J5" s="13">
        <f t="shared" si="0"/>
        <v>0</v>
      </c>
      <c r="K5" s="13">
        <f t="shared" si="0"/>
        <v>8980.48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799"/>
      <c r="AV5" s="12" t="s">
        <v>1850</v>
      </c>
      <c r="AW5" s="1800"/>
      <c r="AX5" s="1800"/>
      <c r="AY5" s="14" t="s">
        <v>2</v>
      </c>
      <c r="AZ5" s="15">
        <f t="shared" ref="AZ5:BT5" si="1">SUM(AZ13:AZ656)</f>
        <v>46024.009999999995</v>
      </c>
      <c r="BA5" s="15">
        <f t="shared" si="1"/>
        <v>46024.009999999995</v>
      </c>
      <c r="BB5" s="15">
        <f t="shared" si="1"/>
        <v>37043.53</v>
      </c>
      <c r="BC5" s="15">
        <f t="shared" si="1"/>
        <v>8980.48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2172" customFormat="1" ht="12.75">
      <c r="A6" s="12" t="s">
        <v>1851</v>
      </c>
      <c r="B6" s="2169"/>
      <c r="C6" s="2169"/>
      <c r="D6" s="2170"/>
      <c r="E6" s="13">
        <f>H6+AC6+AT6</f>
        <v>10938.89</v>
      </c>
      <c r="F6" s="13" t="s">
        <v>0</v>
      </c>
      <c r="G6" s="13" t="s">
        <v>1</v>
      </c>
      <c r="H6" s="17">
        <f>SUMIF(I$12:AB$12,"总值",I6:AB6)</f>
        <v>10938.89</v>
      </c>
      <c r="I6" s="13">
        <f t="shared" ref="I6:AB6" si="2">ROUND($A$3*I5/$B$3,2)</f>
        <v>8804.43</v>
      </c>
      <c r="J6" s="13">
        <f t="shared" si="2"/>
        <v>0</v>
      </c>
      <c r="K6" s="13">
        <f t="shared" si="2"/>
        <v>2134.46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2171"/>
      <c r="AV6" s="12" t="s">
        <v>1851</v>
      </c>
      <c r="AW6" s="2169"/>
      <c r="AX6" s="2169"/>
      <c r="AY6" s="18">
        <f>IF(AY3&gt;0,AY3,ROUND($A$3*AZ5/$B$3,2))</f>
        <v>10938.89</v>
      </c>
      <c r="AZ6" s="13" t="s">
        <v>2</v>
      </c>
      <c r="BA6" s="13">
        <f>ROUND($AY$6*BA5/$AZ$5,2)</f>
        <v>10938.89</v>
      </c>
      <c r="BB6" s="13">
        <f>ROUND($AY$6*BB5/$AZ$5,2)</f>
        <v>8804.43</v>
      </c>
      <c r="BC6" s="13">
        <f t="shared" ref="BC6:BH6" si="4">ROUND($AY$6*BC5/$AZ$5,2)</f>
        <v>2134.46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2162" customFormat="1" ht="24.75">
      <c r="A7" s="2104" t="s">
        <v>1852</v>
      </c>
      <c r="B7" s="2104" t="s">
        <v>1853</v>
      </c>
      <c r="C7" s="2104" t="s">
        <v>1854</v>
      </c>
      <c r="D7" s="2104" t="s">
        <v>1855</v>
      </c>
      <c r="E7" s="2104" t="s">
        <v>1856</v>
      </c>
      <c r="F7" s="2104" t="s">
        <v>1857</v>
      </c>
      <c r="G7" s="2173" t="s">
        <v>1858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1859</v>
      </c>
      <c r="AV7" s="20" t="s">
        <v>1860</v>
      </c>
      <c r="AW7" s="2161" t="s">
        <v>1861</v>
      </c>
      <c r="AX7" s="20" t="s">
        <v>1854</v>
      </c>
      <c r="AY7" s="1800" t="s">
        <v>1862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1863</v>
      </c>
      <c r="H8" s="2179" t="s">
        <v>1864</v>
      </c>
      <c r="I8" s="2180"/>
      <c r="J8" s="1815"/>
      <c r="K8" s="1815"/>
      <c r="L8" s="1815"/>
      <c r="M8" s="1815"/>
      <c r="N8" s="1815"/>
      <c r="O8" s="1815"/>
      <c r="P8" s="1815"/>
      <c r="Q8" s="1815"/>
      <c r="R8" s="1815"/>
      <c r="S8" s="1815"/>
      <c r="T8" s="1815"/>
      <c r="U8" s="1815"/>
      <c r="V8" s="2181"/>
      <c r="W8" s="1815"/>
      <c r="X8" s="1815"/>
      <c r="Y8" s="1815"/>
      <c r="Z8" s="1815"/>
      <c r="AA8" s="2181"/>
      <c r="AB8" s="2182"/>
      <c r="AC8" s="978" t="s">
        <v>1865</v>
      </c>
      <c r="AD8" s="2183"/>
      <c r="AE8" s="2175"/>
      <c r="AF8" s="1815"/>
      <c r="AG8" s="1815"/>
      <c r="AH8" s="1815"/>
      <c r="AI8" s="1815"/>
      <c r="AJ8" s="1815"/>
      <c r="AK8" s="1815"/>
      <c r="AL8" s="1815"/>
      <c r="AM8" s="1815"/>
      <c r="AN8" s="1815"/>
      <c r="AO8" s="1815"/>
      <c r="AP8" s="1815"/>
      <c r="AQ8" s="1815"/>
      <c r="AR8" s="1815"/>
      <c r="AS8" s="1815"/>
      <c r="AT8" s="1289" t="s">
        <v>1866</v>
      </c>
      <c r="AU8" s="2177" t="s">
        <v>1867</v>
      </c>
      <c r="AV8" s="1289"/>
      <c r="AW8" s="2160"/>
      <c r="AX8" s="1289"/>
      <c r="AY8" s="2161" t="s">
        <v>1868</v>
      </c>
      <c r="AZ8" s="1814" t="s">
        <v>1869</v>
      </c>
      <c r="BA8" s="1815"/>
      <c r="BB8" s="1815"/>
      <c r="BC8" s="1815"/>
      <c r="BD8" s="1815"/>
      <c r="BE8" s="1815"/>
      <c r="BF8" s="1815"/>
      <c r="BG8" s="1815"/>
      <c r="BH8" s="1815"/>
      <c r="BI8" s="1815"/>
      <c r="BJ8" s="1815"/>
      <c r="BK8" s="1815"/>
      <c r="BL8" s="1815"/>
      <c r="BM8" s="1815"/>
      <c r="BN8" s="1815"/>
      <c r="BO8" s="1815"/>
      <c r="BP8" s="1815"/>
      <c r="BQ8" s="1815"/>
      <c r="BR8" s="1815"/>
      <c r="BS8" s="1815"/>
      <c r="BT8" s="23"/>
    </row>
    <row r="9" spans="1:72" s="2184" customFormat="1" ht="12.75">
      <c r="A9" s="2177"/>
      <c r="B9" s="2177"/>
      <c r="C9" s="2177"/>
      <c r="D9" s="2177"/>
      <c r="E9" s="2177"/>
      <c r="F9" s="2177"/>
      <c r="G9" s="1289"/>
      <c r="H9" s="2185" t="s">
        <v>1870</v>
      </c>
      <c r="I9" s="2186" t="s">
        <v>3047</v>
      </c>
      <c r="J9" s="978"/>
      <c r="K9" s="2186" t="s">
        <v>3049</v>
      </c>
      <c r="L9" s="978"/>
      <c r="M9" s="2186"/>
      <c r="N9" s="978"/>
      <c r="O9" s="2186"/>
      <c r="P9" s="978"/>
      <c r="Q9" s="2186"/>
      <c r="R9" s="978"/>
      <c r="S9" s="2186"/>
      <c r="T9" s="978"/>
      <c r="U9" s="2186"/>
      <c r="V9" s="978"/>
      <c r="W9" s="2186"/>
      <c r="X9" s="2187"/>
      <c r="Y9" s="2186"/>
      <c r="Z9" s="978"/>
      <c r="AA9" s="2186"/>
      <c r="AB9" s="978"/>
      <c r="AC9" s="2178" t="s">
        <v>1870</v>
      </c>
      <c r="AD9" s="12" t="s">
        <v>1871</v>
      </c>
      <c r="AE9" s="1295"/>
      <c r="AF9" s="12" t="s">
        <v>1872</v>
      </c>
      <c r="AG9" s="1295"/>
      <c r="AH9" s="12" t="s">
        <v>1871</v>
      </c>
      <c r="AI9" s="1295"/>
      <c r="AJ9" s="12" t="s">
        <v>1872</v>
      </c>
      <c r="AK9" s="1295"/>
      <c r="AL9" s="12" t="s">
        <v>1871</v>
      </c>
      <c r="AM9" s="1295"/>
      <c r="AN9" s="12" t="s">
        <v>1872</v>
      </c>
      <c r="AO9" s="1295"/>
      <c r="AP9" s="12" t="s">
        <v>1871</v>
      </c>
      <c r="AQ9" s="1295"/>
      <c r="AR9" s="12" t="s">
        <v>1872</v>
      </c>
      <c r="AS9" s="2188"/>
      <c r="AT9" s="2177"/>
      <c r="AU9" s="2177" t="s">
        <v>1873</v>
      </c>
      <c r="AV9" s="1289"/>
      <c r="AW9" s="2160"/>
      <c r="AX9" s="1289"/>
      <c r="AY9" s="25"/>
      <c r="AZ9" s="25" t="s">
        <v>1863</v>
      </c>
      <c r="BA9" s="2189" t="s">
        <v>1874</v>
      </c>
      <c r="BB9" s="2190"/>
      <c r="BC9" s="1335"/>
      <c r="BD9" s="1335"/>
      <c r="BE9" s="1335"/>
      <c r="BF9" s="1335"/>
      <c r="BG9" s="1335"/>
      <c r="BH9" s="1335"/>
      <c r="BI9" s="1335"/>
      <c r="BJ9" s="1335"/>
      <c r="BK9" s="2191"/>
      <c r="BL9" s="12" t="s">
        <v>1875</v>
      </c>
      <c r="BM9" s="1815"/>
      <c r="BN9" s="2180"/>
      <c r="BO9" s="1815"/>
      <c r="BP9" s="1815"/>
      <c r="BQ9" s="1815"/>
      <c r="BR9" s="1815"/>
      <c r="BS9" s="1815"/>
      <c r="BT9" s="23"/>
    </row>
    <row r="10" spans="1:72" s="2184" customFormat="1" ht="12.75">
      <c r="A10" s="2177"/>
      <c r="B10" s="2177"/>
      <c r="C10" s="2177"/>
      <c r="D10" s="2177"/>
      <c r="E10" s="2177"/>
      <c r="F10" s="2177"/>
      <c r="G10" s="1289"/>
      <c r="H10" s="25"/>
      <c r="I10" s="2186" t="s">
        <v>3048</v>
      </c>
      <c r="J10" s="978"/>
      <c r="K10" s="2192" t="s">
        <v>3050</v>
      </c>
      <c r="L10" s="978"/>
      <c r="M10" s="2192"/>
      <c r="N10" s="978"/>
      <c r="O10" s="2192"/>
      <c r="P10" s="978"/>
      <c r="Q10" s="2192"/>
      <c r="R10" s="978"/>
      <c r="S10" s="2192"/>
      <c r="T10" s="978"/>
      <c r="U10" s="2192"/>
      <c r="V10" s="978"/>
      <c r="W10" s="2192"/>
      <c r="X10" s="978"/>
      <c r="Y10" s="2192"/>
      <c r="Z10" s="978"/>
      <c r="AA10" s="2192"/>
      <c r="AB10" s="978"/>
      <c r="AC10" s="1289"/>
      <c r="AD10" s="12" t="s">
        <v>1876</v>
      </c>
      <c r="AE10" s="2193"/>
      <c r="AF10" s="12" t="s">
        <v>1876</v>
      </c>
      <c r="AG10" s="2193"/>
      <c r="AH10" s="12" t="s">
        <v>1877</v>
      </c>
      <c r="AI10" s="2193"/>
      <c r="AJ10" s="12" t="s">
        <v>1877</v>
      </c>
      <c r="AK10" s="2193"/>
      <c r="AL10" s="12" t="s">
        <v>1878</v>
      </c>
      <c r="AM10" s="1295"/>
      <c r="AN10" s="12" t="s">
        <v>1878</v>
      </c>
      <c r="AO10" s="1295"/>
      <c r="AP10" s="12" t="s">
        <v>1879</v>
      </c>
      <c r="AQ10" s="1295"/>
      <c r="AR10" s="12" t="s">
        <v>1879</v>
      </c>
      <c r="AS10" s="1295"/>
      <c r="AT10" s="2177"/>
      <c r="AU10" s="2177"/>
      <c r="AV10" s="1289"/>
      <c r="AW10" s="2160"/>
      <c r="AX10" s="1289"/>
      <c r="AY10" s="25"/>
      <c r="AZ10" s="25"/>
      <c r="BA10" s="2194" t="s">
        <v>1870</v>
      </c>
      <c r="BB10" s="2195" t="str">
        <f>I9</f>
        <v>地上</v>
      </c>
      <c r="BC10" s="26" t="str">
        <f>K9</f>
        <v>地下</v>
      </c>
      <c r="BD10" s="26">
        <f>M9</f>
        <v>0</v>
      </c>
      <c r="BE10" s="26">
        <f>O9</f>
        <v>0</v>
      </c>
      <c r="BF10" s="26">
        <f>Q9</f>
        <v>0</v>
      </c>
      <c r="BG10" s="26">
        <f>S9</f>
        <v>0</v>
      </c>
      <c r="BH10" s="26">
        <f>U9</f>
        <v>0</v>
      </c>
      <c r="BI10" s="26">
        <f>W9</f>
        <v>0</v>
      </c>
      <c r="BJ10" s="26">
        <f>Y9</f>
        <v>0</v>
      </c>
      <c r="BK10" s="26">
        <f>AA9</f>
        <v>0</v>
      </c>
      <c r="BL10" s="22" t="s">
        <v>1870</v>
      </c>
      <c r="BM10" s="1814" t="str">
        <f>AD9</f>
        <v>地上</v>
      </c>
      <c r="BN10" s="26" t="str">
        <f>AF9</f>
        <v>地下</v>
      </c>
      <c r="BO10" s="1814" t="str">
        <f>AH9</f>
        <v>地上</v>
      </c>
      <c r="BP10" s="26" t="str">
        <f>AJ9</f>
        <v>地下</v>
      </c>
      <c r="BQ10" s="1814" t="str">
        <f>AL9</f>
        <v>地上</v>
      </c>
      <c r="BR10" s="26" t="str">
        <f>AN9</f>
        <v>地下</v>
      </c>
      <c r="BS10" s="1814"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1880</v>
      </c>
      <c r="AE11" s="1816"/>
      <c r="AF11" s="2199" t="s">
        <v>1880</v>
      </c>
      <c r="AG11" s="1816"/>
      <c r="AH11" s="2199" t="s">
        <v>1881</v>
      </c>
      <c r="AI11" s="2200"/>
      <c r="AJ11" s="2199" t="s">
        <v>1881</v>
      </c>
      <c r="AK11" s="1816"/>
      <c r="AL11" s="1814"/>
      <c r="AM11" s="1816"/>
      <c r="AN11" s="1814"/>
      <c r="AO11" s="1816"/>
      <c r="AP11" s="1814"/>
      <c r="AQ11" s="1816"/>
      <c r="AR11" s="1814"/>
      <c r="AS11" s="1816"/>
      <c r="AT11" s="2160"/>
      <c r="AU11" s="2177"/>
      <c r="AV11" s="1289"/>
      <c r="AW11" s="2160"/>
      <c r="AX11" s="1289"/>
      <c r="AY11" s="25"/>
      <c r="AZ11" s="25"/>
      <c r="BA11" s="25"/>
      <c r="BB11" s="2182" t="str">
        <f>I10</f>
        <v>住宅</v>
      </c>
      <c r="BC11" s="2182" t="str">
        <f>K10</f>
        <v>仓储</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1" t="str">
        <f>AH10</f>
        <v>物业管理用房</v>
      </c>
      <c r="BP11" s="21" t="str">
        <f>AJ10</f>
        <v>物业管理用房</v>
      </c>
      <c r="BQ11" s="21" t="str">
        <f>AL10</f>
        <v>设备及其他</v>
      </c>
      <c r="BR11" s="21" t="str">
        <f>AN10</f>
        <v>设备及其他</v>
      </c>
      <c r="BS11" s="22" t="str">
        <f>AP10</f>
        <v>未注明</v>
      </c>
      <c r="BT11" s="2201" t="str">
        <f>AR10</f>
        <v>未注明</v>
      </c>
    </row>
    <row r="12" spans="1:72" s="2162" customFormat="1" ht="12.75">
      <c r="A12" s="2202"/>
      <c r="B12" s="2202"/>
      <c r="C12" s="2202"/>
      <c r="D12" s="2202"/>
      <c r="E12" s="2202"/>
      <c r="F12" s="2202"/>
      <c r="G12" s="27"/>
      <c r="H12" s="2203"/>
      <c r="I12" s="1803" t="s">
        <v>1882</v>
      </c>
      <c r="J12" s="8" t="s">
        <v>1883</v>
      </c>
      <c r="K12" s="8" t="s">
        <v>1882</v>
      </c>
      <c r="L12" s="8" t="s">
        <v>1883</v>
      </c>
      <c r="M12" s="8" t="s">
        <v>1882</v>
      </c>
      <c r="N12" s="8" t="s">
        <v>1883</v>
      </c>
      <c r="O12" s="8" t="s">
        <v>1882</v>
      </c>
      <c r="P12" s="8" t="s">
        <v>1883</v>
      </c>
      <c r="Q12" s="8" t="s">
        <v>1882</v>
      </c>
      <c r="R12" s="8" t="s">
        <v>1883</v>
      </c>
      <c r="S12" s="8" t="s">
        <v>1882</v>
      </c>
      <c r="T12" s="8" t="s">
        <v>1883</v>
      </c>
      <c r="U12" s="8" t="s">
        <v>1882</v>
      </c>
      <c r="V12" s="1799" t="s">
        <v>1883</v>
      </c>
      <c r="W12" s="8" t="s">
        <v>1882</v>
      </c>
      <c r="X12" s="8" t="s">
        <v>1883</v>
      </c>
      <c r="Y12" s="8" t="s">
        <v>1882</v>
      </c>
      <c r="Z12" s="8" t="s">
        <v>1883</v>
      </c>
      <c r="AA12" s="8" t="s">
        <v>1882</v>
      </c>
      <c r="AB12" s="8" t="s">
        <v>1883</v>
      </c>
      <c r="AC12" s="2204"/>
      <c r="AD12" s="1803" t="s">
        <v>1882</v>
      </c>
      <c r="AE12" s="8" t="s">
        <v>1883</v>
      </c>
      <c r="AF12" s="8" t="s">
        <v>1882</v>
      </c>
      <c r="AG12" s="8" t="s">
        <v>1883</v>
      </c>
      <c r="AH12" s="8" t="s">
        <v>1882</v>
      </c>
      <c r="AI12" s="8" t="s">
        <v>1883</v>
      </c>
      <c r="AJ12" s="8" t="s">
        <v>1882</v>
      </c>
      <c r="AK12" s="8" t="s">
        <v>1883</v>
      </c>
      <c r="AL12" s="8" t="s">
        <v>1882</v>
      </c>
      <c r="AM12" s="8" t="s">
        <v>1883</v>
      </c>
      <c r="AN12" s="8" t="s">
        <v>1882</v>
      </c>
      <c r="AO12" s="8" t="s">
        <v>1883</v>
      </c>
      <c r="AP12" s="8" t="s">
        <v>1882</v>
      </c>
      <c r="AQ12" s="8" t="s">
        <v>1883</v>
      </c>
      <c r="AR12" s="27" t="s">
        <v>1882</v>
      </c>
      <c r="AS12" s="2202" t="s">
        <v>1883</v>
      </c>
      <c r="AT12" s="2205"/>
      <c r="AU12" s="2202"/>
      <c r="AV12" s="28"/>
      <c r="AW12" s="2161"/>
      <c r="AX12" s="28"/>
      <c r="AY12" s="2206"/>
      <c r="AZ12" s="25"/>
      <c r="BA12" s="2194"/>
      <c r="BB12" s="21">
        <f>I11</f>
        <v>0</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1" t="str">
        <f>AH11</f>
        <v>（住宅、计出让金）</v>
      </c>
      <c r="BP12" s="21" t="str">
        <f>AJ11</f>
        <v>（住宅、计出让金）</v>
      </c>
      <c r="BQ12" s="21">
        <f>AL11</f>
        <v>0</v>
      </c>
      <c r="BR12" s="21">
        <f>AN11</f>
        <v>0</v>
      </c>
      <c r="BS12" s="22">
        <f>AP11</f>
        <v>0</v>
      </c>
      <c r="BT12" s="2201">
        <f>AR11</f>
        <v>0</v>
      </c>
    </row>
    <row r="13" spans="1:72" s="2162" customFormat="1" ht="12.75">
      <c r="A13" s="1269"/>
      <c r="B13" s="1269"/>
      <c r="C13" s="2951" t="s">
        <v>3051</v>
      </c>
      <c r="D13" s="2208" t="s">
        <v>3057</v>
      </c>
      <c r="E13" s="13">
        <f>IF($C$3="是",ROUND($A$3*G13/$B$3,2),ROUND($A$3*(G13-AT13)/$B$3,2))</f>
        <v>359.48</v>
      </c>
      <c r="F13" s="29"/>
      <c r="G13" s="30">
        <f>H13+AC13+AT13</f>
        <v>1512.4500000000003</v>
      </c>
      <c r="H13" s="17">
        <f>SUMIF(I$12:AB$12,"总值",I13:AB13)</f>
        <v>1512.4500000000003</v>
      </c>
      <c r="I13" s="2953"/>
      <c r="J13" s="2209"/>
      <c r="K13" s="2209">
        <v>1512.4500000000003</v>
      </c>
      <c r="L13" s="2209"/>
      <c r="M13" s="2209"/>
      <c r="N13" s="2209"/>
      <c r="O13" s="2209"/>
      <c r="P13" s="2209"/>
      <c r="Q13" s="2209"/>
      <c r="R13" s="2209"/>
      <c r="S13" s="2209"/>
      <c r="T13" s="2209"/>
      <c r="U13" s="2209"/>
      <c r="V13" s="2209"/>
      <c r="W13" s="2209"/>
      <c r="X13" s="2209"/>
      <c r="Y13" s="2209"/>
      <c r="Z13" s="2209"/>
      <c r="AA13" s="2209"/>
      <c r="AB13" s="2209"/>
      <c r="AC13" s="13">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8">
        <f t="shared" ref="AV13:AX17" si="6">A13</f>
        <v>0</v>
      </c>
      <c r="AW13" s="8">
        <f t="shared" si="6"/>
        <v>0</v>
      </c>
      <c r="AX13" s="8" t="str">
        <f t="shared" si="6"/>
        <v>B-1#</v>
      </c>
      <c r="AY13" s="1803">
        <f>ROUND($AY$6*AZ13/$AZ$5,2)</f>
        <v>359.48</v>
      </c>
      <c r="AZ13" s="13">
        <f>BA13+BL13</f>
        <v>1512.4500000000003</v>
      </c>
      <c r="BA13" s="13">
        <f>SUM(BB13:BK13)</f>
        <v>1512.4500000000003</v>
      </c>
      <c r="BB13" s="13">
        <f>IF($D13="是",I13-J13,0)</f>
        <v>0</v>
      </c>
      <c r="BC13" s="13">
        <f>IF($D13="是",K13-L13,0)</f>
        <v>1512.4500000000003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2162" customFormat="1" ht="12.75">
      <c r="A14" s="1269"/>
      <c r="B14" s="1269"/>
      <c r="C14" s="2951" t="s">
        <v>3052</v>
      </c>
      <c r="D14" s="2208" t="s">
        <v>3057</v>
      </c>
      <c r="E14" s="13">
        <f>IF($C$3="是",ROUND($A$3*G14/$B$3,2),ROUND($A$3*(G14-AT14)/$B$3,2))</f>
        <v>359.48</v>
      </c>
      <c r="F14" s="29"/>
      <c r="G14" s="30">
        <f>H14+AC14+AT14</f>
        <v>1512.4500000000003</v>
      </c>
      <c r="H14" s="17">
        <f>SUMIF(I$12:AB$12,"总值",I14:AB14)</f>
        <v>1512.4500000000003</v>
      </c>
      <c r="I14" s="2953"/>
      <c r="J14" s="2209"/>
      <c r="K14" s="2209">
        <v>1512.4500000000003</v>
      </c>
      <c r="L14" s="2209"/>
      <c r="M14" s="2209"/>
      <c r="N14" s="2209"/>
      <c r="O14" s="2209"/>
      <c r="P14" s="2209"/>
      <c r="Q14" s="2209"/>
      <c r="R14" s="2209"/>
      <c r="S14" s="2209"/>
      <c r="T14" s="2209"/>
      <c r="U14" s="2209"/>
      <c r="V14" s="2209"/>
      <c r="W14" s="2209"/>
      <c r="X14" s="2209"/>
      <c r="Y14" s="2209"/>
      <c r="Z14" s="2209"/>
      <c r="AA14" s="2209"/>
      <c r="AB14" s="2209"/>
      <c r="AC14" s="13">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8">
        <f t="shared" si="6"/>
        <v>0</v>
      </c>
      <c r="AW14" s="8">
        <f t="shared" si="6"/>
        <v>0</v>
      </c>
      <c r="AX14" s="8" t="str">
        <f t="shared" si="6"/>
        <v>B-5#</v>
      </c>
      <c r="AY14" s="1803">
        <f>ROUND($AY$6*AZ14/$AZ$5,2)</f>
        <v>359.48</v>
      </c>
      <c r="AZ14" s="13">
        <f>BA14+BL14</f>
        <v>1512.4500000000003</v>
      </c>
      <c r="BA14" s="13">
        <f>SUM(BB14:BK14)</f>
        <v>1512.4500000000003</v>
      </c>
      <c r="BB14" s="13">
        <f>IF($D14="是",I14-J14,0)</f>
        <v>0</v>
      </c>
      <c r="BC14" s="13">
        <f>IF($D14="是",K14-L14,0)</f>
        <v>1512.4500000000003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2162" customFormat="1" ht="12.75">
      <c r="A15" s="1269"/>
      <c r="B15" s="1269"/>
      <c r="C15" s="2951" t="s">
        <v>3053</v>
      </c>
      <c r="D15" s="2208" t="s">
        <v>3057</v>
      </c>
      <c r="E15" s="13">
        <f>IF($C$3="是",ROUND($A$3*G15/$B$3,2),ROUND($A$3*(G15-AT15)/$B$3,2))</f>
        <v>3323.76</v>
      </c>
      <c r="F15" s="29"/>
      <c r="G15" s="30">
        <f>H15+AC15+AT15</f>
        <v>13984.320000000012</v>
      </c>
      <c r="H15" s="17">
        <f>SUMIF(I$12:AB$12,"总值",I15:AB15)</f>
        <v>13984.320000000012</v>
      </c>
      <c r="I15" s="2953">
        <v>12698.130000000012</v>
      </c>
      <c r="J15" s="2209"/>
      <c r="K15" s="2209">
        <v>1286.19</v>
      </c>
      <c r="L15" s="2209"/>
      <c r="M15" s="2209"/>
      <c r="N15" s="2209"/>
      <c r="O15" s="2209"/>
      <c r="P15" s="2209"/>
      <c r="Q15" s="2209"/>
      <c r="R15" s="2209"/>
      <c r="S15" s="2209"/>
      <c r="T15" s="2209"/>
      <c r="U15" s="2209"/>
      <c r="V15" s="2209"/>
      <c r="W15" s="2209"/>
      <c r="X15" s="2209"/>
      <c r="Y15" s="2209"/>
      <c r="Z15" s="2209"/>
      <c r="AA15" s="2209"/>
      <c r="AB15" s="2209"/>
      <c r="AC15" s="13">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8">
        <f t="shared" si="6"/>
        <v>0</v>
      </c>
      <c r="AW15" s="8">
        <f t="shared" si="6"/>
        <v>0</v>
      </c>
      <c r="AX15" s="8" t="str">
        <f t="shared" si="6"/>
        <v>B-2#</v>
      </c>
      <c r="AY15" s="1803">
        <f>ROUND($AY$6*AZ15/$AZ$5,2)</f>
        <v>3323.76</v>
      </c>
      <c r="AZ15" s="13">
        <f>BA15+BL15</f>
        <v>13984.320000000012</v>
      </c>
      <c r="BA15" s="13">
        <f>SUM(BB15:BK15)</f>
        <v>13984.320000000012</v>
      </c>
      <c r="BB15" s="13">
        <f>IF($D15="是",I15-J15,0)</f>
        <v>12698.130000000012</v>
      </c>
      <c r="BC15" s="13">
        <f>IF($D15="是",K15-L15,0)</f>
        <v>1286.19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2162" customFormat="1" ht="12.75">
      <c r="A16" s="1269"/>
      <c r="B16" s="1269"/>
      <c r="C16" s="2951" t="s">
        <v>3054</v>
      </c>
      <c r="D16" s="2208" t="s">
        <v>3057</v>
      </c>
      <c r="E16" s="13">
        <f>IF($C$3="是",ROUND($A$3*G16/$B$3,2),ROUND($A$3*(G16-AT16)/$B$3,2))</f>
        <v>2063.91</v>
      </c>
      <c r="F16" s="29"/>
      <c r="G16" s="30">
        <f>H16+AC16+AT16</f>
        <v>8683.6300000000083</v>
      </c>
      <c r="H16" s="17">
        <f>SUMIF(I$12:AB$12,"总值",I16:AB16)</f>
        <v>8683.6300000000083</v>
      </c>
      <c r="I16" s="2953">
        <v>7379.1600000000089</v>
      </c>
      <c r="J16" s="2209"/>
      <c r="K16" s="2209">
        <v>1304.4699999999998</v>
      </c>
      <c r="L16" s="2209"/>
      <c r="M16" s="2209"/>
      <c r="N16" s="2209"/>
      <c r="O16" s="2209"/>
      <c r="P16" s="2209"/>
      <c r="Q16" s="2209"/>
      <c r="R16" s="2209"/>
      <c r="S16" s="2209"/>
      <c r="T16" s="2209"/>
      <c r="U16" s="2209"/>
      <c r="V16" s="2209"/>
      <c r="W16" s="2209"/>
      <c r="X16" s="2209"/>
      <c r="Y16" s="2209"/>
      <c r="Z16" s="2209"/>
      <c r="AA16" s="2209"/>
      <c r="AB16" s="2209"/>
      <c r="AC16" s="13">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8">
        <f t="shared" si="6"/>
        <v>0</v>
      </c>
      <c r="AW16" s="8">
        <f t="shared" si="6"/>
        <v>0</v>
      </c>
      <c r="AX16" s="8" t="str">
        <f t="shared" si="6"/>
        <v>B-3#</v>
      </c>
      <c r="AY16" s="1803">
        <f>ROUND($AY$6*AZ16/$AZ$5,2)</f>
        <v>2063.91</v>
      </c>
      <c r="AZ16" s="13">
        <f>BA16+BL16</f>
        <v>8683.6300000000083</v>
      </c>
      <c r="BA16" s="13">
        <f>SUM(BB16:BK16)</f>
        <v>8683.6300000000083</v>
      </c>
      <c r="BB16" s="13">
        <f>IF($D16="是",I16-J16,0)</f>
        <v>7379.1600000000089</v>
      </c>
      <c r="BC16" s="13">
        <f>IF($D16="是",K16-L16,0)</f>
        <v>1304.4699999999998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2162" customFormat="1" ht="12.75">
      <c r="A17" s="1269"/>
      <c r="B17" s="1269"/>
      <c r="C17" s="2951" t="s">
        <v>3055</v>
      </c>
      <c r="D17" s="2208" t="s">
        <v>3057</v>
      </c>
      <c r="E17" s="13">
        <f>IF($C$3="是",ROUND($A$3*G17/$B$3,2),ROUND($A$3*(G17-AT17)/$B$3,2))</f>
        <v>2850.47</v>
      </c>
      <c r="F17" s="29"/>
      <c r="G17" s="30">
        <f>H17+AC17+AT17</f>
        <v>11992.989999999969</v>
      </c>
      <c r="H17" s="17">
        <f>SUMIF(I$12:AB$12,"总值",I17:AB17)</f>
        <v>11992.989999999969</v>
      </c>
      <c r="I17" s="2953">
        <v>10254.949999999968</v>
      </c>
      <c r="J17" s="2209"/>
      <c r="K17" s="2209">
        <v>1738.04</v>
      </c>
      <c r="L17" s="2209"/>
      <c r="M17" s="2209"/>
      <c r="N17" s="2209"/>
      <c r="O17" s="2209"/>
      <c r="P17" s="2209"/>
      <c r="Q17" s="2209"/>
      <c r="R17" s="2209"/>
      <c r="S17" s="2209"/>
      <c r="T17" s="2209"/>
      <c r="U17" s="2209"/>
      <c r="V17" s="2209"/>
      <c r="W17" s="2209"/>
      <c r="X17" s="2209"/>
      <c r="Y17" s="2209"/>
      <c r="Z17" s="2209"/>
      <c r="AA17" s="2209"/>
      <c r="AB17" s="2209"/>
      <c r="AC17" s="13">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8">
        <f t="shared" si="6"/>
        <v>0</v>
      </c>
      <c r="AW17" s="8">
        <f t="shared" si="6"/>
        <v>0</v>
      </c>
      <c r="AX17" s="8" t="str">
        <f t="shared" si="6"/>
        <v>B-4#</v>
      </c>
      <c r="AY17" s="1803">
        <f>ROUND($AY$6*AZ17/$AZ$5,2)</f>
        <v>2850.47</v>
      </c>
      <c r="AZ17" s="13">
        <f>BA17+BL17</f>
        <v>11992.989999999969</v>
      </c>
      <c r="BA17" s="13">
        <f>SUM(BB17:BK17)</f>
        <v>11992.989999999969</v>
      </c>
      <c r="BB17" s="13">
        <f>IF($D17="是",I17-J17,0)</f>
        <v>10254.949999999968</v>
      </c>
      <c r="BC17" s="13">
        <f>IF($D17="是",K17-L17,0)</f>
        <v>1738.04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952" t="s">
        <v>3056</v>
      </c>
      <c r="D18" s="2208" t="s">
        <v>3057</v>
      </c>
      <c r="E18" s="32">
        <f t="shared" ref="E18:E112" si="7">IF($C$3="是",ROUND($A$3*G18/$B$3,2),ROUND($A$3*(G18-AT18)/$B$3,2))</f>
        <v>1981.8</v>
      </c>
      <c r="F18" s="33"/>
      <c r="G18" s="34">
        <f t="shared" ref="G18:G109" si="8">H18+AC18+AT18</f>
        <v>8338.1700000000055</v>
      </c>
      <c r="H18" s="35">
        <f t="shared" ref="H18:H109" si="9">SUMIF(I$12:AB$12,"总值",I18:AB18)</f>
        <v>8338.1700000000055</v>
      </c>
      <c r="I18" s="2954">
        <v>6711.2900000000063</v>
      </c>
      <c r="J18" s="36"/>
      <c r="K18" s="36">
        <v>1626.88</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2214"/>
      <c r="AV18" s="1792">
        <f t="shared" ref="AV18:AV112" si="11">A18</f>
        <v>0</v>
      </c>
      <c r="AW18" s="1792">
        <f t="shared" ref="AW18:AW112" si="12">B18</f>
        <v>0</v>
      </c>
      <c r="AX18" s="1792" t="str">
        <f t="shared" ref="AX18:AX112" si="13">C18</f>
        <v>B-6#</v>
      </c>
      <c r="AY18" s="39">
        <f t="shared" ref="AY18:AY109" si="14">ROUND($AY$6*AZ18/$AZ$5,2)</f>
        <v>1981.8</v>
      </c>
      <c r="AZ18" s="32">
        <f t="shared" ref="AZ18:AZ109" si="15">BA18+BL18</f>
        <v>8338.1700000000055</v>
      </c>
      <c r="BA18" s="32">
        <f t="shared" ref="BA18:BA109" si="16">SUM(BB18:BK18)</f>
        <v>8338.1700000000055</v>
      </c>
      <c r="BB18" s="32">
        <f t="shared" ref="BB18:BB109" si="17">IF($D18="是",I18-J18,0)</f>
        <v>6711.2900000000063</v>
      </c>
      <c r="BC18" s="32">
        <f t="shared" ref="BC18:BC109" si="18">IF($D18="是",K18-L18,0)</f>
        <v>1626.88</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22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2214"/>
      <c r="AV19" s="1792">
        <f t="shared" si="11"/>
        <v>0</v>
      </c>
      <c r="AW19" s="1792">
        <f t="shared" si="12"/>
        <v>0</v>
      </c>
      <c r="AX19" s="179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22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2214"/>
      <c r="AV20" s="1792">
        <f t="shared" si="11"/>
        <v>0</v>
      </c>
      <c r="AW20" s="1792">
        <f t="shared" si="12"/>
        <v>0</v>
      </c>
      <c r="AX20" s="179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22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2214"/>
      <c r="AV21" s="1792">
        <f t="shared" si="11"/>
        <v>0</v>
      </c>
      <c r="AW21" s="1792">
        <f t="shared" si="12"/>
        <v>0</v>
      </c>
      <c r="AX21" s="179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22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2214"/>
      <c r="AV22" s="1792">
        <f t="shared" si="11"/>
        <v>0</v>
      </c>
      <c r="AW22" s="1792">
        <f t="shared" si="12"/>
        <v>0</v>
      </c>
      <c r="AX22" s="179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22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2214"/>
      <c r="AV23" s="1792">
        <f t="shared" si="11"/>
        <v>0</v>
      </c>
      <c r="AW23" s="1792">
        <f t="shared" si="12"/>
        <v>0</v>
      </c>
      <c r="AX23" s="179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22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2214"/>
      <c r="AV24" s="1792">
        <f t="shared" si="11"/>
        <v>0</v>
      </c>
      <c r="AW24" s="1792">
        <f t="shared" si="12"/>
        <v>0</v>
      </c>
      <c r="AX24" s="179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22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2214"/>
      <c r="AV25" s="1792">
        <f t="shared" si="11"/>
        <v>0</v>
      </c>
      <c r="AW25" s="1792">
        <f t="shared" si="12"/>
        <v>0</v>
      </c>
      <c r="AX25" s="179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22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2214"/>
      <c r="AV26" s="1792">
        <f t="shared" si="11"/>
        <v>0</v>
      </c>
      <c r="AW26" s="1792">
        <f t="shared" si="12"/>
        <v>0</v>
      </c>
      <c r="AX26" s="179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22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2214"/>
      <c r="AV27" s="1792">
        <f t="shared" si="11"/>
        <v>0</v>
      </c>
      <c r="AW27" s="1792">
        <f t="shared" si="12"/>
        <v>0</v>
      </c>
      <c r="AX27" s="179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22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2214"/>
      <c r="AV28" s="1792">
        <f t="shared" si="11"/>
        <v>0</v>
      </c>
      <c r="AW28" s="1792">
        <f t="shared" si="12"/>
        <v>0</v>
      </c>
      <c r="AX28" s="179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22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2214"/>
      <c r="AV29" s="1792">
        <f t="shared" si="11"/>
        <v>0</v>
      </c>
      <c r="AW29" s="1792">
        <f t="shared" si="12"/>
        <v>0</v>
      </c>
      <c r="AX29" s="179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22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2214"/>
      <c r="AV30" s="1792">
        <f t="shared" si="11"/>
        <v>0</v>
      </c>
      <c r="AW30" s="1792">
        <f t="shared" si="12"/>
        <v>0</v>
      </c>
      <c r="AX30" s="179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22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2214"/>
      <c r="AV31" s="1792">
        <f t="shared" si="11"/>
        <v>0</v>
      </c>
      <c r="AW31" s="1792">
        <f t="shared" si="12"/>
        <v>0</v>
      </c>
      <c r="AX31" s="179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22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2214"/>
      <c r="AV32" s="1792">
        <f t="shared" si="11"/>
        <v>0</v>
      </c>
      <c r="AW32" s="1792">
        <f t="shared" si="12"/>
        <v>0</v>
      </c>
      <c r="AX32" s="179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22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2214"/>
      <c r="AV33" s="1792">
        <f t="shared" si="11"/>
        <v>0</v>
      </c>
      <c r="AW33" s="1792">
        <f t="shared" si="12"/>
        <v>0</v>
      </c>
      <c r="AX33" s="179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22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2214"/>
      <c r="AV34" s="1792">
        <f t="shared" si="11"/>
        <v>0</v>
      </c>
      <c r="AW34" s="1792">
        <f t="shared" si="12"/>
        <v>0</v>
      </c>
      <c r="AX34" s="179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22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2214"/>
      <c r="AV35" s="1792">
        <f t="shared" si="11"/>
        <v>0</v>
      </c>
      <c r="AW35" s="1792">
        <f t="shared" si="12"/>
        <v>0</v>
      </c>
      <c r="AX35" s="179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22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2214"/>
      <c r="AV36" s="1792">
        <f t="shared" si="11"/>
        <v>0</v>
      </c>
      <c r="AW36" s="1792">
        <f t="shared" si="12"/>
        <v>0</v>
      </c>
      <c r="AX36" s="179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22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2214"/>
      <c r="AV37" s="1792">
        <f t="shared" si="11"/>
        <v>0</v>
      </c>
      <c r="AW37" s="1792">
        <f t="shared" si="12"/>
        <v>0</v>
      </c>
      <c r="AX37" s="179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22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2214"/>
      <c r="AV38" s="1792">
        <f t="shared" si="11"/>
        <v>0</v>
      </c>
      <c r="AW38" s="1792">
        <f t="shared" si="12"/>
        <v>0</v>
      </c>
      <c r="AX38" s="179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22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2214"/>
      <c r="AV39" s="1792">
        <f t="shared" si="11"/>
        <v>0</v>
      </c>
      <c r="AW39" s="1792">
        <f t="shared" si="12"/>
        <v>0</v>
      </c>
      <c r="AX39" s="179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22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2214"/>
      <c r="AV40" s="1792">
        <f t="shared" si="11"/>
        <v>0</v>
      </c>
      <c r="AW40" s="1792">
        <f t="shared" si="12"/>
        <v>0</v>
      </c>
      <c r="AX40" s="179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22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2214"/>
      <c r="AV41" s="1792">
        <f t="shared" si="11"/>
        <v>0</v>
      </c>
      <c r="AW41" s="1792">
        <f t="shared" si="12"/>
        <v>0</v>
      </c>
      <c r="AX41" s="179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22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2214"/>
      <c r="AV42" s="1792">
        <f t="shared" si="11"/>
        <v>0</v>
      </c>
      <c r="AW42" s="1792">
        <f t="shared" si="12"/>
        <v>0</v>
      </c>
      <c r="AX42" s="179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22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2214"/>
      <c r="AV43" s="1792">
        <f t="shared" si="11"/>
        <v>0</v>
      </c>
      <c r="AW43" s="1792">
        <f t="shared" si="12"/>
        <v>0</v>
      </c>
      <c r="AX43" s="179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22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2214"/>
      <c r="AV44" s="1792">
        <f t="shared" si="11"/>
        <v>0</v>
      </c>
      <c r="AW44" s="1792">
        <f t="shared" si="12"/>
        <v>0</v>
      </c>
      <c r="AX44" s="179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22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2214"/>
      <c r="AV45" s="1792">
        <f t="shared" si="11"/>
        <v>0</v>
      </c>
      <c r="AW45" s="1792">
        <f t="shared" si="12"/>
        <v>0</v>
      </c>
      <c r="AX45" s="179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22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2214"/>
      <c r="AV46" s="1792">
        <f t="shared" si="11"/>
        <v>0</v>
      </c>
      <c r="AW46" s="1792">
        <f t="shared" si="12"/>
        <v>0</v>
      </c>
      <c r="AX46" s="179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22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2214"/>
      <c r="AV47" s="1792">
        <f t="shared" si="11"/>
        <v>0</v>
      </c>
      <c r="AW47" s="1792">
        <f t="shared" si="12"/>
        <v>0</v>
      </c>
      <c r="AX47" s="179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22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2214"/>
      <c r="AV48" s="1792">
        <f t="shared" si="11"/>
        <v>0</v>
      </c>
      <c r="AW48" s="1792">
        <f t="shared" si="12"/>
        <v>0</v>
      </c>
      <c r="AX48" s="179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22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2214"/>
      <c r="AV49" s="1792">
        <f t="shared" si="11"/>
        <v>0</v>
      </c>
      <c r="AW49" s="1792">
        <f t="shared" si="12"/>
        <v>0</v>
      </c>
      <c r="AX49" s="179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22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2214"/>
      <c r="AV50" s="1792">
        <f t="shared" si="11"/>
        <v>0</v>
      </c>
      <c r="AW50" s="1792">
        <f t="shared" si="12"/>
        <v>0</v>
      </c>
      <c r="AX50" s="179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22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2214"/>
      <c r="AV51" s="1792">
        <f t="shared" si="11"/>
        <v>0</v>
      </c>
      <c r="AW51" s="1792">
        <f t="shared" si="12"/>
        <v>0</v>
      </c>
      <c r="AX51" s="179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22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2214"/>
      <c r="AV52" s="1792">
        <f t="shared" si="11"/>
        <v>0</v>
      </c>
      <c r="AW52" s="1792">
        <f t="shared" si="12"/>
        <v>0</v>
      </c>
      <c r="AX52" s="179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22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2214"/>
      <c r="AV53" s="1792">
        <f t="shared" si="11"/>
        <v>0</v>
      </c>
      <c r="AW53" s="1792">
        <f t="shared" si="12"/>
        <v>0</v>
      </c>
      <c r="AX53" s="179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22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2214"/>
      <c r="AV54" s="1792">
        <f t="shared" si="11"/>
        <v>0</v>
      </c>
      <c r="AW54" s="1792">
        <f t="shared" si="12"/>
        <v>0</v>
      </c>
      <c r="AX54" s="179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22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2214"/>
      <c r="AV55" s="1792">
        <f t="shared" si="11"/>
        <v>0</v>
      </c>
      <c r="AW55" s="1792">
        <f t="shared" si="12"/>
        <v>0</v>
      </c>
      <c r="AX55" s="179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22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2214"/>
      <c r="AV56" s="1792">
        <f t="shared" si="11"/>
        <v>0</v>
      </c>
      <c r="AW56" s="1792">
        <f t="shared" si="12"/>
        <v>0</v>
      </c>
      <c r="AX56" s="179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22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2214"/>
      <c r="AV57" s="1792">
        <f t="shared" si="11"/>
        <v>0</v>
      </c>
      <c r="AW57" s="1792">
        <f t="shared" si="12"/>
        <v>0</v>
      </c>
      <c r="AX57" s="179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22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2214"/>
      <c r="AV58" s="1792">
        <f t="shared" si="11"/>
        <v>0</v>
      </c>
      <c r="AW58" s="1792">
        <f t="shared" si="12"/>
        <v>0</v>
      </c>
      <c r="AX58" s="179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22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2214"/>
      <c r="AV59" s="1792">
        <f t="shared" si="11"/>
        <v>0</v>
      </c>
      <c r="AW59" s="1792">
        <f t="shared" si="12"/>
        <v>0</v>
      </c>
      <c r="AX59" s="179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22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2214"/>
      <c r="AV60" s="1792">
        <f t="shared" si="11"/>
        <v>0</v>
      </c>
      <c r="AW60" s="1792">
        <f t="shared" si="12"/>
        <v>0</v>
      </c>
      <c r="AX60" s="179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22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2214"/>
      <c r="AV61" s="1792">
        <f t="shared" si="11"/>
        <v>0</v>
      </c>
      <c r="AW61" s="1792">
        <f t="shared" si="12"/>
        <v>0</v>
      </c>
      <c r="AX61" s="179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22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2214"/>
      <c r="AV62" s="1792">
        <f t="shared" si="11"/>
        <v>0</v>
      </c>
      <c r="AW62" s="1792">
        <f t="shared" si="12"/>
        <v>0</v>
      </c>
      <c r="AX62" s="179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22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2214"/>
      <c r="AV63" s="1792">
        <f t="shared" si="11"/>
        <v>0</v>
      </c>
      <c r="AW63" s="1792">
        <f t="shared" si="12"/>
        <v>0</v>
      </c>
      <c r="AX63" s="179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22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2214"/>
      <c r="AV64" s="1792">
        <f t="shared" si="11"/>
        <v>0</v>
      </c>
      <c r="AW64" s="1792">
        <f t="shared" si="12"/>
        <v>0</v>
      </c>
      <c r="AX64" s="179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22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2214"/>
      <c r="AV65" s="1792">
        <f t="shared" si="11"/>
        <v>0</v>
      </c>
      <c r="AW65" s="1792">
        <f t="shared" si="12"/>
        <v>0</v>
      </c>
      <c r="AX65" s="179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22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2214"/>
      <c r="AV66" s="1792">
        <f t="shared" si="11"/>
        <v>0</v>
      </c>
      <c r="AW66" s="1792">
        <f t="shared" si="12"/>
        <v>0</v>
      </c>
      <c r="AX66" s="179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22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2214"/>
      <c r="AV67" s="1792">
        <f t="shared" si="11"/>
        <v>0</v>
      </c>
      <c r="AW67" s="1792">
        <f t="shared" si="12"/>
        <v>0</v>
      </c>
      <c r="AX67" s="179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22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2214"/>
      <c r="AV68" s="1792">
        <f t="shared" si="11"/>
        <v>0</v>
      </c>
      <c r="AW68" s="1792">
        <f t="shared" si="12"/>
        <v>0</v>
      </c>
      <c r="AX68" s="179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22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2214"/>
      <c r="AV69" s="1792">
        <f t="shared" si="11"/>
        <v>0</v>
      </c>
      <c r="AW69" s="1792">
        <f t="shared" si="12"/>
        <v>0</v>
      </c>
      <c r="AX69" s="179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22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2214"/>
      <c r="AV70" s="1792">
        <f t="shared" si="11"/>
        <v>0</v>
      </c>
      <c r="AW70" s="1792">
        <f t="shared" si="12"/>
        <v>0</v>
      </c>
      <c r="AX70" s="179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22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2214"/>
      <c r="AV71" s="1792">
        <f t="shared" si="11"/>
        <v>0</v>
      </c>
      <c r="AW71" s="1792">
        <f t="shared" si="12"/>
        <v>0</v>
      </c>
      <c r="AX71" s="179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22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2214"/>
      <c r="AV72" s="1792">
        <f t="shared" si="11"/>
        <v>0</v>
      </c>
      <c r="AW72" s="1792">
        <f t="shared" si="12"/>
        <v>0</v>
      </c>
      <c r="AX72" s="179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22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2214"/>
      <c r="AV73" s="1792">
        <f t="shared" si="11"/>
        <v>0</v>
      </c>
      <c r="AW73" s="1792">
        <f t="shared" si="12"/>
        <v>0</v>
      </c>
      <c r="AX73" s="179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22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2214"/>
      <c r="AV74" s="1792">
        <f t="shared" si="11"/>
        <v>0</v>
      </c>
      <c r="AW74" s="1792">
        <f t="shared" si="12"/>
        <v>0</v>
      </c>
      <c r="AX74" s="179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22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2214"/>
      <c r="AV75" s="1792">
        <f t="shared" si="11"/>
        <v>0</v>
      </c>
      <c r="AW75" s="1792">
        <f t="shared" si="12"/>
        <v>0</v>
      </c>
      <c r="AX75" s="179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22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2214"/>
      <c r="AV76" s="1792">
        <f t="shared" si="11"/>
        <v>0</v>
      </c>
      <c r="AW76" s="1792">
        <f t="shared" si="12"/>
        <v>0</v>
      </c>
      <c r="AX76" s="179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22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2214"/>
      <c r="AV77" s="1792">
        <f t="shared" si="11"/>
        <v>0</v>
      </c>
      <c r="AW77" s="1792">
        <f t="shared" si="12"/>
        <v>0</v>
      </c>
      <c r="AX77" s="179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22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2214"/>
      <c r="AV78" s="1792">
        <f t="shared" si="11"/>
        <v>0</v>
      </c>
      <c r="AW78" s="1792">
        <f t="shared" si="12"/>
        <v>0</v>
      </c>
      <c r="AX78" s="179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22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2214"/>
      <c r="AV79" s="1792">
        <f t="shared" si="11"/>
        <v>0</v>
      </c>
      <c r="AW79" s="1792">
        <f t="shared" si="12"/>
        <v>0</v>
      </c>
      <c r="AX79" s="179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22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2214"/>
      <c r="AV80" s="1792">
        <f t="shared" si="11"/>
        <v>0</v>
      </c>
      <c r="AW80" s="1792">
        <f t="shared" si="12"/>
        <v>0</v>
      </c>
      <c r="AX80" s="179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22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2214"/>
      <c r="AV81" s="1792">
        <f t="shared" si="11"/>
        <v>0</v>
      </c>
      <c r="AW81" s="1792">
        <f t="shared" si="12"/>
        <v>0</v>
      </c>
      <c r="AX81" s="179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22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2214"/>
      <c r="AV82" s="1792">
        <f t="shared" si="11"/>
        <v>0</v>
      </c>
      <c r="AW82" s="1792">
        <f t="shared" si="12"/>
        <v>0</v>
      </c>
      <c r="AX82" s="179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22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2214"/>
      <c r="AV83" s="1792">
        <f t="shared" si="11"/>
        <v>0</v>
      </c>
      <c r="AW83" s="1792">
        <f t="shared" si="12"/>
        <v>0</v>
      </c>
      <c r="AX83" s="179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22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2214"/>
      <c r="AV84" s="1792">
        <f t="shared" si="11"/>
        <v>0</v>
      </c>
      <c r="AW84" s="1792">
        <f t="shared" si="12"/>
        <v>0</v>
      </c>
      <c r="AX84" s="179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22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2214"/>
      <c r="AV85" s="1792">
        <f t="shared" si="11"/>
        <v>0</v>
      </c>
      <c r="AW85" s="1792">
        <f t="shared" si="12"/>
        <v>0</v>
      </c>
      <c r="AX85" s="179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22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2214"/>
      <c r="AV86" s="1792">
        <f t="shared" si="11"/>
        <v>0</v>
      </c>
      <c r="AW86" s="1792">
        <f t="shared" si="12"/>
        <v>0</v>
      </c>
      <c r="AX86" s="179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22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2214"/>
      <c r="AV87" s="1792">
        <f t="shared" si="11"/>
        <v>0</v>
      </c>
      <c r="AW87" s="1792">
        <f t="shared" si="12"/>
        <v>0</v>
      </c>
      <c r="AX87" s="179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22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2214"/>
      <c r="AV88" s="1792">
        <f t="shared" si="11"/>
        <v>0</v>
      </c>
      <c r="AW88" s="1792">
        <f t="shared" si="12"/>
        <v>0</v>
      </c>
      <c r="AX88" s="179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22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2214"/>
      <c r="AV89" s="1792">
        <f t="shared" si="11"/>
        <v>0</v>
      </c>
      <c r="AW89" s="1792">
        <f t="shared" si="12"/>
        <v>0</v>
      </c>
      <c r="AX89" s="179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22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2214"/>
      <c r="AV90" s="1792">
        <f t="shared" si="11"/>
        <v>0</v>
      </c>
      <c r="AW90" s="1792">
        <f t="shared" si="12"/>
        <v>0</v>
      </c>
      <c r="AX90" s="179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22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2214"/>
      <c r="AV91" s="1792">
        <f t="shared" si="11"/>
        <v>0</v>
      </c>
      <c r="AW91" s="1792">
        <f t="shared" si="12"/>
        <v>0</v>
      </c>
      <c r="AX91" s="179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22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2214"/>
      <c r="AV92" s="1792">
        <f t="shared" si="11"/>
        <v>0</v>
      </c>
      <c r="AW92" s="1792">
        <f t="shared" si="12"/>
        <v>0</v>
      </c>
      <c r="AX92" s="179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22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2214"/>
      <c r="AV93" s="1792">
        <f t="shared" si="11"/>
        <v>0</v>
      </c>
      <c r="AW93" s="1792">
        <f t="shared" si="12"/>
        <v>0</v>
      </c>
      <c r="AX93" s="179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22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2214"/>
      <c r="AV94" s="1792">
        <f t="shared" si="11"/>
        <v>0</v>
      </c>
      <c r="AW94" s="1792">
        <f t="shared" si="12"/>
        <v>0</v>
      </c>
      <c r="AX94" s="179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22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2214"/>
      <c r="AV95" s="1792">
        <f t="shared" si="11"/>
        <v>0</v>
      </c>
      <c r="AW95" s="1792">
        <f t="shared" si="12"/>
        <v>0</v>
      </c>
      <c r="AX95" s="179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22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2214"/>
      <c r="AV96" s="1792">
        <f t="shared" si="11"/>
        <v>0</v>
      </c>
      <c r="AW96" s="1792">
        <f t="shared" si="12"/>
        <v>0</v>
      </c>
      <c r="AX96" s="179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22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2214"/>
      <c r="AV97" s="1792">
        <f t="shared" si="11"/>
        <v>0</v>
      </c>
      <c r="AW97" s="1792">
        <f t="shared" si="12"/>
        <v>0</v>
      </c>
      <c r="AX97" s="179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22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2214"/>
      <c r="AV98" s="1792">
        <f t="shared" si="11"/>
        <v>0</v>
      </c>
      <c r="AW98" s="1792">
        <f t="shared" si="12"/>
        <v>0</v>
      </c>
      <c r="AX98" s="179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22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2214"/>
      <c r="AV99" s="1792">
        <f t="shared" si="11"/>
        <v>0</v>
      </c>
      <c r="AW99" s="1792">
        <f t="shared" si="12"/>
        <v>0</v>
      </c>
      <c r="AX99" s="179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22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2214"/>
      <c r="AV100" s="1792">
        <f t="shared" si="11"/>
        <v>0</v>
      </c>
      <c r="AW100" s="1792">
        <f t="shared" si="12"/>
        <v>0</v>
      </c>
      <c r="AX100" s="179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22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2214"/>
      <c r="AV101" s="1792">
        <f t="shared" si="11"/>
        <v>0</v>
      </c>
      <c r="AW101" s="1792">
        <f t="shared" si="12"/>
        <v>0</v>
      </c>
      <c r="AX101" s="179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22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2214"/>
      <c r="AV102" s="1792">
        <f t="shared" si="11"/>
        <v>0</v>
      </c>
      <c r="AW102" s="1792">
        <f t="shared" si="12"/>
        <v>0</v>
      </c>
      <c r="AX102" s="179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22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2214"/>
      <c r="AV103" s="1792">
        <f t="shared" si="11"/>
        <v>0</v>
      </c>
      <c r="AW103" s="1792">
        <f t="shared" si="12"/>
        <v>0</v>
      </c>
      <c r="AX103" s="179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22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2214"/>
      <c r="AV104" s="1792">
        <f t="shared" si="11"/>
        <v>0</v>
      </c>
      <c r="AW104" s="1792">
        <f t="shared" si="12"/>
        <v>0</v>
      </c>
      <c r="AX104" s="179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22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2214"/>
      <c r="AV105" s="1792">
        <f t="shared" si="11"/>
        <v>0</v>
      </c>
      <c r="AW105" s="1792">
        <f t="shared" si="12"/>
        <v>0</v>
      </c>
      <c r="AX105" s="179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22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2214"/>
      <c r="AV106" s="1792">
        <f t="shared" si="11"/>
        <v>0</v>
      </c>
      <c r="AW106" s="1792">
        <f t="shared" si="12"/>
        <v>0</v>
      </c>
      <c r="AX106" s="179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22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2214"/>
      <c r="AV107" s="1792">
        <f t="shared" si="11"/>
        <v>0</v>
      </c>
      <c r="AW107" s="1792">
        <f t="shared" si="12"/>
        <v>0</v>
      </c>
      <c r="AX107" s="179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22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2214"/>
      <c r="AV108" s="1792">
        <f t="shared" si="11"/>
        <v>0</v>
      </c>
      <c r="AW108" s="1792">
        <f t="shared" si="12"/>
        <v>0</v>
      </c>
      <c r="AX108" s="179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22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2214"/>
      <c r="AV109" s="1792">
        <f t="shared" si="11"/>
        <v>0</v>
      </c>
      <c r="AW109" s="1792">
        <f t="shared" si="12"/>
        <v>0</v>
      </c>
      <c r="AX109" s="179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221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2149"/>
      <c r="AV110" s="1792">
        <f t="shared" si="11"/>
        <v>0</v>
      </c>
      <c r="AW110" s="1792">
        <f t="shared" si="12"/>
        <v>0</v>
      </c>
      <c r="AX110" s="179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221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2149"/>
      <c r="AV111" s="1792">
        <f t="shared" si="11"/>
        <v>0</v>
      </c>
      <c r="AW111" s="1792">
        <f t="shared" si="12"/>
        <v>0</v>
      </c>
      <c r="AX111" s="179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221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2149"/>
      <c r="AV112" s="1792">
        <f t="shared" si="11"/>
        <v>0</v>
      </c>
      <c r="AW112" s="1792">
        <f t="shared" si="12"/>
        <v>0</v>
      </c>
      <c r="AX112" s="179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22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2214"/>
      <c r="AV113" s="1792">
        <f t="shared" ref="AV113:AV144" si="62">A113</f>
        <v>0</v>
      </c>
      <c r="AW113" s="1792">
        <f t="shared" ref="AW113:AW144" si="63">B113</f>
        <v>0</v>
      </c>
      <c r="AX113" s="179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22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2214"/>
      <c r="AV114" s="1792">
        <f t="shared" si="62"/>
        <v>0</v>
      </c>
      <c r="AW114" s="1792">
        <f t="shared" si="63"/>
        <v>0</v>
      </c>
      <c r="AX114" s="179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22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2214"/>
      <c r="AV115" s="1792">
        <f t="shared" si="62"/>
        <v>0</v>
      </c>
      <c r="AW115" s="1792">
        <f t="shared" si="63"/>
        <v>0</v>
      </c>
      <c r="AX115" s="179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22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2214"/>
      <c r="AV116" s="1792">
        <f t="shared" si="62"/>
        <v>0</v>
      </c>
      <c r="AW116" s="1792">
        <f t="shared" si="63"/>
        <v>0</v>
      </c>
      <c r="AX116" s="179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22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2214"/>
      <c r="AV117" s="1792">
        <f t="shared" si="62"/>
        <v>0</v>
      </c>
      <c r="AW117" s="1792">
        <f t="shared" si="63"/>
        <v>0</v>
      </c>
      <c r="AX117" s="179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22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2214"/>
      <c r="AV118" s="1792">
        <f t="shared" si="62"/>
        <v>0</v>
      </c>
      <c r="AW118" s="1792">
        <f t="shared" si="63"/>
        <v>0</v>
      </c>
      <c r="AX118" s="179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22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2214"/>
      <c r="AV119" s="1792">
        <f t="shared" si="62"/>
        <v>0</v>
      </c>
      <c r="AW119" s="1792">
        <f t="shared" si="63"/>
        <v>0</v>
      </c>
      <c r="AX119" s="179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22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2214"/>
      <c r="AV120" s="1792">
        <f t="shared" si="62"/>
        <v>0</v>
      </c>
      <c r="AW120" s="1792">
        <f t="shared" si="63"/>
        <v>0</v>
      </c>
      <c r="AX120" s="179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22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2214"/>
      <c r="AV121" s="1792">
        <f t="shared" si="62"/>
        <v>0</v>
      </c>
      <c r="AW121" s="1792">
        <f t="shared" si="63"/>
        <v>0</v>
      </c>
      <c r="AX121" s="179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22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2214"/>
      <c r="AV122" s="1792">
        <f t="shared" si="62"/>
        <v>0</v>
      </c>
      <c r="AW122" s="1792">
        <f t="shared" si="63"/>
        <v>0</v>
      </c>
      <c r="AX122" s="179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22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2214"/>
      <c r="AV123" s="1792">
        <f t="shared" si="62"/>
        <v>0</v>
      </c>
      <c r="AW123" s="1792">
        <f t="shared" si="63"/>
        <v>0</v>
      </c>
      <c r="AX123" s="179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22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2214"/>
      <c r="AV124" s="1792">
        <f t="shared" si="62"/>
        <v>0</v>
      </c>
      <c r="AW124" s="1792">
        <f t="shared" si="63"/>
        <v>0</v>
      </c>
      <c r="AX124" s="179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22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2214"/>
      <c r="AV125" s="1792">
        <f t="shared" si="62"/>
        <v>0</v>
      </c>
      <c r="AW125" s="1792">
        <f t="shared" si="63"/>
        <v>0</v>
      </c>
      <c r="AX125" s="179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22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2214"/>
      <c r="AV126" s="1792">
        <f t="shared" si="62"/>
        <v>0</v>
      </c>
      <c r="AW126" s="1792">
        <f t="shared" si="63"/>
        <v>0</v>
      </c>
      <c r="AX126" s="179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22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2214"/>
      <c r="AV127" s="1792">
        <f t="shared" si="62"/>
        <v>0</v>
      </c>
      <c r="AW127" s="1792">
        <f t="shared" si="63"/>
        <v>0</v>
      </c>
      <c r="AX127" s="179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22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2214"/>
      <c r="AV128" s="1792">
        <f t="shared" si="62"/>
        <v>0</v>
      </c>
      <c r="AW128" s="1792">
        <f t="shared" si="63"/>
        <v>0</v>
      </c>
      <c r="AX128" s="179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22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2214"/>
      <c r="AV129" s="1792">
        <f t="shared" si="62"/>
        <v>0</v>
      </c>
      <c r="AW129" s="1792">
        <f t="shared" si="63"/>
        <v>0</v>
      </c>
      <c r="AX129" s="179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22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2214"/>
      <c r="AV130" s="1792">
        <f t="shared" si="62"/>
        <v>0</v>
      </c>
      <c r="AW130" s="1792">
        <f t="shared" si="63"/>
        <v>0</v>
      </c>
      <c r="AX130" s="179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22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2214"/>
      <c r="AV131" s="1792">
        <f t="shared" si="62"/>
        <v>0</v>
      </c>
      <c r="AW131" s="1792">
        <f t="shared" si="63"/>
        <v>0</v>
      </c>
      <c r="AX131" s="179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22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2214"/>
      <c r="AV132" s="1792">
        <f t="shared" si="62"/>
        <v>0</v>
      </c>
      <c r="AW132" s="1792">
        <f t="shared" si="63"/>
        <v>0</v>
      </c>
      <c r="AX132" s="179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22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2214"/>
      <c r="AV133" s="1792">
        <f t="shared" si="62"/>
        <v>0</v>
      </c>
      <c r="AW133" s="1792">
        <f t="shared" si="63"/>
        <v>0</v>
      </c>
      <c r="AX133" s="179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22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2214"/>
      <c r="AV134" s="1792">
        <f t="shared" si="62"/>
        <v>0</v>
      </c>
      <c r="AW134" s="1792">
        <f t="shared" si="63"/>
        <v>0</v>
      </c>
      <c r="AX134" s="179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22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2214"/>
      <c r="AV135" s="1792">
        <f t="shared" si="62"/>
        <v>0</v>
      </c>
      <c r="AW135" s="1792">
        <f t="shared" si="63"/>
        <v>0</v>
      </c>
      <c r="AX135" s="179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22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2214"/>
      <c r="AV136" s="1792">
        <f t="shared" si="62"/>
        <v>0</v>
      </c>
      <c r="AW136" s="1792">
        <f t="shared" si="63"/>
        <v>0</v>
      </c>
      <c r="AX136" s="179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22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2214"/>
      <c r="AV137" s="1792">
        <f t="shared" si="62"/>
        <v>0</v>
      </c>
      <c r="AW137" s="1792">
        <f t="shared" si="63"/>
        <v>0</v>
      </c>
      <c r="AX137" s="179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22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2214"/>
      <c r="AV138" s="1792">
        <f t="shared" si="62"/>
        <v>0</v>
      </c>
      <c r="AW138" s="1792">
        <f t="shared" si="63"/>
        <v>0</v>
      </c>
      <c r="AX138" s="179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22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2214"/>
      <c r="AV139" s="1792">
        <f t="shared" si="62"/>
        <v>0</v>
      </c>
      <c r="AW139" s="1792">
        <f t="shared" si="63"/>
        <v>0</v>
      </c>
      <c r="AX139" s="179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22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2214"/>
      <c r="AV140" s="1792">
        <f t="shared" si="62"/>
        <v>0</v>
      </c>
      <c r="AW140" s="1792">
        <f t="shared" si="63"/>
        <v>0</v>
      </c>
      <c r="AX140" s="179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22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2214"/>
      <c r="AV141" s="1792">
        <f t="shared" si="62"/>
        <v>0</v>
      </c>
      <c r="AW141" s="1792">
        <f t="shared" si="63"/>
        <v>0</v>
      </c>
      <c r="AX141" s="179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22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2214"/>
      <c r="AV142" s="1792">
        <f t="shared" si="62"/>
        <v>0</v>
      </c>
      <c r="AW142" s="1792">
        <f t="shared" si="63"/>
        <v>0</v>
      </c>
      <c r="AX142" s="179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22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2214"/>
      <c r="AV143" s="1792">
        <f t="shared" si="62"/>
        <v>0</v>
      </c>
      <c r="AW143" s="1792">
        <f t="shared" si="63"/>
        <v>0</v>
      </c>
      <c r="AX143" s="179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22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2214"/>
      <c r="AV144" s="1792">
        <f t="shared" si="62"/>
        <v>0</v>
      </c>
      <c r="AW144" s="1792">
        <f t="shared" si="63"/>
        <v>0</v>
      </c>
      <c r="AX144" s="179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22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2214"/>
      <c r="AV145" s="1792">
        <f t="shared" ref="AV145:AV176" si="91">A145</f>
        <v>0</v>
      </c>
      <c r="AW145" s="1792">
        <f t="shared" ref="AW145:AW176" si="92">B145</f>
        <v>0</v>
      </c>
      <c r="AX145" s="179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22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2214"/>
      <c r="AV146" s="1792">
        <f t="shared" si="91"/>
        <v>0</v>
      </c>
      <c r="AW146" s="1792">
        <f t="shared" si="92"/>
        <v>0</v>
      </c>
      <c r="AX146" s="179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22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2214"/>
      <c r="AV147" s="1792">
        <f t="shared" si="91"/>
        <v>0</v>
      </c>
      <c r="AW147" s="1792">
        <f t="shared" si="92"/>
        <v>0</v>
      </c>
      <c r="AX147" s="179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22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2214"/>
      <c r="AV148" s="1792">
        <f t="shared" si="91"/>
        <v>0</v>
      </c>
      <c r="AW148" s="1792">
        <f t="shared" si="92"/>
        <v>0</v>
      </c>
      <c r="AX148" s="179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22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2214"/>
      <c r="AV149" s="1792">
        <f t="shared" si="91"/>
        <v>0</v>
      </c>
      <c r="AW149" s="1792">
        <f t="shared" si="92"/>
        <v>0</v>
      </c>
      <c r="AX149" s="179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22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2214"/>
      <c r="AV150" s="1792">
        <f t="shared" si="91"/>
        <v>0</v>
      </c>
      <c r="AW150" s="1792">
        <f t="shared" si="92"/>
        <v>0</v>
      </c>
      <c r="AX150" s="179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22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2214"/>
      <c r="AV151" s="1792">
        <f t="shared" si="91"/>
        <v>0</v>
      </c>
      <c r="AW151" s="1792">
        <f t="shared" si="92"/>
        <v>0</v>
      </c>
      <c r="AX151" s="179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22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2214"/>
      <c r="AV152" s="1792">
        <f t="shared" si="91"/>
        <v>0</v>
      </c>
      <c r="AW152" s="1792">
        <f t="shared" si="92"/>
        <v>0</v>
      </c>
      <c r="AX152" s="179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22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2214"/>
      <c r="AV153" s="1792">
        <f t="shared" si="91"/>
        <v>0</v>
      </c>
      <c r="AW153" s="1792">
        <f t="shared" si="92"/>
        <v>0</v>
      </c>
      <c r="AX153" s="179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22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2214"/>
      <c r="AV154" s="1792">
        <f t="shared" si="91"/>
        <v>0</v>
      </c>
      <c r="AW154" s="1792">
        <f t="shared" si="92"/>
        <v>0</v>
      </c>
      <c r="AX154" s="179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22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2214"/>
      <c r="AV155" s="1792">
        <f t="shared" si="91"/>
        <v>0</v>
      </c>
      <c r="AW155" s="1792">
        <f t="shared" si="92"/>
        <v>0</v>
      </c>
      <c r="AX155" s="179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22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2214"/>
      <c r="AV156" s="1792">
        <f t="shared" si="91"/>
        <v>0</v>
      </c>
      <c r="AW156" s="1792">
        <f t="shared" si="92"/>
        <v>0</v>
      </c>
      <c r="AX156" s="179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22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2214"/>
      <c r="AV157" s="1792">
        <f t="shared" si="91"/>
        <v>0</v>
      </c>
      <c r="AW157" s="1792">
        <f t="shared" si="92"/>
        <v>0</v>
      </c>
      <c r="AX157" s="179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22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2214"/>
      <c r="AV158" s="1792">
        <f t="shared" si="91"/>
        <v>0</v>
      </c>
      <c r="AW158" s="1792">
        <f t="shared" si="92"/>
        <v>0</v>
      </c>
      <c r="AX158" s="179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22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2214"/>
      <c r="AV159" s="1792">
        <f t="shared" si="91"/>
        <v>0</v>
      </c>
      <c r="AW159" s="1792">
        <f t="shared" si="92"/>
        <v>0</v>
      </c>
      <c r="AX159" s="179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22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2214"/>
      <c r="AV160" s="1792">
        <f t="shared" si="91"/>
        <v>0</v>
      </c>
      <c r="AW160" s="1792">
        <f t="shared" si="92"/>
        <v>0</v>
      </c>
      <c r="AX160" s="179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22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2214"/>
      <c r="AV161" s="1792">
        <f t="shared" si="91"/>
        <v>0</v>
      </c>
      <c r="AW161" s="1792">
        <f t="shared" si="92"/>
        <v>0</v>
      </c>
      <c r="AX161" s="179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22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2214"/>
      <c r="AV162" s="1792">
        <f t="shared" si="91"/>
        <v>0</v>
      </c>
      <c r="AW162" s="1792">
        <f t="shared" si="92"/>
        <v>0</v>
      </c>
      <c r="AX162" s="179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22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2214"/>
      <c r="AV163" s="1792">
        <f t="shared" si="91"/>
        <v>0</v>
      </c>
      <c r="AW163" s="1792">
        <f t="shared" si="92"/>
        <v>0</v>
      </c>
      <c r="AX163" s="179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22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2214"/>
      <c r="AV164" s="1792">
        <f t="shared" si="91"/>
        <v>0</v>
      </c>
      <c r="AW164" s="1792">
        <f t="shared" si="92"/>
        <v>0</v>
      </c>
      <c r="AX164" s="179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22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2214"/>
      <c r="AV165" s="1792">
        <f t="shared" si="91"/>
        <v>0</v>
      </c>
      <c r="AW165" s="1792">
        <f t="shared" si="92"/>
        <v>0</v>
      </c>
      <c r="AX165" s="179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22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2214"/>
      <c r="AV166" s="1792">
        <f t="shared" si="91"/>
        <v>0</v>
      </c>
      <c r="AW166" s="1792">
        <f t="shared" si="92"/>
        <v>0</v>
      </c>
      <c r="AX166" s="179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22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2214"/>
      <c r="AV167" s="1792">
        <f t="shared" si="91"/>
        <v>0</v>
      </c>
      <c r="AW167" s="1792">
        <f t="shared" si="92"/>
        <v>0</v>
      </c>
      <c r="AX167" s="179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22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2214"/>
      <c r="AV168" s="1792">
        <f t="shared" si="91"/>
        <v>0</v>
      </c>
      <c r="AW168" s="1792">
        <f t="shared" si="92"/>
        <v>0</v>
      </c>
      <c r="AX168" s="179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22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2214"/>
      <c r="AV169" s="1792">
        <f t="shared" si="91"/>
        <v>0</v>
      </c>
      <c r="AW169" s="1792">
        <f t="shared" si="92"/>
        <v>0</v>
      </c>
      <c r="AX169" s="179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22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2214"/>
      <c r="AV170" s="1792">
        <f t="shared" si="91"/>
        <v>0</v>
      </c>
      <c r="AW170" s="1792">
        <f t="shared" si="92"/>
        <v>0</v>
      </c>
      <c r="AX170" s="179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22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2214"/>
      <c r="AV171" s="1792">
        <f t="shared" si="91"/>
        <v>0</v>
      </c>
      <c r="AW171" s="1792">
        <f t="shared" si="92"/>
        <v>0</v>
      </c>
      <c r="AX171" s="179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22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2214"/>
      <c r="AV172" s="1792">
        <f t="shared" si="91"/>
        <v>0</v>
      </c>
      <c r="AW172" s="1792">
        <f t="shared" si="92"/>
        <v>0</v>
      </c>
      <c r="AX172" s="179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22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2214"/>
      <c r="AV173" s="1792">
        <f t="shared" si="91"/>
        <v>0</v>
      </c>
      <c r="AW173" s="1792">
        <f t="shared" si="92"/>
        <v>0</v>
      </c>
      <c r="AX173" s="179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22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2214"/>
      <c r="AV174" s="1792">
        <f t="shared" si="91"/>
        <v>0</v>
      </c>
      <c r="AW174" s="1792">
        <f t="shared" si="92"/>
        <v>0</v>
      </c>
      <c r="AX174" s="179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22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2214"/>
      <c r="AV175" s="1792">
        <f t="shared" si="91"/>
        <v>0</v>
      </c>
      <c r="AW175" s="1792">
        <f t="shared" si="92"/>
        <v>0</v>
      </c>
      <c r="AX175" s="179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22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2214"/>
      <c r="AV176" s="1792">
        <f t="shared" si="91"/>
        <v>0</v>
      </c>
      <c r="AW176" s="1792">
        <f t="shared" si="92"/>
        <v>0</v>
      </c>
      <c r="AX176" s="179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22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2214"/>
      <c r="AV177" s="1792">
        <f t="shared" ref="AV177:AV207" si="120">A177</f>
        <v>0</v>
      </c>
      <c r="AW177" s="1792">
        <f t="shared" ref="AW177:AW207" si="121">B177</f>
        <v>0</v>
      </c>
      <c r="AX177" s="179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22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2214"/>
      <c r="AV178" s="1792">
        <f t="shared" si="120"/>
        <v>0</v>
      </c>
      <c r="AW178" s="1792">
        <f t="shared" si="121"/>
        <v>0</v>
      </c>
      <c r="AX178" s="179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22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2214"/>
      <c r="AV179" s="1792">
        <f t="shared" si="120"/>
        <v>0</v>
      </c>
      <c r="AW179" s="1792">
        <f t="shared" si="121"/>
        <v>0</v>
      </c>
      <c r="AX179" s="179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22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2214"/>
      <c r="AV180" s="1792">
        <f t="shared" si="120"/>
        <v>0</v>
      </c>
      <c r="AW180" s="1792">
        <f t="shared" si="121"/>
        <v>0</v>
      </c>
      <c r="AX180" s="179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22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2214"/>
      <c r="AV181" s="1792">
        <f t="shared" si="120"/>
        <v>0</v>
      </c>
      <c r="AW181" s="1792">
        <f t="shared" si="121"/>
        <v>0</v>
      </c>
      <c r="AX181" s="179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22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2214"/>
      <c r="AV182" s="1792">
        <f t="shared" si="120"/>
        <v>0</v>
      </c>
      <c r="AW182" s="1792">
        <f t="shared" si="121"/>
        <v>0</v>
      </c>
      <c r="AX182" s="179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22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2214"/>
      <c r="AV183" s="1792">
        <f t="shared" si="120"/>
        <v>0</v>
      </c>
      <c r="AW183" s="1792">
        <f t="shared" si="121"/>
        <v>0</v>
      </c>
      <c r="AX183" s="179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22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2214"/>
      <c r="AV184" s="1792">
        <f t="shared" si="120"/>
        <v>0</v>
      </c>
      <c r="AW184" s="1792">
        <f t="shared" si="121"/>
        <v>0</v>
      </c>
      <c r="AX184" s="179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22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2214"/>
      <c r="AV185" s="1792">
        <f t="shared" si="120"/>
        <v>0</v>
      </c>
      <c r="AW185" s="1792">
        <f t="shared" si="121"/>
        <v>0</v>
      </c>
      <c r="AX185" s="179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22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2214"/>
      <c r="AV186" s="1792">
        <f t="shared" si="120"/>
        <v>0</v>
      </c>
      <c r="AW186" s="1792">
        <f t="shared" si="121"/>
        <v>0</v>
      </c>
      <c r="AX186" s="179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22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2214"/>
      <c r="AV187" s="1792">
        <f t="shared" si="120"/>
        <v>0</v>
      </c>
      <c r="AW187" s="1792">
        <f t="shared" si="121"/>
        <v>0</v>
      </c>
      <c r="AX187" s="179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22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2214"/>
      <c r="AV188" s="1792">
        <f t="shared" si="120"/>
        <v>0</v>
      </c>
      <c r="AW188" s="1792">
        <f t="shared" si="121"/>
        <v>0</v>
      </c>
      <c r="AX188" s="179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22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2214"/>
      <c r="AV189" s="1792">
        <f t="shared" si="120"/>
        <v>0</v>
      </c>
      <c r="AW189" s="1792">
        <f t="shared" si="121"/>
        <v>0</v>
      </c>
      <c r="AX189" s="179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22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2214"/>
      <c r="AV190" s="1792">
        <f t="shared" si="120"/>
        <v>0</v>
      </c>
      <c r="AW190" s="1792">
        <f t="shared" si="121"/>
        <v>0</v>
      </c>
      <c r="AX190" s="179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22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2214"/>
      <c r="AV191" s="1792">
        <f t="shared" si="120"/>
        <v>0</v>
      </c>
      <c r="AW191" s="1792">
        <f t="shared" si="121"/>
        <v>0</v>
      </c>
      <c r="AX191" s="179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22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2214"/>
      <c r="AV192" s="1792">
        <f t="shared" si="120"/>
        <v>0</v>
      </c>
      <c r="AW192" s="1792">
        <f t="shared" si="121"/>
        <v>0</v>
      </c>
      <c r="AX192" s="179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22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2214"/>
      <c r="AV193" s="1792">
        <f t="shared" si="120"/>
        <v>0</v>
      </c>
      <c r="AW193" s="1792">
        <f t="shared" si="121"/>
        <v>0</v>
      </c>
      <c r="AX193" s="179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22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2214"/>
      <c r="AV194" s="1792">
        <f t="shared" si="120"/>
        <v>0</v>
      </c>
      <c r="AW194" s="1792">
        <f t="shared" si="121"/>
        <v>0</v>
      </c>
      <c r="AX194" s="179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22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2214"/>
      <c r="AV195" s="1792">
        <f t="shared" si="120"/>
        <v>0</v>
      </c>
      <c r="AW195" s="1792">
        <f t="shared" si="121"/>
        <v>0</v>
      </c>
      <c r="AX195" s="179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22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2214"/>
      <c r="AV196" s="1792">
        <f t="shared" si="120"/>
        <v>0</v>
      </c>
      <c r="AW196" s="1792">
        <f t="shared" si="121"/>
        <v>0</v>
      </c>
      <c r="AX196" s="179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22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2214"/>
      <c r="AV197" s="1792">
        <f t="shared" si="120"/>
        <v>0</v>
      </c>
      <c r="AW197" s="1792">
        <f t="shared" si="121"/>
        <v>0</v>
      </c>
      <c r="AX197" s="179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22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2214"/>
      <c r="AV198" s="1792">
        <f t="shared" si="120"/>
        <v>0</v>
      </c>
      <c r="AW198" s="1792">
        <f t="shared" si="121"/>
        <v>0</v>
      </c>
      <c r="AX198" s="179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22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2214"/>
      <c r="AV199" s="1792">
        <f t="shared" si="120"/>
        <v>0</v>
      </c>
      <c r="AW199" s="1792">
        <f t="shared" si="121"/>
        <v>0</v>
      </c>
      <c r="AX199" s="179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22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2214"/>
      <c r="AV200" s="1792">
        <f t="shared" si="120"/>
        <v>0</v>
      </c>
      <c r="AW200" s="1792">
        <f t="shared" si="121"/>
        <v>0</v>
      </c>
      <c r="AX200" s="179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22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2214"/>
      <c r="AV201" s="1792">
        <f t="shared" si="120"/>
        <v>0</v>
      </c>
      <c r="AW201" s="1792">
        <f t="shared" si="121"/>
        <v>0</v>
      </c>
      <c r="AX201" s="179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22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2214"/>
      <c r="AV202" s="1792">
        <f t="shared" si="120"/>
        <v>0</v>
      </c>
      <c r="AW202" s="1792">
        <f t="shared" si="121"/>
        <v>0</v>
      </c>
      <c r="AX202" s="179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22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2214"/>
      <c r="AV203" s="1792">
        <f t="shared" si="120"/>
        <v>0</v>
      </c>
      <c r="AW203" s="1792">
        <f t="shared" si="121"/>
        <v>0</v>
      </c>
      <c r="AX203" s="179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22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2214"/>
      <c r="AV204" s="1792">
        <f t="shared" si="120"/>
        <v>0</v>
      </c>
      <c r="AW204" s="1792">
        <f t="shared" si="121"/>
        <v>0</v>
      </c>
      <c r="AX204" s="179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221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2149"/>
      <c r="AV205" s="1792">
        <f t="shared" si="120"/>
        <v>0</v>
      </c>
      <c r="AW205" s="1792">
        <f t="shared" si="121"/>
        <v>0</v>
      </c>
      <c r="AX205" s="179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221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2149"/>
      <c r="AV206" s="1792">
        <f t="shared" si="120"/>
        <v>0</v>
      </c>
      <c r="AW206" s="1792">
        <f t="shared" si="121"/>
        <v>0</v>
      </c>
      <c r="AX206" s="179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221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2149"/>
      <c r="AV207" s="1792">
        <f t="shared" si="120"/>
        <v>0</v>
      </c>
      <c r="AW207" s="1792">
        <f t="shared" si="121"/>
        <v>0</v>
      </c>
      <c r="AX207" s="179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22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2214"/>
      <c r="AV208" s="1792">
        <f t="shared" ref="AV208:AV302" si="127">A208</f>
        <v>0</v>
      </c>
      <c r="AW208" s="1792">
        <f t="shared" ref="AW208:AW302" si="128">B208</f>
        <v>0</v>
      </c>
      <c r="AX208" s="179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22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2214"/>
      <c r="AV209" s="1792">
        <f t="shared" si="127"/>
        <v>0</v>
      </c>
      <c r="AW209" s="1792">
        <f t="shared" si="128"/>
        <v>0</v>
      </c>
      <c r="AX209" s="179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22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2214"/>
      <c r="AV210" s="1792">
        <f t="shared" si="127"/>
        <v>0</v>
      </c>
      <c r="AW210" s="1792">
        <f t="shared" si="128"/>
        <v>0</v>
      </c>
      <c r="AX210" s="179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22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2214"/>
      <c r="AV211" s="1792">
        <f t="shared" si="127"/>
        <v>0</v>
      </c>
      <c r="AW211" s="1792">
        <f t="shared" si="128"/>
        <v>0</v>
      </c>
      <c r="AX211" s="179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22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2214"/>
      <c r="AV212" s="1792">
        <f t="shared" si="127"/>
        <v>0</v>
      </c>
      <c r="AW212" s="1792">
        <f t="shared" si="128"/>
        <v>0</v>
      </c>
      <c r="AX212" s="179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22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2214"/>
      <c r="AV213" s="1792">
        <f t="shared" si="127"/>
        <v>0</v>
      </c>
      <c r="AW213" s="1792">
        <f t="shared" si="128"/>
        <v>0</v>
      </c>
      <c r="AX213" s="179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22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2214"/>
      <c r="AV214" s="1792">
        <f t="shared" si="127"/>
        <v>0</v>
      </c>
      <c r="AW214" s="1792">
        <f t="shared" si="128"/>
        <v>0</v>
      </c>
      <c r="AX214" s="179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22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2214"/>
      <c r="AV215" s="1792">
        <f t="shared" si="127"/>
        <v>0</v>
      </c>
      <c r="AW215" s="1792">
        <f t="shared" si="128"/>
        <v>0</v>
      </c>
      <c r="AX215" s="179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22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2214"/>
      <c r="AV216" s="1792">
        <f t="shared" si="127"/>
        <v>0</v>
      </c>
      <c r="AW216" s="1792">
        <f t="shared" si="128"/>
        <v>0</v>
      </c>
      <c r="AX216" s="179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22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2214"/>
      <c r="AV217" s="1792">
        <f t="shared" si="127"/>
        <v>0</v>
      </c>
      <c r="AW217" s="1792">
        <f t="shared" si="128"/>
        <v>0</v>
      </c>
      <c r="AX217" s="179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22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2214"/>
      <c r="AV218" s="1792">
        <f t="shared" si="127"/>
        <v>0</v>
      </c>
      <c r="AW218" s="1792">
        <f t="shared" si="128"/>
        <v>0</v>
      </c>
      <c r="AX218" s="179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22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2214"/>
      <c r="AV219" s="1792">
        <f t="shared" si="127"/>
        <v>0</v>
      </c>
      <c r="AW219" s="1792">
        <f t="shared" si="128"/>
        <v>0</v>
      </c>
      <c r="AX219" s="179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22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2214"/>
      <c r="AV220" s="1792">
        <f t="shared" si="127"/>
        <v>0</v>
      </c>
      <c r="AW220" s="1792">
        <f t="shared" si="128"/>
        <v>0</v>
      </c>
      <c r="AX220" s="179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22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2214"/>
      <c r="AV221" s="1792">
        <f t="shared" si="127"/>
        <v>0</v>
      </c>
      <c r="AW221" s="1792">
        <f t="shared" si="128"/>
        <v>0</v>
      </c>
      <c r="AX221" s="179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22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2214"/>
      <c r="AV222" s="1792">
        <f t="shared" si="127"/>
        <v>0</v>
      </c>
      <c r="AW222" s="1792">
        <f t="shared" si="128"/>
        <v>0</v>
      </c>
      <c r="AX222" s="179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22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2214"/>
      <c r="AV223" s="1792">
        <f t="shared" si="127"/>
        <v>0</v>
      </c>
      <c r="AW223" s="1792">
        <f t="shared" si="128"/>
        <v>0</v>
      </c>
      <c r="AX223" s="179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22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2214"/>
      <c r="AV224" s="1792">
        <f t="shared" si="127"/>
        <v>0</v>
      </c>
      <c r="AW224" s="1792">
        <f t="shared" si="128"/>
        <v>0</v>
      </c>
      <c r="AX224" s="179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22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2214"/>
      <c r="AV225" s="1792">
        <f t="shared" si="127"/>
        <v>0</v>
      </c>
      <c r="AW225" s="1792">
        <f t="shared" si="128"/>
        <v>0</v>
      </c>
      <c r="AX225" s="179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22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2214"/>
      <c r="AV226" s="1792">
        <f t="shared" si="127"/>
        <v>0</v>
      </c>
      <c r="AW226" s="1792">
        <f t="shared" si="128"/>
        <v>0</v>
      </c>
      <c r="AX226" s="179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22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2214"/>
      <c r="AV227" s="1792">
        <f t="shared" si="127"/>
        <v>0</v>
      </c>
      <c r="AW227" s="1792">
        <f t="shared" si="128"/>
        <v>0</v>
      </c>
      <c r="AX227" s="179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22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2214"/>
      <c r="AV228" s="1792">
        <f t="shared" si="127"/>
        <v>0</v>
      </c>
      <c r="AW228" s="1792">
        <f t="shared" si="128"/>
        <v>0</v>
      </c>
      <c r="AX228" s="179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22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2214"/>
      <c r="AV229" s="1792">
        <f t="shared" si="127"/>
        <v>0</v>
      </c>
      <c r="AW229" s="1792">
        <f t="shared" si="128"/>
        <v>0</v>
      </c>
      <c r="AX229" s="179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22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2214"/>
      <c r="AV230" s="1792">
        <f t="shared" si="127"/>
        <v>0</v>
      </c>
      <c r="AW230" s="1792">
        <f t="shared" si="128"/>
        <v>0</v>
      </c>
      <c r="AX230" s="179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22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2214"/>
      <c r="AV231" s="1792">
        <f t="shared" si="127"/>
        <v>0</v>
      </c>
      <c r="AW231" s="1792">
        <f t="shared" si="128"/>
        <v>0</v>
      </c>
      <c r="AX231" s="179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22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2214"/>
      <c r="AV232" s="1792">
        <f t="shared" si="127"/>
        <v>0</v>
      </c>
      <c r="AW232" s="1792">
        <f t="shared" si="128"/>
        <v>0</v>
      </c>
      <c r="AX232" s="179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22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2214"/>
      <c r="AV233" s="1792">
        <f t="shared" si="127"/>
        <v>0</v>
      </c>
      <c r="AW233" s="1792">
        <f t="shared" si="128"/>
        <v>0</v>
      </c>
      <c r="AX233" s="179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22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2214"/>
      <c r="AV234" s="1792">
        <f t="shared" si="127"/>
        <v>0</v>
      </c>
      <c r="AW234" s="1792">
        <f t="shared" si="128"/>
        <v>0</v>
      </c>
      <c r="AX234" s="179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22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2214"/>
      <c r="AV235" s="1792">
        <f t="shared" si="127"/>
        <v>0</v>
      </c>
      <c r="AW235" s="1792">
        <f t="shared" si="128"/>
        <v>0</v>
      </c>
      <c r="AX235" s="179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22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2214"/>
      <c r="AV236" s="1792">
        <f t="shared" si="127"/>
        <v>0</v>
      </c>
      <c r="AW236" s="1792">
        <f t="shared" si="128"/>
        <v>0</v>
      </c>
      <c r="AX236" s="179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22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2214"/>
      <c r="AV237" s="1792">
        <f t="shared" si="127"/>
        <v>0</v>
      </c>
      <c r="AW237" s="1792">
        <f t="shared" si="128"/>
        <v>0</v>
      </c>
      <c r="AX237" s="179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22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2214"/>
      <c r="AV238" s="1792">
        <f t="shared" si="127"/>
        <v>0</v>
      </c>
      <c r="AW238" s="1792">
        <f t="shared" si="128"/>
        <v>0</v>
      </c>
      <c r="AX238" s="179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22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2214"/>
      <c r="AV239" s="1792">
        <f t="shared" si="127"/>
        <v>0</v>
      </c>
      <c r="AW239" s="1792">
        <f t="shared" si="128"/>
        <v>0</v>
      </c>
      <c r="AX239" s="179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22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2214"/>
      <c r="AV240" s="1792">
        <f t="shared" si="127"/>
        <v>0</v>
      </c>
      <c r="AW240" s="1792">
        <f t="shared" si="128"/>
        <v>0</v>
      </c>
      <c r="AX240" s="179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22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2214"/>
      <c r="AV241" s="1792">
        <f t="shared" si="127"/>
        <v>0</v>
      </c>
      <c r="AW241" s="1792">
        <f t="shared" si="128"/>
        <v>0</v>
      </c>
      <c r="AX241" s="179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22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2214"/>
      <c r="AV242" s="1792">
        <f t="shared" si="127"/>
        <v>0</v>
      </c>
      <c r="AW242" s="1792">
        <f t="shared" si="128"/>
        <v>0</v>
      </c>
      <c r="AX242" s="179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22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2214"/>
      <c r="AV243" s="1792">
        <f t="shared" si="127"/>
        <v>0</v>
      </c>
      <c r="AW243" s="1792">
        <f t="shared" si="128"/>
        <v>0</v>
      </c>
      <c r="AX243" s="179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22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2214"/>
      <c r="AV244" s="1792">
        <f t="shared" si="127"/>
        <v>0</v>
      </c>
      <c r="AW244" s="1792">
        <f t="shared" si="128"/>
        <v>0</v>
      </c>
      <c r="AX244" s="179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22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2214"/>
      <c r="AV245" s="1792">
        <f t="shared" si="127"/>
        <v>0</v>
      </c>
      <c r="AW245" s="1792">
        <f t="shared" si="128"/>
        <v>0</v>
      </c>
      <c r="AX245" s="179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22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2214"/>
      <c r="AV246" s="1792">
        <f t="shared" si="127"/>
        <v>0</v>
      </c>
      <c r="AW246" s="1792">
        <f t="shared" si="128"/>
        <v>0</v>
      </c>
      <c r="AX246" s="179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22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2214"/>
      <c r="AV247" s="1792">
        <f t="shared" si="127"/>
        <v>0</v>
      </c>
      <c r="AW247" s="1792">
        <f t="shared" si="128"/>
        <v>0</v>
      </c>
      <c r="AX247" s="179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22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2214"/>
      <c r="AV248" s="1792">
        <f t="shared" si="127"/>
        <v>0</v>
      </c>
      <c r="AW248" s="1792">
        <f t="shared" si="128"/>
        <v>0</v>
      </c>
      <c r="AX248" s="179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22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2214"/>
      <c r="AV249" s="1792">
        <f t="shared" si="127"/>
        <v>0</v>
      </c>
      <c r="AW249" s="1792">
        <f t="shared" si="128"/>
        <v>0</v>
      </c>
      <c r="AX249" s="179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22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2214"/>
      <c r="AV250" s="1792">
        <f t="shared" si="127"/>
        <v>0</v>
      </c>
      <c r="AW250" s="1792">
        <f t="shared" si="128"/>
        <v>0</v>
      </c>
      <c r="AX250" s="179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22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2214"/>
      <c r="AV251" s="1792">
        <f t="shared" si="127"/>
        <v>0</v>
      </c>
      <c r="AW251" s="1792">
        <f t="shared" si="128"/>
        <v>0</v>
      </c>
      <c r="AX251" s="179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22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2214"/>
      <c r="AV252" s="1792">
        <f t="shared" si="127"/>
        <v>0</v>
      </c>
      <c r="AW252" s="1792">
        <f t="shared" si="128"/>
        <v>0</v>
      </c>
      <c r="AX252" s="179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22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2214"/>
      <c r="AV253" s="1792">
        <f t="shared" si="127"/>
        <v>0</v>
      </c>
      <c r="AW253" s="1792">
        <f t="shared" si="128"/>
        <v>0</v>
      </c>
      <c r="AX253" s="179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22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2214"/>
      <c r="AV254" s="1792">
        <f t="shared" si="127"/>
        <v>0</v>
      </c>
      <c r="AW254" s="1792">
        <f t="shared" si="128"/>
        <v>0</v>
      </c>
      <c r="AX254" s="179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22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2214"/>
      <c r="AV255" s="1792">
        <f t="shared" si="127"/>
        <v>0</v>
      </c>
      <c r="AW255" s="1792">
        <f t="shared" si="128"/>
        <v>0</v>
      </c>
      <c r="AX255" s="179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22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2214"/>
      <c r="AV256" s="1792">
        <f t="shared" si="127"/>
        <v>0</v>
      </c>
      <c r="AW256" s="1792">
        <f t="shared" si="128"/>
        <v>0</v>
      </c>
      <c r="AX256" s="179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22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2214"/>
      <c r="AV257" s="1792">
        <f t="shared" si="127"/>
        <v>0</v>
      </c>
      <c r="AW257" s="1792">
        <f t="shared" si="128"/>
        <v>0</v>
      </c>
      <c r="AX257" s="179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22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2214"/>
      <c r="AV258" s="1792">
        <f t="shared" si="127"/>
        <v>0</v>
      </c>
      <c r="AW258" s="1792">
        <f t="shared" si="128"/>
        <v>0</v>
      </c>
      <c r="AX258" s="179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22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2214"/>
      <c r="AV259" s="1792">
        <f t="shared" si="127"/>
        <v>0</v>
      </c>
      <c r="AW259" s="1792">
        <f t="shared" si="128"/>
        <v>0</v>
      </c>
      <c r="AX259" s="179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22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2214"/>
      <c r="AV260" s="1792">
        <f t="shared" si="127"/>
        <v>0</v>
      </c>
      <c r="AW260" s="1792">
        <f t="shared" si="128"/>
        <v>0</v>
      </c>
      <c r="AX260" s="179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22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2214"/>
      <c r="AV261" s="1792">
        <f t="shared" si="127"/>
        <v>0</v>
      </c>
      <c r="AW261" s="1792">
        <f t="shared" si="128"/>
        <v>0</v>
      </c>
      <c r="AX261" s="179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22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2214"/>
      <c r="AV262" s="1792">
        <f t="shared" si="127"/>
        <v>0</v>
      </c>
      <c r="AW262" s="1792">
        <f t="shared" si="128"/>
        <v>0</v>
      </c>
      <c r="AX262" s="179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22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2214"/>
      <c r="AV263" s="1792">
        <f t="shared" si="127"/>
        <v>0</v>
      </c>
      <c r="AW263" s="1792">
        <f t="shared" si="128"/>
        <v>0</v>
      </c>
      <c r="AX263" s="179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22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2214"/>
      <c r="AV264" s="1792">
        <f t="shared" si="127"/>
        <v>0</v>
      </c>
      <c r="AW264" s="1792">
        <f t="shared" si="128"/>
        <v>0</v>
      </c>
      <c r="AX264" s="179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22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2214"/>
      <c r="AV265" s="1792">
        <f t="shared" si="127"/>
        <v>0</v>
      </c>
      <c r="AW265" s="1792">
        <f t="shared" si="128"/>
        <v>0</v>
      </c>
      <c r="AX265" s="179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22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2214"/>
      <c r="AV266" s="1792">
        <f t="shared" si="127"/>
        <v>0</v>
      </c>
      <c r="AW266" s="1792">
        <f t="shared" si="128"/>
        <v>0</v>
      </c>
      <c r="AX266" s="179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22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2214"/>
      <c r="AV267" s="1792">
        <f t="shared" si="127"/>
        <v>0</v>
      </c>
      <c r="AW267" s="1792">
        <f t="shared" si="128"/>
        <v>0</v>
      </c>
      <c r="AX267" s="179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22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2214"/>
      <c r="AV268" s="1792">
        <f t="shared" si="127"/>
        <v>0</v>
      </c>
      <c r="AW268" s="1792">
        <f t="shared" si="128"/>
        <v>0</v>
      </c>
      <c r="AX268" s="179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22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2214"/>
      <c r="AV269" s="1792">
        <f t="shared" si="127"/>
        <v>0</v>
      </c>
      <c r="AW269" s="1792">
        <f t="shared" si="128"/>
        <v>0</v>
      </c>
      <c r="AX269" s="179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22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2214"/>
      <c r="AV270" s="1792">
        <f t="shared" si="127"/>
        <v>0</v>
      </c>
      <c r="AW270" s="1792">
        <f t="shared" si="128"/>
        <v>0</v>
      </c>
      <c r="AX270" s="179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22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2214"/>
      <c r="AV271" s="1792">
        <f t="shared" si="127"/>
        <v>0</v>
      </c>
      <c r="AW271" s="1792">
        <f t="shared" si="128"/>
        <v>0</v>
      </c>
      <c r="AX271" s="179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22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2214"/>
      <c r="AV272" s="1792">
        <f t="shared" si="127"/>
        <v>0</v>
      </c>
      <c r="AW272" s="1792">
        <f t="shared" si="128"/>
        <v>0</v>
      </c>
      <c r="AX272" s="179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22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2214"/>
      <c r="AV273" s="1792">
        <f t="shared" si="127"/>
        <v>0</v>
      </c>
      <c r="AW273" s="1792">
        <f t="shared" si="128"/>
        <v>0</v>
      </c>
      <c r="AX273" s="179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22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2214"/>
      <c r="AV274" s="1792">
        <f t="shared" si="127"/>
        <v>0</v>
      </c>
      <c r="AW274" s="1792">
        <f t="shared" si="128"/>
        <v>0</v>
      </c>
      <c r="AX274" s="179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22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2214"/>
      <c r="AV275" s="1792">
        <f t="shared" si="127"/>
        <v>0</v>
      </c>
      <c r="AW275" s="1792">
        <f t="shared" si="128"/>
        <v>0</v>
      </c>
      <c r="AX275" s="179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22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2214"/>
      <c r="AV276" s="1792">
        <f t="shared" si="127"/>
        <v>0</v>
      </c>
      <c r="AW276" s="1792">
        <f t="shared" si="128"/>
        <v>0</v>
      </c>
      <c r="AX276" s="179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22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2214"/>
      <c r="AV277" s="1792">
        <f t="shared" si="127"/>
        <v>0</v>
      </c>
      <c r="AW277" s="1792">
        <f t="shared" si="128"/>
        <v>0</v>
      </c>
      <c r="AX277" s="179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22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2214"/>
      <c r="AV278" s="1792">
        <f t="shared" si="127"/>
        <v>0</v>
      </c>
      <c r="AW278" s="1792">
        <f t="shared" si="128"/>
        <v>0</v>
      </c>
      <c r="AX278" s="179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22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2214"/>
      <c r="AV279" s="1792">
        <f t="shared" si="127"/>
        <v>0</v>
      </c>
      <c r="AW279" s="1792">
        <f t="shared" si="128"/>
        <v>0</v>
      </c>
      <c r="AX279" s="179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22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2214"/>
      <c r="AV280" s="1792">
        <f t="shared" si="127"/>
        <v>0</v>
      </c>
      <c r="AW280" s="1792">
        <f t="shared" si="128"/>
        <v>0</v>
      </c>
      <c r="AX280" s="179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22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2214"/>
      <c r="AV281" s="1792">
        <f t="shared" si="127"/>
        <v>0</v>
      </c>
      <c r="AW281" s="1792">
        <f t="shared" si="128"/>
        <v>0</v>
      </c>
      <c r="AX281" s="179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22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2214"/>
      <c r="AV282" s="1792">
        <f t="shared" si="127"/>
        <v>0</v>
      </c>
      <c r="AW282" s="1792">
        <f t="shared" si="128"/>
        <v>0</v>
      </c>
      <c r="AX282" s="179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22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2214"/>
      <c r="AV283" s="1792">
        <f t="shared" si="127"/>
        <v>0</v>
      </c>
      <c r="AW283" s="1792">
        <f t="shared" si="128"/>
        <v>0</v>
      </c>
      <c r="AX283" s="179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22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2214"/>
      <c r="AV284" s="1792">
        <f t="shared" si="127"/>
        <v>0</v>
      </c>
      <c r="AW284" s="1792">
        <f t="shared" si="128"/>
        <v>0</v>
      </c>
      <c r="AX284" s="179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22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2214"/>
      <c r="AV285" s="1792">
        <f t="shared" si="127"/>
        <v>0</v>
      </c>
      <c r="AW285" s="1792">
        <f t="shared" si="128"/>
        <v>0</v>
      </c>
      <c r="AX285" s="179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22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2214"/>
      <c r="AV286" s="1792">
        <f t="shared" si="127"/>
        <v>0</v>
      </c>
      <c r="AW286" s="1792">
        <f t="shared" si="128"/>
        <v>0</v>
      </c>
      <c r="AX286" s="179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22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2214"/>
      <c r="AV287" s="1792">
        <f t="shared" si="127"/>
        <v>0</v>
      </c>
      <c r="AW287" s="1792">
        <f t="shared" si="128"/>
        <v>0</v>
      </c>
      <c r="AX287" s="179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22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2214"/>
      <c r="AV288" s="1792">
        <f t="shared" si="127"/>
        <v>0</v>
      </c>
      <c r="AW288" s="1792">
        <f t="shared" si="128"/>
        <v>0</v>
      </c>
      <c r="AX288" s="179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22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2214"/>
      <c r="AV289" s="1792">
        <f t="shared" si="127"/>
        <v>0</v>
      </c>
      <c r="AW289" s="1792">
        <f t="shared" si="128"/>
        <v>0</v>
      </c>
      <c r="AX289" s="179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22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2214"/>
      <c r="AV290" s="1792">
        <f t="shared" si="127"/>
        <v>0</v>
      </c>
      <c r="AW290" s="1792">
        <f t="shared" si="128"/>
        <v>0</v>
      </c>
      <c r="AX290" s="179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22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2214"/>
      <c r="AV291" s="1792">
        <f t="shared" si="127"/>
        <v>0</v>
      </c>
      <c r="AW291" s="1792">
        <f t="shared" si="128"/>
        <v>0</v>
      </c>
      <c r="AX291" s="179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22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2214"/>
      <c r="AV292" s="1792">
        <f t="shared" si="127"/>
        <v>0</v>
      </c>
      <c r="AW292" s="1792">
        <f t="shared" si="128"/>
        <v>0</v>
      </c>
      <c r="AX292" s="179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22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2214"/>
      <c r="AV293" s="1792">
        <f t="shared" si="127"/>
        <v>0</v>
      </c>
      <c r="AW293" s="1792">
        <f t="shared" si="128"/>
        <v>0</v>
      </c>
      <c r="AX293" s="179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22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2214"/>
      <c r="AV294" s="1792">
        <f t="shared" si="127"/>
        <v>0</v>
      </c>
      <c r="AW294" s="1792">
        <f t="shared" si="128"/>
        <v>0</v>
      </c>
      <c r="AX294" s="179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22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2214"/>
      <c r="AV295" s="1792">
        <f t="shared" si="127"/>
        <v>0</v>
      </c>
      <c r="AW295" s="1792">
        <f t="shared" si="128"/>
        <v>0</v>
      </c>
      <c r="AX295" s="179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22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2214"/>
      <c r="AV296" s="1792">
        <f t="shared" si="127"/>
        <v>0</v>
      </c>
      <c r="AW296" s="1792">
        <f t="shared" si="128"/>
        <v>0</v>
      </c>
      <c r="AX296" s="179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22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2214"/>
      <c r="AV297" s="1792">
        <f t="shared" si="127"/>
        <v>0</v>
      </c>
      <c r="AW297" s="1792">
        <f t="shared" si="128"/>
        <v>0</v>
      </c>
      <c r="AX297" s="179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22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2214"/>
      <c r="AV298" s="1792">
        <f t="shared" si="127"/>
        <v>0</v>
      </c>
      <c r="AW298" s="1792">
        <f t="shared" si="128"/>
        <v>0</v>
      </c>
      <c r="AX298" s="179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22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2214"/>
      <c r="AV299" s="1792">
        <f t="shared" si="127"/>
        <v>0</v>
      </c>
      <c r="AW299" s="1792">
        <f t="shared" si="128"/>
        <v>0</v>
      </c>
      <c r="AX299" s="179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221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2149"/>
      <c r="AV300" s="1792">
        <f t="shared" si="127"/>
        <v>0</v>
      </c>
      <c r="AW300" s="1792">
        <f t="shared" si="128"/>
        <v>0</v>
      </c>
      <c r="AX300" s="179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221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2149"/>
      <c r="AV301" s="1792">
        <f t="shared" si="127"/>
        <v>0</v>
      </c>
      <c r="AW301" s="1792">
        <f t="shared" si="128"/>
        <v>0</v>
      </c>
      <c r="AX301" s="179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221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2149"/>
      <c r="AV302" s="1792">
        <f t="shared" si="127"/>
        <v>0</v>
      </c>
      <c r="AW302" s="1792">
        <f t="shared" si="128"/>
        <v>0</v>
      </c>
      <c r="AX302" s="179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22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2214"/>
      <c r="AV303" s="1792">
        <f t="shared" ref="AV303:AV334" si="178">A303</f>
        <v>0</v>
      </c>
      <c r="AW303" s="1792">
        <f t="shared" ref="AW303:AW334" si="179">B303</f>
        <v>0</v>
      </c>
      <c r="AX303" s="179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22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2214"/>
      <c r="AV304" s="1792">
        <f t="shared" si="178"/>
        <v>0</v>
      </c>
      <c r="AW304" s="1792">
        <f t="shared" si="179"/>
        <v>0</v>
      </c>
      <c r="AX304" s="179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22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2214"/>
      <c r="AV305" s="1792">
        <f t="shared" si="178"/>
        <v>0</v>
      </c>
      <c r="AW305" s="1792">
        <f t="shared" si="179"/>
        <v>0</v>
      </c>
      <c r="AX305" s="179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22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2214"/>
      <c r="AV306" s="1792">
        <f t="shared" si="178"/>
        <v>0</v>
      </c>
      <c r="AW306" s="1792">
        <f t="shared" si="179"/>
        <v>0</v>
      </c>
      <c r="AX306" s="179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22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2214"/>
      <c r="AV307" s="1792">
        <f t="shared" si="178"/>
        <v>0</v>
      </c>
      <c r="AW307" s="1792">
        <f t="shared" si="179"/>
        <v>0</v>
      </c>
      <c r="AX307" s="179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22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2214"/>
      <c r="AV308" s="1792">
        <f t="shared" si="178"/>
        <v>0</v>
      </c>
      <c r="AW308" s="1792">
        <f t="shared" si="179"/>
        <v>0</v>
      </c>
      <c r="AX308" s="179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22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2214"/>
      <c r="AV309" s="1792">
        <f t="shared" si="178"/>
        <v>0</v>
      </c>
      <c r="AW309" s="1792">
        <f t="shared" si="179"/>
        <v>0</v>
      </c>
      <c r="AX309" s="179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22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2214"/>
      <c r="AV310" s="1792">
        <f t="shared" si="178"/>
        <v>0</v>
      </c>
      <c r="AW310" s="1792">
        <f t="shared" si="179"/>
        <v>0</v>
      </c>
      <c r="AX310" s="179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22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2214"/>
      <c r="AV311" s="1792">
        <f t="shared" si="178"/>
        <v>0</v>
      </c>
      <c r="AW311" s="1792">
        <f t="shared" si="179"/>
        <v>0</v>
      </c>
      <c r="AX311" s="179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22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2214"/>
      <c r="AV312" s="1792">
        <f t="shared" si="178"/>
        <v>0</v>
      </c>
      <c r="AW312" s="1792">
        <f t="shared" si="179"/>
        <v>0</v>
      </c>
      <c r="AX312" s="179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22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2214"/>
      <c r="AV313" s="1792">
        <f t="shared" si="178"/>
        <v>0</v>
      </c>
      <c r="AW313" s="1792">
        <f t="shared" si="179"/>
        <v>0</v>
      </c>
      <c r="AX313" s="179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22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2214"/>
      <c r="AV314" s="1792">
        <f t="shared" si="178"/>
        <v>0</v>
      </c>
      <c r="AW314" s="1792">
        <f t="shared" si="179"/>
        <v>0</v>
      </c>
      <c r="AX314" s="179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22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2214"/>
      <c r="AV315" s="1792">
        <f t="shared" si="178"/>
        <v>0</v>
      </c>
      <c r="AW315" s="1792">
        <f t="shared" si="179"/>
        <v>0</v>
      </c>
      <c r="AX315" s="179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22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2214"/>
      <c r="AV316" s="1792">
        <f t="shared" si="178"/>
        <v>0</v>
      </c>
      <c r="AW316" s="1792">
        <f t="shared" si="179"/>
        <v>0</v>
      </c>
      <c r="AX316" s="179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22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2214"/>
      <c r="AV317" s="1792">
        <f t="shared" si="178"/>
        <v>0</v>
      </c>
      <c r="AW317" s="1792">
        <f t="shared" si="179"/>
        <v>0</v>
      </c>
      <c r="AX317" s="179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22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2214"/>
      <c r="AV318" s="1792">
        <f t="shared" si="178"/>
        <v>0</v>
      </c>
      <c r="AW318" s="1792">
        <f t="shared" si="179"/>
        <v>0</v>
      </c>
      <c r="AX318" s="179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22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2214"/>
      <c r="AV319" s="1792">
        <f t="shared" si="178"/>
        <v>0</v>
      </c>
      <c r="AW319" s="1792">
        <f t="shared" si="179"/>
        <v>0</v>
      </c>
      <c r="AX319" s="179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22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2214"/>
      <c r="AV320" s="1792">
        <f t="shared" si="178"/>
        <v>0</v>
      </c>
      <c r="AW320" s="1792">
        <f t="shared" si="179"/>
        <v>0</v>
      </c>
      <c r="AX320" s="179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22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2214"/>
      <c r="AV321" s="1792">
        <f t="shared" si="178"/>
        <v>0</v>
      </c>
      <c r="AW321" s="1792">
        <f t="shared" si="179"/>
        <v>0</v>
      </c>
      <c r="AX321" s="179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22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2214"/>
      <c r="AV322" s="1792">
        <f t="shared" si="178"/>
        <v>0</v>
      </c>
      <c r="AW322" s="1792">
        <f t="shared" si="179"/>
        <v>0</v>
      </c>
      <c r="AX322" s="179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22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2214"/>
      <c r="AV323" s="1792">
        <f t="shared" si="178"/>
        <v>0</v>
      </c>
      <c r="AW323" s="1792">
        <f t="shared" si="179"/>
        <v>0</v>
      </c>
      <c r="AX323" s="179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22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2214"/>
      <c r="AV324" s="1792">
        <f t="shared" si="178"/>
        <v>0</v>
      </c>
      <c r="AW324" s="1792">
        <f t="shared" si="179"/>
        <v>0</v>
      </c>
      <c r="AX324" s="179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22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2214"/>
      <c r="AV325" s="1792">
        <f t="shared" si="178"/>
        <v>0</v>
      </c>
      <c r="AW325" s="1792">
        <f t="shared" si="179"/>
        <v>0</v>
      </c>
      <c r="AX325" s="179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22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2214"/>
      <c r="AV326" s="1792">
        <f t="shared" si="178"/>
        <v>0</v>
      </c>
      <c r="AW326" s="1792">
        <f t="shared" si="179"/>
        <v>0</v>
      </c>
      <c r="AX326" s="179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22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2214"/>
      <c r="AV327" s="1792">
        <f t="shared" si="178"/>
        <v>0</v>
      </c>
      <c r="AW327" s="1792">
        <f t="shared" si="179"/>
        <v>0</v>
      </c>
      <c r="AX327" s="179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22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2214"/>
      <c r="AV328" s="1792">
        <f t="shared" si="178"/>
        <v>0</v>
      </c>
      <c r="AW328" s="1792">
        <f t="shared" si="179"/>
        <v>0</v>
      </c>
      <c r="AX328" s="179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22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2214"/>
      <c r="AV329" s="1792">
        <f t="shared" si="178"/>
        <v>0</v>
      </c>
      <c r="AW329" s="1792">
        <f t="shared" si="179"/>
        <v>0</v>
      </c>
      <c r="AX329" s="179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22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2214"/>
      <c r="AV330" s="1792">
        <f t="shared" si="178"/>
        <v>0</v>
      </c>
      <c r="AW330" s="1792">
        <f t="shared" si="179"/>
        <v>0</v>
      </c>
      <c r="AX330" s="179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22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2214"/>
      <c r="AV331" s="1792">
        <f t="shared" si="178"/>
        <v>0</v>
      </c>
      <c r="AW331" s="1792">
        <f t="shared" si="179"/>
        <v>0</v>
      </c>
      <c r="AX331" s="179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22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2214"/>
      <c r="AV332" s="1792">
        <f t="shared" si="178"/>
        <v>0</v>
      </c>
      <c r="AW332" s="1792">
        <f t="shared" si="179"/>
        <v>0</v>
      </c>
      <c r="AX332" s="179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22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2214"/>
      <c r="AV333" s="1792">
        <f t="shared" si="178"/>
        <v>0</v>
      </c>
      <c r="AW333" s="1792">
        <f t="shared" si="179"/>
        <v>0</v>
      </c>
      <c r="AX333" s="179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22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2214"/>
      <c r="AV334" s="1792">
        <f t="shared" si="178"/>
        <v>0</v>
      </c>
      <c r="AW334" s="1792">
        <f t="shared" si="179"/>
        <v>0</v>
      </c>
      <c r="AX334" s="179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22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2214"/>
      <c r="AV335" s="1792">
        <f t="shared" ref="AV335:AV366" si="207">A335</f>
        <v>0</v>
      </c>
      <c r="AW335" s="1792">
        <f t="shared" ref="AW335:AW366" si="208">B335</f>
        <v>0</v>
      </c>
      <c r="AX335" s="179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22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2214"/>
      <c r="AV336" s="1792">
        <f t="shared" si="207"/>
        <v>0</v>
      </c>
      <c r="AW336" s="1792">
        <f t="shared" si="208"/>
        <v>0</v>
      </c>
      <c r="AX336" s="179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22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2214"/>
      <c r="AV337" s="1792">
        <f t="shared" si="207"/>
        <v>0</v>
      </c>
      <c r="AW337" s="1792">
        <f t="shared" si="208"/>
        <v>0</v>
      </c>
      <c r="AX337" s="179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22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2214"/>
      <c r="AV338" s="1792">
        <f t="shared" si="207"/>
        <v>0</v>
      </c>
      <c r="AW338" s="1792">
        <f t="shared" si="208"/>
        <v>0</v>
      </c>
      <c r="AX338" s="179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22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2214"/>
      <c r="AV339" s="1792">
        <f t="shared" si="207"/>
        <v>0</v>
      </c>
      <c r="AW339" s="1792">
        <f t="shared" si="208"/>
        <v>0</v>
      </c>
      <c r="AX339" s="179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22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2214"/>
      <c r="AV340" s="1792">
        <f t="shared" si="207"/>
        <v>0</v>
      </c>
      <c r="AW340" s="1792">
        <f t="shared" si="208"/>
        <v>0</v>
      </c>
      <c r="AX340" s="179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22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2214"/>
      <c r="AV341" s="1792">
        <f t="shared" si="207"/>
        <v>0</v>
      </c>
      <c r="AW341" s="1792">
        <f t="shared" si="208"/>
        <v>0</v>
      </c>
      <c r="AX341" s="179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22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2214"/>
      <c r="AV342" s="1792">
        <f t="shared" si="207"/>
        <v>0</v>
      </c>
      <c r="AW342" s="1792">
        <f t="shared" si="208"/>
        <v>0</v>
      </c>
      <c r="AX342" s="179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22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2214"/>
      <c r="AV343" s="1792">
        <f t="shared" si="207"/>
        <v>0</v>
      </c>
      <c r="AW343" s="1792">
        <f t="shared" si="208"/>
        <v>0</v>
      </c>
      <c r="AX343" s="179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22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2214"/>
      <c r="AV344" s="1792">
        <f t="shared" si="207"/>
        <v>0</v>
      </c>
      <c r="AW344" s="1792">
        <f t="shared" si="208"/>
        <v>0</v>
      </c>
      <c r="AX344" s="179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22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2214"/>
      <c r="AV345" s="1792">
        <f t="shared" si="207"/>
        <v>0</v>
      </c>
      <c r="AW345" s="1792">
        <f t="shared" si="208"/>
        <v>0</v>
      </c>
      <c r="AX345" s="179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22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2214"/>
      <c r="AV346" s="1792">
        <f t="shared" si="207"/>
        <v>0</v>
      </c>
      <c r="AW346" s="1792">
        <f t="shared" si="208"/>
        <v>0</v>
      </c>
      <c r="AX346" s="179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22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2214"/>
      <c r="AV347" s="1792">
        <f t="shared" si="207"/>
        <v>0</v>
      </c>
      <c r="AW347" s="1792">
        <f t="shared" si="208"/>
        <v>0</v>
      </c>
      <c r="AX347" s="179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22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2214"/>
      <c r="AV348" s="1792">
        <f t="shared" si="207"/>
        <v>0</v>
      </c>
      <c r="AW348" s="1792">
        <f t="shared" si="208"/>
        <v>0</v>
      </c>
      <c r="AX348" s="179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22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2214"/>
      <c r="AV349" s="1792">
        <f t="shared" si="207"/>
        <v>0</v>
      </c>
      <c r="AW349" s="1792">
        <f t="shared" si="208"/>
        <v>0</v>
      </c>
      <c r="AX349" s="179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22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2214"/>
      <c r="AV350" s="1792">
        <f t="shared" si="207"/>
        <v>0</v>
      </c>
      <c r="AW350" s="1792">
        <f t="shared" si="208"/>
        <v>0</v>
      </c>
      <c r="AX350" s="179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22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2214"/>
      <c r="AV351" s="1792">
        <f t="shared" si="207"/>
        <v>0</v>
      </c>
      <c r="AW351" s="1792">
        <f t="shared" si="208"/>
        <v>0</v>
      </c>
      <c r="AX351" s="179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22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2214"/>
      <c r="AV352" s="1792">
        <f t="shared" si="207"/>
        <v>0</v>
      </c>
      <c r="AW352" s="1792">
        <f t="shared" si="208"/>
        <v>0</v>
      </c>
      <c r="AX352" s="179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22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2214"/>
      <c r="AV353" s="1792">
        <f t="shared" si="207"/>
        <v>0</v>
      </c>
      <c r="AW353" s="1792">
        <f t="shared" si="208"/>
        <v>0</v>
      </c>
      <c r="AX353" s="179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22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2214"/>
      <c r="AV354" s="1792">
        <f t="shared" si="207"/>
        <v>0</v>
      </c>
      <c r="AW354" s="1792">
        <f t="shared" si="208"/>
        <v>0</v>
      </c>
      <c r="AX354" s="179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22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2214"/>
      <c r="AV355" s="1792">
        <f t="shared" si="207"/>
        <v>0</v>
      </c>
      <c r="AW355" s="1792">
        <f t="shared" si="208"/>
        <v>0</v>
      </c>
      <c r="AX355" s="179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22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2214"/>
      <c r="AV356" s="1792">
        <f t="shared" si="207"/>
        <v>0</v>
      </c>
      <c r="AW356" s="1792">
        <f t="shared" si="208"/>
        <v>0</v>
      </c>
      <c r="AX356" s="179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22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2214"/>
      <c r="AV357" s="1792">
        <f t="shared" si="207"/>
        <v>0</v>
      </c>
      <c r="AW357" s="1792">
        <f t="shared" si="208"/>
        <v>0</v>
      </c>
      <c r="AX357" s="179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22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2214"/>
      <c r="AV358" s="1792">
        <f t="shared" si="207"/>
        <v>0</v>
      </c>
      <c r="AW358" s="1792">
        <f t="shared" si="208"/>
        <v>0</v>
      </c>
      <c r="AX358" s="179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22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2214"/>
      <c r="AV359" s="1792">
        <f t="shared" si="207"/>
        <v>0</v>
      </c>
      <c r="AW359" s="1792">
        <f t="shared" si="208"/>
        <v>0</v>
      </c>
      <c r="AX359" s="179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22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2214"/>
      <c r="AV360" s="1792">
        <f t="shared" si="207"/>
        <v>0</v>
      </c>
      <c r="AW360" s="1792">
        <f t="shared" si="208"/>
        <v>0</v>
      </c>
      <c r="AX360" s="179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22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2214"/>
      <c r="AV361" s="1792">
        <f t="shared" si="207"/>
        <v>0</v>
      </c>
      <c r="AW361" s="1792">
        <f t="shared" si="208"/>
        <v>0</v>
      </c>
      <c r="AX361" s="179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22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2214"/>
      <c r="AV362" s="1792">
        <f t="shared" si="207"/>
        <v>0</v>
      </c>
      <c r="AW362" s="1792">
        <f t="shared" si="208"/>
        <v>0</v>
      </c>
      <c r="AX362" s="179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22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2214"/>
      <c r="AV363" s="1792">
        <f t="shared" si="207"/>
        <v>0</v>
      </c>
      <c r="AW363" s="1792">
        <f t="shared" si="208"/>
        <v>0</v>
      </c>
      <c r="AX363" s="179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22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2214"/>
      <c r="AV364" s="1792">
        <f t="shared" si="207"/>
        <v>0</v>
      </c>
      <c r="AW364" s="1792">
        <f t="shared" si="208"/>
        <v>0</v>
      </c>
      <c r="AX364" s="179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22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2214"/>
      <c r="AV365" s="1792">
        <f t="shared" si="207"/>
        <v>0</v>
      </c>
      <c r="AW365" s="1792">
        <f t="shared" si="208"/>
        <v>0</v>
      </c>
      <c r="AX365" s="179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22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2214"/>
      <c r="AV366" s="1792">
        <f t="shared" si="207"/>
        <v>0</v>
      </c>
      <c r="AW366" s="1792">
        <f t="shared" si="208"/>
        <v>0</v>
      </c>
      <c r="AX366" s="179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22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2214"/>
      <c r="AV367" s="1792">
        <f t="shared" ref="AV367:AV397" si="236">A367</f>
        <v>0</v>
      </c>
      <c r="AW367" s="1792">
        <f t="shared" ref="AW367:AW397" si="237">B367</f>
        <v>0</v>
      </c>
      <c r="AX367" s="179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22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2214"/>
      <c r="AV368" s="1792">
        <f t="shared" si="236"/>
        <v>0</v>
      </c>
      <c r="AW368" s="1792">
        <f t="shared" si="237"/>
        <v>0</v>
      </c>
      <c r="AX368" s="179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22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2214"/>
      <c r="AV369" s="1792">
        <f t="shared" si="236"/>
        <v>0</v>
      </c>
      <c r="AW369" s="1792">
        <f t="shared" si="237"/>
        <v>0</v>
      </c>
      <c r="AX369" s="179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22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2214"/>
      <c r="AV370" s="1792">
        <f t="shared" si="236"/>
        <v>0</v>
      </c>
      <c r="AW370" s="1792">
        <f t="shared" si="237"/>
        <v>0</v>
      </c>
      <c r="AX370" s="179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22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2214"/>
      <c r="AV371" s="1792">
        <f t="shared" si="236"/>
        <v>0</v>
      </c>
      <c r="AW371" s="1792">
        <f t="shared" si="237"/>
        <v>0</v>
      </c>
      <c r="AX371" s="179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22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2214"/>
      <c r="AV372" s="1792">
        <f t="shared" si="236"/>
        <v>0</v>
      </c>
      <c r="AW372" s="1792">
        <f t="shared" si="237"/>
        <v>0</v>
      </c>
      <c r="AX372" s="179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22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2214"/>
      <c r="AV373" s="1792">
        <f t="shared" si="236"/>
        <v>0</v>
      </c>
      <c r="AW373" s="1792">
        <f t="shared" si="237"/>
        <v>0</v>
      </c>
      <c r="AX373" s="179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22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2214"/>
      <c r="AV374" s="1792">
        <f t="shared" si="236"/>
        <v>0</v>
      </c>
      <c r="AW374" s="1792">
        <f t="shared" si="237"/>
        <v>0</v>
      </c>
      <c r="AX374" s="179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22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2214"/>
      <c r="AV375" s="1792">
        <f t="shared" si="236"/>
        <v>0</v>
      </c>
      <c r="AW375" s="1792">
        <f t="shared" si="237"/>
        <v>0</v>
      </c>
      <c r="AX375" s="179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22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2214"/>
      <c r="AV376" s="1792">
        <f t="shared" si="236"/>
        <v>0</v>
      </c>
      <c r="AW376" s="1792">
        <f t="shared" si="237"/>
        <v>0</v>
      </c>
      <c r="AX376" s="179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22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2214"/>
      <c r="AV377" s="1792">
        <f t="shared" si="236"/>
        <v>0</v>
      </c>
      <c r="AW377" s="1792">
        <f t="shared" si="237"/>
        <v>0</v>
      </c>
      <c r="AX377" s="179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22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2214"/>
      <c r="AV378" s="1792">
        <f t="shared" si="236"/>
        <v>0</v>
      </c>
      <c r="AW378" s="1792">
        <f t="shared" si="237"/>
        <v>0</v>
      </c>
      <c r="AX378" s="179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22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2214"/>
      <c r="AV379" s="1792">
        <f t="shared" si="236"/>
        <v>0</v>
      </c>
      <c r="AW379" s="1792">
        <f t="shared" si="237"/>
        <v>0</v>
      </c>
      <c r="AX379" s="179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22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2214"/>
      <c r="AV380" s="1792">
        <f t="shared" si="236"/>
        <v>0</v>
      </c>
      <c r="AW380" s="1792">
        <f t="shared" si="237"/>
        <v>0</v>
      </c>
      <c r="AX380" s="179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22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2214"/>
      <c r="AV381" s="1792">
        <f t="shared" si="236"/>
        <v>0</v>
      </c>
      <c r="AW381" s="1792">
        <f t="shared" si="237"/>
        <v>0</v>
      </c>
      <c r="AX381" s="179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22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2214"/>
      <c r="AV382" s="1792">
        <f t="shared" si="236"/>
        <v>0</v>
      </c>
      <c r="AW382" s="1792">
        <f t="shared" si="237"/>
        <v>0</v>
      </c>
      <c r="AX382" s="179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22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2214"/>
      <c r="AV383" s="1792">
        <f t="shared" si="236"/>
        <v>0</v>
      </c>
      <c r="AW383" s="1792">
        <f t="shared" si="237"/>
        <v>0</v>
      </c>
      <c r="AX383" s="179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22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2214"/>
      <c r="AV384" s="1792">
        <f t="shared" si="236"/>
        <v>0</v>
      </c>
      <c r="AW384" s="1792">
        <f t="shared" si="237"/>
        <v>0</v>
      </c>
      <c r="AX384" s="179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22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2214"/>
      <c r="AV385" s="1792">
        <f t="shared" si="236"/>
        <v>0</v>
      </c>
      <c r="AW385" s="1792">
        <f t="shared" si="237"/>
        <v>0</v>
      </c>
      <c r="AX385" s="179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22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2214"/>
      <c r="AV386" s="1792">
        <f t="shared" si="236"/>
        <v>0</v>
      </c>
      <c r="AW386" s="1792">
        <f t="shared" si="237"/>
        <v>0</v>
      </c>
      <c r="AX386" s="179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22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2214"/>
      <c r="AV387" s="1792">
        <f t="shared" si="236"/>
        <v>0</v>
      </c>
      <c r="AW387" s="1792">
        <f t="shared" si="237"/>
        <v>0</v>
      </c>
      <c r="AX387" s="179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22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2214"/>
      <c r="AV388" s="1792">
        <f t="shared" si="236"/>
        <v>0</v>
      </c>
      <c r="AW388" s="1792">
        <f t="shared" si="237"/>
        <v>0</v>
      </c>
      <c r="AX388" s="179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22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2214"/>
      <c r="AV389" s="1792">
        <f t="shared" si="236"/>
        <v>0</v>
      </c>
      <c r="AW389" s="1792">
        <f t="shared" si="237"/>
        <v>0</v>
      </c>
      <c r="AX389" s="179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22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2214"/>
      <c r="AV390" s="1792">
        <f t="shared" si="236"/>
        <v>0</v>
      </c>
      <c r="AW390" s="1792">
        <f t="shared" si="237"/>
        <v>0</v>
      </c>
      <c r="AX390" s="179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22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2214"/>
      <c r="AV391" s="1792">
        <f t="shared" si="236"/>
        <v>0</v>
      </c>
      <c r="AW391" s="1792">
        <f t="shared" si="237"/>
        <v>0</v>
      </c>
      <c r="AX391" s="179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22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2214"/>
      <c r="AV392" s="1792">
        <f t="shared" si="236"/>
        <v>0</v>
      </c>
      <c r="AW392" s="1792">
        <f t="shared" si="237"/>
        <v>0</v>
      </c>
      <c r="AX392" s="179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22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2214"/>
      <c r="AV393" s="1792">
        <f t="shared" si="236"/>
        <v>0</v>
      </c>
      <c r="AW393" s="1792">
        <f t="shared" si="237"/>
        <v>0</v>
      </c>
      <c r="AX393" s="179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22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2214"/>
      <c r="AV394" s="1792">
        <f t="shared" si="236"/>
        <v>0</v>
      </c>
      <c r="AW394" s="1792">
        <f t="shared" si="237"/>
        <v>0</v>
      </c>
      <c r="AX394" s="179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221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2149"/>
      <c r="AV395" s="1792">
        <f t="shared" si="236"/>
        <v>0</v>
      </c>
      <c r="AW395" s="1792">
        <f t="shared" si="237"/>
        <v>0</v>
      </c>
      <c r="AX395" s="179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221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2149"/>
      <c r="AV396" s="1792">
        <f t="shared" si="236"/>
        <v>0</v>
      </c>
      <c r="AW396" s="1792">
        <f t="shared" si="237"/>
        <v>0</v>
      </c>
      <c r="AX396" s="179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221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2149"/>
      <c r="AV397" s="1792">
        <f t="shared" si="236"/>
        <v>0</v>
      </c>
      <c r="AW397" s="1792">
        <f t="shared" si="237"/>
        <v>0</v>
      </c>
      <c r="AX397" s="179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22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2214"/>
      <c r="AV398" s="1792">
        <f t="shared" ref="AV398:AV492" si="243">A398</f>
        <v>0</v>
      </c>
      <c r="AW398" s="1792">
        <f t="shared" ref="AW398:AW492" si="244">B398</f>
        <v>0</v>
      </c>
      <c r="AX398" s="179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22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2214"/>
      <c r="AV399" s="1792">
        <f t="shared" si="243"/>
        <v>0</v>
      </c>
      <c r="AW399" s="1792">
        <f t="shared" si="244"/>
        <v>0</v>
      </c>
      <c r="AX399" s="179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22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2214"/>
      <c r="AV400" s="1792">
        <f t="shared" si="243"/>
        <v>0</v>
      </c>
      <c r="AW400" s="1792">
        <f t="shared" si="244"/>
        <v>0</v>
      </c>
      <c r="AX400" s="179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22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2214"/>
      <c r="AV401" s="1792">
        <f t="shared" si="243"/>
        <v>0</v>
      </c>
      <c r="AW401" s="1792">
        <f t="shared" si="244"/>
        <v>0</v>
      </c>
      <c r="AX401" s="179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22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2214"/>
      <c r="AV402" s="1792">
        <f t="shared" si="243"/>
        <v>0</v>
      </c>
      <c r="AW402" s="1792">
        <f t="shared" si="244"/>
        <v>0</v>
      </c>
      <c r="AX402" s="179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22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2214"/>
      <c r="AV403" s="1792">
        <f t="shared" si="243"/>
        <v>0</v>
      </c>
      <c r="AW403" s="1792">
        <f t="shared" si="244"/>
        <v>0</v>
      </c>
      <c r="AX403" s="179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22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2214"/>
      <c r="AV404" s="1792">
        <f t="shared" si="243"/>
        <v>0</v>
      </c>
      <c r="AW404" s="1792">
        <f t="shared" si="244"/>
        <v>0</v>
      </c>
      <c r="AX404" s="179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22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2214"/>
      <c r="AV405" s="1792">
        <f t="shared" si="243"/>
        <v>0</v>
      </c>
      <c r="AW405" s="1792">
        <f t="shared" si="244"/>
        <v>0</v>
      </c>
      <c r="AX405" s="179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22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2214"/>
      <c r="AV406" s="1792">
        <f t="shared" si="243"/>
        <v>0</v>
      </c>
      <c r="AW406" s="1792">
        <f t="shared" si="244"/>
        <v>0</v>
      </c>
      <c r="AX406" s="179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22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2214"/>
      <c r="AV407" s="1792">
        <f t="shared" si="243"/>
        <v>0</v>
      </c>
      <c r="AW407" s="1792">
        <f t="shared" si="244"/>
        <v>0</v>
      </c>
      <c r="AX407" s="179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22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2214"/>
      <c r="AV408" s="1792">
        <f t="shared" si="243"/>
        <v>0</v>
      </c>
      <c r="AW408" s="1792">
        <f t="shared" si="244"/>
        <v>0</v>
      </c>
      <c r="AX408" s="179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22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2214"/>
      <c r="AV409" s="1792">
        <f t="shared" si="243"/>
        <v>0</v>
      </c>
      <c r="AW409" s="1792">
        <f t="shared" si="244"/>
        <v>0</v>
      </c>
      <c r="AX409" s="179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22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2214"/>
      <c r="AV410" s="1792">
        <f t="shared" si="243"/>
        <v>0</v>
      </c>
      <c r="AW410" s="1792">
        <f t="shared" si="244"/>
        <v>0</v>
      </c>
      <c r="AX410" s="179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22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2214"/>
      <c r="AV411" s="1792">
        <f t="shared" si="243"/>
        <v>0</v>
      </c>
      <c r="AW411" s="1792">
        <f t="shared" si="244"/>
        <v>0</v>
      </c>
      <c r="AX411" s="179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22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2214"/>
      <c r="AV412" s="1792">
        <f t="shared" si="243"/>
        <v>0</v>
      </c>
      <c r="AW412" s="1792">
        <f t="shared" si="244"/>
        <v>0</v>
      </c>
      <c r="AX412" s="179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22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2214"/>
      <c r="AV413" s="1792">
        <f t="shared" si="243"/>
        <v>0</v>
      </c>
      <c r="AW413" s="1792">
        <f t="shared" si="244"/>
        <v>0</v>
      </c>
      <c r="AX413" s="179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22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2214"/>
      <c r="AV414" s="1792">
        <f t="shared" si="243"/>
        <v>0</v>
      </c>
      <c r="AW414" s="1792">
        <f t="shared" si="244"/>
        <v>0</v>
      </c>
      <c r="AX414" s="179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22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2214"/>
      <c r="AV415" s="1792">
        <f t="shared" si="243"/>
        <v>0</v>
      </c>
      <c r="AW415" s="1792">
        <f t="shared" si="244"/>
        <v>0</v>
      </c>
      <c r="AX415" s="179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22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2214"/>
      <c r="AV416" s="1792">
        <f t="shared" si="243"/>
        <v>0</v>
      </c>
      <c r="AW416" s="1792">
        <f t="shared" si="244"/>
        <v>0</v>
      </c>
      <c r="AX416" s="179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22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2214"/>
      <c r="AV417" s="1792">
        <f t="shared" si="243"/>
        <v>0</v>
      </c>
      <c r="AW417" s="1792">
        <f t="shared" si="244"/>
        <v>0</v>
      </c>
      <c r="AX417" s="179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22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2214"/>
      <c r="AV418" s="1792">
        <f t="shared" si="243"/>
        <v>0</v>
      </c>
      <c r="AW418" s="1792">
        <f t="shared" si="244"/>
        <v>0</v>
      </c>
      <c r="AX418" s="179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22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2214"/>
      <c r="AV419" s="1792">
        <f t="shared" si="243"/>
        <v>0</v>
      </c>
      <c r="AW419" s="1792">
        <f t="shared" si="244"/>
        <v>0</v>
      </c>
      <c r="AX419" s="179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22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2214"/>
      <c r="AV420" s="1792">
        <f t="shared" si="243"/>
        <v>0</v>
      </c>
      <c r="AW420" s="1792">
        <f t="shared" si="244"/>
        <v>0</v>
      </c>
      <c r="AX420" s="179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22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2214"/>
      <c r="AV421" s="1792">
        <f t="shared" si="243"/>
        <v>0</v>
      </c>
      <c r="AW421" s="1792">
        <f t="shared" si="244"/>
        <v>0</v>
      </c>
      <c r="AX421" s="179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22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2214"/>
      <c r="AV422" s="1792">
        <f t="shared" si="243"/>
        <v>0</v>
      </c>
      <c r="AW422" s="1792">
        <f t="shared" si="244"/>
        <v>0</v>
      </c>
      <c r="AX422" s="179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22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2214"/>
      <c r="AV423" s="1792">
        <f t="shared" si="243"/>
        <v>0</v>
      </c>
      <c r="AW423" s="1792">
        <f t="shared" si="244"/>
        <v>0</v>
      </c>
      <c r="AX423" s="179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22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2214"/>
      <c r="AV424" s="1792">
        <f t="shared" si="243"/>
        <v>0</v>
      </c>
      <c r="AW424" s="1792">
        <f t="shared" si="244"/>
        <v>0</v>
      </c>
      <c r="AX424" s="179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22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2214"/>
      <c r="AV425" s="1792">
        <f t="shared" si="243"/>
        <v>0</v>
      </c>
      <c r="AW425" s="1792">
        <f t="shared" si="244"/>
        <v>0</v>
      </c>
      <c r="AX425" s="179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22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2214"/>
      <c r="AV426" s="1792">
        <f t="shared" si="243"/>
        <v>0</v>
      </c>
      <c r="AW426" s="1792">
        <f t="shared" si="244"/>
        <v>0</v>
      </c>
      <c r="AX426" s="179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22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2214"/>
      <c r="AV427" s="1792">
        <f t="shared" si="243"/>
        <v>0</v>
      </c>
      <c r="AW427" s="1792">
        <f t="shared" si="244"/>
        <v>0</v>
      </c>
      <c r="AX427" s="179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22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2214"/>
      <c r="AV428" s="1792">
        <f t="shared" si="243"/>
        <v>0</v>
      </c>
      <c r="AW428" s="1792">
        <f t="shared" si="244"/>
        <v>0</v>
      </c>
      <c r="AX428" s="179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22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2214"/>
      <c r="AV429" s="1792">
        <f t="shared" si="243"/>
        <v>0</v>
      </c>
      <c r="AW429" s="1792">
        <f t="shared" si="244"/>
        <v>0</v>
      </c>
      <c r="AX429" s="179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22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2214"/>
      <c r="AV430" s="1792">
        <f t="shared" si="243"/>
        <v>0</v>
      </c>
      <c r="AW430" s="1792">
        <f t="shared" si="244"/>
        <v>0</v>
      </c>
      <c r="AX430" s="179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22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2214"/>
      <c r="AV431" s="1792">
        <f t="shared" si="243"/>
        <v>0</v>
      </c>
      <c r="AW431" s="1792">
        <f t="shared" si="244"/>
        <v>0</v>
      </c>
      <c r="AX431" s="179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22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2214"/>
      <c r="AV432" s="1792">
        <f t="shared" si="243"/>
        <v>0</v>
      </c>
      <c r="AW432" s="1792">
        <f t="shared" si="244"/>
        <v>0</v>
      </c>
      <c r="AX432" s="179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22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2214"/>
      <c r="AV433" s="1792">
        <f t="shared" si="243"/>
        <v>0</v>
      </c>
      <c r="AW433" s="1792">
        <f t="shared" si="244"/>
        <v>0</v>
      </c>
      <c r="AX433" s="179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22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2214"/>
      <c r="AV434" s="1792">
        <f t="shared" si="243"/>
        <v>0</v>
      </c>
      <c r="AW434" s="1792">
        <f t="shared" si="244"/>
        <v>0</v>
      </c>
      <c r="AX434" s="179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22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2214"/>
      <c r="AV435" s="1792">
        <f t="shared" si="243"/>
        <v>0</v>
      </c>
      <c r="AW435" s="1792">
        <f t="shared" si="244"/>
        <v>0</v>
      </c>
      <c r="AX435" s="179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22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2214"/>
      <c r="AV436" s="1792">
        <f t="shared" si="243"/>
        <v>0</v>
      </c>
      <c r="AW436" s="1792">
        <f t="shared" si="244"/>
        <v>0</v>
      </c>
      <c r="AX436" s="179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22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2214"/>
      <c r="AV437" s="1792">
        <f t="shared" si="243"/>
        <v>0</v>
      </c>
      <c r="AW437" s="1792">
        <f t="shared" si="244"/>
        <v>0</v>
      </c>
      <c r="AX437" s="179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22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2214"/>
      <c r="AV438" s="1792">
        <f t="shared" si="243"/>
        <v>0</v>
      </c>
      <c r="AW438" s="1792">
        <f t="shared" si="244"/>
        <v>0</v>
      </c>
      <c r="AX438" s="179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22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2214"/>
      <c r="AV439" s="1792">
        <f t="shared" si="243"/>
        <v>0</v>
      </c>
      <c r="AW439" s="1792">
        <f t="shared" si="244"/>
        <v>0</v>
      </c>
      <c r="AX439" s="179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22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2214"/>
      <c r="AV440" s="1792">
        <f t="shared" si="243"/>
        <v>0</v>
      </c>
      <c r="AW440" s="1792">
        <f t="shared" si="244"/>
        <v>0</v>
      </c>
      <c r="AX440" s="179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22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2214"/>
      <c r="AV441" s="1792">
        <f t="shared" si="243"/>
        <v>0</v>
      </c>
      <c r="AW441" s="1792">
        <f t="shared" si="244"/>
        <v>0</v>
      </c>
      <c r="AX441" s="179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22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2214"/>
      <c r="AV442" s="1792">
        <f t="shared" si="243"/>
        <v>0</v>
      </c>
      <c r="AW442" s="1792">
        <f t="shared" si="244"/>
        <v>0</v>
      </c>
      <c r="AX442" s="179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22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2214"/>
      <c r="AV443" s="1792">
        <f t="shared" si="243"/>
        <v>0</v>
      </c>
      <c r="AW443" s="1792">
        <f t="shared" si="244"/>
        <v>0</v>
      </c>
      <c r="AX443" s="179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22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2214"/>
      <c r="AV444" s="1792">
        <f t="shared" si="243"/>
        <v>0</v>
      </c>
      <c r="AW444" s="1792">
        <f t="shared" si="244"/>
        <v>0</v>
      </c>
      <c r="AX444" s="179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22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2214"/>
      <c r="AV445" s="1792">
        <f t="shared" si="243"/>
        <v>0</v>
      </c>
      <c r="AW445" s="1792">
        <f t="shared" si="244"/>
        <v>0</v>
      </c>
      <c r="AX445" s="179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22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2214"/>
      <c r="AV446" s="1792">
        <f t="shared" si="243"/>
        <v>0</v>
      </c>
      <c r="AW446" s="1792">
        <f t="shared" si="244"/>
        <v>0</v>
      </c>
      <c r="AX446" s="179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22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2214"/>
      <c r="AV447" s="1792">
        <f t="shared" si="243"/>
        <v>0</v>
      </c>
      <c r="AW447" s="1792">
        <f t="shared" si="244"/>
        <v>0</v>
      </c>
      <c r="AX447" s="179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22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2214"/>
      <c r="AV448" s="1792">
        <f t="shared" si="243"/>
        <v>0</v>
      </c>
      <c r="AW448" s="1792">
        <f t="shared" si="244"/>
        <v>0</v>
      </c>
      <c r="AX448" s="179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22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2214"/>
      <c r="AV449" s="1792">
        <f t="shared" si="243"/>
        <v>0</v>
      </c>
      <c r="AW449" s="1792">
        <f t="shared" si="244"/>
        <v>0</v>
      </c>
      <c r="AX449" s="179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22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2214"/>
      <c r="AV450" s="1792">
        <f t="shared" si="243"/>
        <v>0</v>
      </c>
      <c r="AW450" s="1792">
        <f t="shared" si="244"/>
        <v>0</v>
      </c>
      <c r="AX450" s="179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22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2214"/>
      <c r="AV451" s="1792">
        <f t="shared" si="243"/>
        <v>0</v>
      </c>
      <c r="AW451" s="1792">
        <f t="shared" si="244"/>
        <v>0</v>
      </c>
      <c r="AX451" s="179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22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2214"/>
      <c r="AV452" s="1792">
        <f t="shared" si="243"/>
        <v>0</v>
      </c>
      <c r="AW452" s="1792">
        <f t="shared" si="244"/>
        <v>0</v>
      </c>
      <c r="AX452" s="179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22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2214"/>
      <c r="AV453" s="1792">
        <f t="shared" si="243"/>
        <v>0</v>
      </c>
      <c r="AW453" s="1792">
        <f t="shared" si="244"/>
        <v>0</v>
      </c>
      <c r="AX453" s="179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22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2214"/>
      <c r="AV454" s="1792">
        <f t="shared" si="243"/>
        <v>0</v>
      </c>
      <c r="AW454" s="1792">
        <f t="shared" si="244"/>
        <v>0</v>
      </c>
      <c r="AX454" s="179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22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2214"/>
      <c r="AV455" s="1792">
        <f t="shared" si="243"/>
        <v>0</v>
      </c>
      <c r="AW455" s="1792">
        <f t="shared" si="244"/>
        <v>0</v>
      </c>
      <c r="AX455" s="179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22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2214"/>
      <c r="AV456" s="1792">
        <f t="shared" si="243"/>
        <v>0</v>
      </c>
      <c r="AW456" s="1792">
        <f t="shared" si="244"/>
        <v>0</v>
      </c>
      <c r="AX456" s="179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22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2214"/>
      <c r="AV457" s="1792">
        <f t="shared" si="243"/>
        <v>0</v>
      </c>
      <c r="AW457" s="1792">
        <f t="shared" si="244"/>
        <v>0</v>
      </c>
      <c r="AX457" s="179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22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2214"/>
      <c r="AV458" s="1792">
        <f t="shared" si="243"/>
        <v>0</v>
      </c>
      <c r="AW458" s="1792">
        <f t="shared" si="244"/>
        <v>0</v>
      </c>
      <c r="AX458" s="179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22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2214"/>
      <c r="AV459" s="1792">
        <f t="shared" si="243"/>
        <v>0</v>
      </c>
      <c r="AW459" s="1792">
        <f t="shared" si="244"/>
        <v>0</v>
      </c>
      <c r="AX459" s="179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22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2214"/>
      <c r="AV460" s="1792">
        <f t="shared" si="243"/>
        <v>0</v>
      </c>
      <c r="AW460" s="1792">
        <f t="shared" si="244"/>
        <v>0</v>
      </c>
      <c r="AX460" s="179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22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2214"/>
      <c r="AV461" s="1792">
        <f t="shared" si="243"/>
        <v>0</v>
      </c>
      <c r="AW461" s="1792">
        <f t="shared" si="244"/>
        <v>0</v>
      </c>
      <c r="AX461" s="179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22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2214"/>
      <c r="AV462" s="1792">
        <f t="shared" si="243"/>
        <v>0</v>
      </c>
      <c r="AW462" s="1792">
        <f t="shared" si="244"/>
        <v>0</v>
      </c>
      <c r="AX462" s="179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22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2214"/>
      <c r="AV463" s="1792">
        <f t="shared" si="243"/>
        <v>0</v>
      </c>
      <c r="AW463" s="1792">
        <f t="shared" si="244"/>
        <v>0</v>
      </c>
      <c r="AX463" s="179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22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2214"/>
      <c r="AV464" s="1792">
        <f t="shared" si="243"/>
        <v>0</v>
      </c>
      <c r="AW464" s="1792">
        <f t="shared" si="244"/>
        <v>0</v>
      </c>
      <c r="AX464" s="179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22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2214"/>
      <c r="AV465" s="1792">
        <f t="shared" si="243"/>
        <v>0</v>
      </c>
      <c r="AW465" s="1792">
        <f t="shared" si="244"/>
        <v>0</v>
      </c>
      <c r="AX465" s="179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22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2214"/>
      <c r="AV466" s="1792">
        <f t="shared" si="243"/>
        <v>0</v>
      </c>
      <c r="AW466" s="1792">
        <f t="shared" si="244"/>
        <v>0</v>
      </c>
      <c r="AX466" s="179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22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2214"/>
      <c r="AV467" s="1792">
        <f t="shared" si="243"/>
        <v>0</v>
      </c>
      <c r="AW467" s="1792">
        <f t="shared" si="244"/>
        <v>0</v>
      </c>
      <c r="AX467" s="179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22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2214"/>
      <c r="AV468" s="1792">
        <f t="shared" si="243"/>
        <v>0</v>
      </c>
      <c r="AW468" s="1792">
        <f t="shared" si="244"/>
        <v>0</v>
      </c>
      <c r="AX468" s="179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22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2214"/>
      <c r="AV469" s="1792">
        <f t="shared" si="243"/>
        <v>0</v>
      </c>
      <c r="AW469" s="1792">
        <f t="shared" si="244"/>
        <v>0</v>
      </c>
      <c r="AX469" s="179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22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2214"/>
      <c r="AV470" s="1792">
        <f t="shared" si="243"/>
        <v>0</v>
      </c>
      <c r="AW470" s="1792">
        <f t="shared" si="244"/>
        <v>0</v>
      </c>
      <c r="AX470" s="179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22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2214"/>
      <c r="AV471" s="1792">
        <f t="shared" si="243"/>
        <v>0</v>
      </c>
      <c r="AW471" s="1792">
        <f t="shared" si="244"/>
        <v>0</v>
      </c>
      <c r="AX471" s="179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22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2214"/>
      <c r="AV472" s="1792">
        <f t="shared" si="243"/>
        <v>0</v>
      </c>
      <c r="AW472" s="1792">
        <f t="shared" si="244"/>
        <v>0</v>
      </c>
      <c r="AX472" s="179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22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2214"/>
      <c r="AV473" s="1792">
        <f t="shared" si="243"/>
        <v>0</v>
      </c>
      <c r="AW473" s="1792">
        <f t="shared" si="244"/>
        <v>0</v>
      </c>
      <c r="AX473" s="179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22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2214"/>
      <c r="AV474" s="1792">
        <f t="shared" si="243"/>
        <v>0</v>
      </c>
      <c r="AW474" s="1792">
        <f t="shared" si="244"/>
        <v>0</v>
      </c>
      <c r="AX474" s="179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22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2214"/>
      <c r="AV475" s="1792">
        <f t="shared" si="243"/>
        <v>0</v>
      </c>
      <c r="AW475" s="1792">
        <f t="shared" si="244"/>
        <v>0</v>
      </c>
      <c r="AX475" s="179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22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2214"/>
      <c r="AV476" s="1792">
        <f t="shared" si="243"/>
        <v>0</v>
      </c>
      <c r="AW476" s="1792">
        <f t="shared" si="244"/>
        <v>0</v>
      </c>
      <c r="AX476" s="179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22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2214"/>
      <c r="AV477" s="1792">
        <f t="shared" si="243"/>
        <v>0</v>
      </c>
      <c r="AW477" s="1792">
        <f t="shared" si="244"/>
        <v>0</v>
      </c>
      <c r="AX477" s="179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22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2214"/>
      <c r="AV478" s="1792">
        <f t="shared" si="243"/>
        <v>0</v>
      </c>
      <c r="AW478" s="1792">
        <f t="shared" si="244"/>
        <v>0</v>
      </c>
      <c r="AX478" s="179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22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2214"/>
      <c r="AV479" s="1792">
        <f t="shared" si="243"/>
        <v>0</v>
      </c>
      <c r="AW479" s="1792">
        <f t="shared" si="244"/>
        <v>0</v>
      </c>
      <c r="AX479" s="179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22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2214"/>
      <c r="AV480" s="1792">
        <f t="shared" si="243"/>
        <v>0</v>
      </c>
      <c r="AW480" s="1792">
        <f t="shared" si="244"/>
        <v>0</v>
      </c>
      <c r="AX480" s="179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22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2214"/>
      <c r="AV481" s="1792">
        <f t="shared" si="243"/>
        <v>0</v>
      </c>
      <c r="AW481" s="1792">
        <f t="shared" si="244"/>
        <v>0</v>
      </c>
      <c r="AX481" s="179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22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2214"/>
      <c r="AV482" s="1792">
        <f t="shared" si="243"/>
        <v>0</v>
      </c>
      <c r="AW482" s="1792">
        <f t="shared" si="244"/>
        <v>0</v>
      </c>
      <c r="AX482" s="179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22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2214"/>
      <c r="AV483" s="1792">
        <f t="shared" si="243"/>
        <v>0</v>
      </c>
      <c r="AW483" s="1792">
        <f t="shared" si="244"/>
        <v>0</v>
      </c>
      <c r="AX483" s="179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22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2214"/>
      <c r="AV484" s="1792">
        <f t="shared" si="243"/>
        <v>0</v>
      </c>
      <c r="AW484" s="1792">
        <f t="shared" si="244"/>
        <v>0</v>
      </c>
      <c r="AX484" s="179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22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2214"/>
      <c r="AV485" s="1792">
        <f t="shared" si="243"/>
        <v>0</v>
      </c>
      <c r="AW485" s="1792">
        <f t="shared" si="244"/>
        <v>0</v>
      </c>
      <c r="AX485" s="179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22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2214"/>
      <c r="AV486" s="1792">
        <f t="shared" si="243"/>
        <v>0</v>
      </c>
      <c r="AW486" s="1792">
        <f t="shared" si="244"/>
        <v>0</v>
      </c>
      <c r="AX486" s="179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22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2214"/>
      <c r="AV487" s="1792">
        <f t="shared" si="243"/>
        <v>0</v>
      </c>
      <c r="AW487" s="1792">
        <f t="shared" si="244"/>
        <v>0</v>
      </c>
      <c r="AX487" s="179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22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2214"/>
      <c r="AV488" s="1792">
        <f t="shared" si="243"/>
        <v>0</v>
      </c>
      <c r="AW488" s="1792">
        <f t="shared" si="244"/>
        <v>0</v>
      </c>
      <c r="AX488" s="179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22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2214"/>
      <c r="AV489" s="1792">
        <f t="shared" si="243"/>
        <v>0</v>
      </c>
      <c r="AW489" s="1792">
        <f t="shared" si="244"/>
        <v>0</v>
      </c>
      <c r="AX489" s="179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221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2149"/>
      <c r="AV490" s="1792">
        <f t="shared" si="243"/>
        <v>0</v>
      </c>
      <c r="AW490" s="1792">
        <f t="shared" si="244"/>
        <v>0</v>
      </c>
      <c r="AX490" s="179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221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2149"/>
      <c r="AV491" s="1792">
        <f t="shared" si="243"/>
        <v>0</v>
      </c>
      <c r="AW491" s="1792">
        <f t="shared" si="244"/>
        <v>0</v>
      </c>
      <c r="AX491" s="179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221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2149"/>
      <c r="AV492" s="1792">
        <f t="shared" si="243"/>
        <v>0</v>
      </c>
      <c r="AW492" s="1792">
        <f t="shared" si="244"/>
        <v>0</v>
      </c>
      <c r="AX492" s="179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22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2214"/>
      <c r="AV493" s="1792">
        <f t="shared" ref="AV493:AV520" si="294">A493</f>
        <v>0</v>
      </c>
      <c r="AW493" s="1792">
        <f t="shared" ref="AW493:AW520" si="295">B493</f>
        <v>0</v>
      </c>
      <c r="AX493" s="179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22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2214"/>
      <c r="AV494" s="1792">
        <f t="shared" si="294"/>
        <v>0</v>
      </c>
      <c r="AW494" s="1792">
        <f t="shared" si="295"/>
        <v>0</v>
      </c>
      <c r="AX494" s="179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22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2214"/>
      <c r="AV495" s="1792">
        <f t="shared" si="294"/>
        <v>0</v>
      </c>
      <c r="AW495" s="1792">
        <f t="shared" si="295"/>
        <v>0</v>
      </c>
      <c r="AX495" s="179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22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2214"/>
      <c r="AV496" s="1792">
        <f t="shared" si="294"/>
        <v>0</v>
      </c>
      <c r="AW496" s="1792">
        <f t="shared" si="295"/>
        <v>0</v>
      </c>
      <c r="AX496" s="179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22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2214"/>
      <c r="AV497" s="1792">
        <f t="shared" si="294"/>
        <v>0</v>
      </c>
      <c r="AW497" s="1792">
        <f t="shared" si="295"/>
        <v>0</v>
      </c>
      <c r="AX497" s="179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22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2214"/>
      <c r="AV498" s="1792">
        <f t="shared" si="294"/>
        <v>0</v>
      </c>
      <c r="AW498" s="1792">
        <f t="shared" si="295"/>
        <v>0</v>
      </c>
      <c r="AX498" s="179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22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2214"/>
      <c r="AV499" s="1792">
        <f t="shared" si="294"/>
        <v>0</v>
      </c>
      <c r="AW499" s="1792">
        <f t="shared" si="295"/>
        <v>0</v>
      </c>
      <c r="AX499" s="179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22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2214"/>
      <c r="AV500" s="1792">
        <f t="shared" si="294"/>
        <v>0</v>
      </c>
      <c r="AW500" s="1792">
        <f t="shared" si="295"/>
        <v>0</v>
      </c>
      <c r="AX500" s="179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22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2214"/>
      <c r="AV501" s="1792">
        <f t="shared" si="294"/>
        <v>0</v>
      </c>
      <c r="AW501" s="1792">
        <f t="shared" si="295"/>
        <v>0</v>
      </c>
      <c r="AX501" s="179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22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2214"/>
      <c r="AV502" s="1792">
        <f t="shared" si="294"/>
        <v>0</v>
      </c>
      <c r="AW502" s="1792">
        <f t="shared" si="295"/>
        <v>0</v>
      </c>
      <c r="AX502" s="179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22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2214"/>
      <c r="AV503" s="1792">
        <f t="shared" si="294"/>
        <v>0</v>
      </c>
      <c r="AW503" s="1792">
        <f t="shared" si="295"/>
        <v>0</v>
      </c>
      <c r="AX503" s="179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22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2214"/>
      <c r="AV504" s="1792">
        <f t="shared" si="294"/>
        <v>0</v>
      </c>
      <c r="AW504" s="1792">
        <f t="shared" si="295"/>
        <v>0</v>
      </c>
      <c r="AX504" s="179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22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2214"/>
      <c r="AV505" s="1792">
        <f t="shared" si="294"/>
        <v>0</v>
      </c>
      <c r="AW505" s="1792">
        <f t="shared" si="295"/>
        <v>0</v>
      </c>
      <c r="AX505" s="179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22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2214"/>
      <c r="AV506" s="1792">
        <f t="shared" si="294"/>
        <v>0</v>
      </c>
      <c r="AW506" s="1792">
        <f t="shared" si="295"/>
        <v>0</v>
      </c>
      <c r="AX506" s="179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22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2214"/>
      <c r="AV507" s="1792">
        <f t="shared" si="294"/>
        <v>0</v>
      </c>
      <c r="AW507" s="1792">
        <f t="shared" si="295"/>
        <v>0</v>
      </c>
      <c r="AX507" s="179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22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2214"/>
      <c r="AV508" s="1792">
        <f t="shared" si="294"/>
        <v>0</v>
      </c>
      <c r="AW508" s="1792">
        <f t="shared" si="295"/>
        <v>0</v>
      </c>
      <c r="AX508" s="179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22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2214"/>
      <c r="AV509" s="1792">
        <f t="shared" si="294"/>
        <v>0</v>
      </c>
      <c r="AW509" s="1792">
        <f t="shared" si="295"/>
        <v>0</v>
      </c>
      <c r="AX509" s="179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22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2214"/>
      <c r="AV510" s="1792">
        <f t="shared" si="294"/>
        <v>0</v>
      </c>
      <c r="AW510" s="1792">
        <f t="shared" si="295"/>
        <v>0</v>
      </c>
      <c r="AX510" s="179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22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2214"/>
      <c r="AV511" s="1792">
        <f t="shared" si="294"/>
        <v>0</v>
      </c>
      <c r="AW511" s="1792">
        <f t="shared" si="295"/>
        <v>0</v>
      </c>
      <c r="AX511" s="179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22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2214"/>
      <c r="AV512" s="1792">
        <f t="shared" si="294"/>
        <v>0</v>
      </c>
      <c r="AW512" s="1792">
        <f t="shared" si="295"/>
        <v>0</v>
      </c>
      <c r="AX512" s="179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22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2214"/>
      <c r="AV513" s="1792">
        <f t="shared" si="294"/>
        <v>0</v>
      </c>
      <c r="AW513" s="1792">
        <f t="shared" si="295"/>
        <v>0</v>
      </c>
      <c r="AX513" s="179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22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2214"/>
      <c r="AV514" s="1792">
        <f t="shared" si="294"/>
        <v>0</v>
      </c>
      <c r="AW514" s="1792">
        <f t="shared" si="295"/>
        <v>0</v>
      </c>
      <c r="AX514" s="179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22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2214"/>
      <c r="AV515" s="1792">
        <f t="shared" si="294"/>
        <v>0</v>
      </c>
      <c r="AW515" s="1792">
        <f t="shared" si="295"/>
        <v>0</v>
      </c>
      <c r="AX515" s="179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22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2214"/>
      <c r="AV516" s="1792">
        <f t="shared" si="294"/>
        <v>0</v>
      </c>
      <c r="AW516" s="1792">
        <f t="shared" si="295"/>
        <v>0</v>
      </c>
      <c r="AX516" s="179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22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2214"/>
      <c r="AV517" s="1792">
        <f t="shared" si="294"/>
        <v>0</v>
      </c>
      <c r="AW517" s="1792">
        <f t="shared" si="295"/>
        <v>0</v>
      </c>
      <c r="AX517" s="179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22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2214"/>
      <c r="AV518" s="1792">
        <f t="shared" si="294"/>
        <v>0</v>
      </c>
      <c r="AW518" s="1792">
        <f t="shared" si="295"/>
        <v>0</v>
      </c>
      <c r="AX518" s="179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22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2214"/>
      <c r="AV519" s="1792">
        <f t="shared" si="294"/>
        <v>0</v>
      </c>
      <c r="AW519" s="1792">
        <f t="shared" si="295"/>
        <v>0</v>
      </c>
      <c r="AX519" s="179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22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2214"/>
      <c r="AV520" s="1792">
        <f t="shared" si="294"/>
        <v>0</v>
      </c>
      <c r="AW520" s="1792">
        <f t="shared" si="295"/>
        <v>0</v>
      </c>
      <c r="AX520" s="179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22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2214"/>
      <c r="AV521" s="1792">
        <f t="shared" ref="AV521:AV552" si="298">A521</f>
        <v>0</v>
      </c>
      <c r="AW521" s="1792">
        <f t="shared" ref="AW521:AW552" si="299">B521</f>
        <v>0</v>
      </c>
      <c r="AX521" s="179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22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2214"/>
      <c r="AV522" s="1792">
        <f t="shared" si="298"/>
        <v>0</v>
      </c>
      <c r="AW522" s="1792">
        <f t="shared" si="299"/>
        <v>0</v>
      </c>
      <c r="AX522" s="179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22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2214"/>
      <c r="AV523" s="1792">
        <f t="shared" si="298"/>
        <v>0</v>
      </c>
      <c r="AW523" s="1792">
        <f t="shared" si="299"/>
        <v>0</v>
      </c>
      <c r="AX523" s="179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22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2214"/>
      <c r="AV524" s="1792">
        <f t="shared" si="298"/>
        <v>0</v>
      </c>
      <c r="AW524" s="1792">
        <f t="shared" si="299"/>
        <v>0</v>
      </c>
      <c r="AX524" s="179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22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2214"/>
      <c r="AV525" s="1792">
        <f t="shared" si="298"/>
        <v>0</v>
      </c>
      <c r="AW525" s="1792">
        <f t="shared" si="299"/>
        <v>0</v>
      </c>
      <c r="AX525" s="179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22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2214"/>
      <c r="AV526" s="1792">
        <f t="shared" si="298"/>
        <v>0</v>
      </c>
      <c r="AW526" s="1792">
        <f t="shared" si="299"/>
        <v>0</v>
      </c>
      <c r="AX526" s="179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22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2214"/>
      <c r="AV527" s="1792">
        <f t="shared" si="298"/>
        <v>0</v>
      </c>
      <c r="AW527" s="1792">
        <f t="shared" si="299"/>
        <v>0</v>
      </c>
      <c r="AX527" s="179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22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2214"/>
      <c r="AV528" s="1792">
        <f t="shared" si="298"/>
        <v>0</v>
      </c>
      <c r="AW528" s="1792">
        <f t="shared" si="299"/>
        <v>0</v>
      </c>
      <c r="AX528" s="179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22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2214"/>
      <c r="AV529" s="1792">
        <f t="shared" si="298"/>
        <v>0</v>
      </c>
      <c r="AW529" s="1792">
        <f t="shared" si="299"/>
        <v>0</v>
      </c>
      <c r="AX529" s="179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22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2214"/>
      <c r="AV530" s="1792">
        <f t="shared" si="298"/>
        <v>0</v>
      </c>
      <c r="AW530" s="1792">
        <f t="shared" si="299"/>
        <v>0</v>
      </c>
      <c r="AX530" s="179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22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2214"/>
      <c r="AV531" s="1792">
        <f t="shared" si="298"/>
        <v>0</v>
      </c>
      <c r="AW531" s="1792">
        <f t="shared" si="299"/>
        <v>0</v>
      </c>
      <c r="AX531" s="179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22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2214"/>
      <c r="AV532" s="1792">
        <f t="shared" si="298"/>
        <v>0</v>
      </c>
      <c r="AW532" s="1792">
        <f t="shared" si="299"/>
        <v>0</v>
      </c>
      <c r="AX532" s="179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22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2214"/>
      <c r="AV533" s="1792">
        <f t="shared" si="298"/>
        <v>0</v>
      </c>
      <c r="AW533" s="1792">
        <f t="shared" si="299"/>
        <v>0</v>
      </c>
      <c r="AX533" s="179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22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2214"/>
      <c r="AV534" s="1792">
        <f t="shared" si="298"/>
        <v>0</v>
      </c>
      <c r="AW534" s="1792">
        <f t="shared" si="299"/>
        <v>0</v>
      </c>
      <c r="AX534" s="179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22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2214"/>
      <c r="AV535" s="1792">
        <f t="shared" si="298"/>
        <v>0</v>
      </c>
      <c r="AW535" s="1792">
        <f t="shared" si="299"/>
        <v>0</v>
      </c>
      <c r="AX535" s="179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22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2214"/>
      <c r="AV536" s="1792">
        <f t="shared" si="298"/>
        <v>0</v>
      </c>
      <c r="AW536" s="1792">
        <f t="shared" si="299"/>
        <v>0</v>
      </c>
      <c r="AX536" s="179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22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2214"/>
      <c r="AV537" s="1792">
        <f t="shared" si="298"/>
        <v>0</v>
      </c>
      <c r="AW537" s="1792">
        <f t="shared" si="299"/>
        <v>0</v>
      </c>
      <c r="AX537" s="179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22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2214"/>
      <c r="AV538" s="1792">
        <f t="shared" si="298"/>
        <v>0</v>
      </c>
      <c r="AW538" s="1792">
        <f t="shared" si="299"/>
        <v>0</v>
      </c>
      <c r="AX538" s="179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22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2214"/>
      <c r="AV539" s="1792">
        <f t="shared" si="298"/>
        <v>0</v>
      </c>
      <c r="AW539" s="1792">
        <f t="shared" si="299"/>
        <v>0</v>
      </c>
      <c r="AX539" s="179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22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2214"/>
      <c r="AV540" s="1792">
        <f t="shared" si="298"/>
        <v>0</v>
      </c>
      <c r="AW540" s="1792">
        <f t="shared" si="299"/>
        <v>0</v>
      </c>
      <c r="AX540" s="179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22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2214"/>
      <c r="AV541" s="1792">
        <f t="shared" si="298"/>
        <v>0</v>
      </c>
      <c r="AW541" s="1792">
        <f t="shared" si="299"/>
        <v>0</v>
      </c>
      <c r="AX541" s="179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22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2214"/>
      <c r="AV542" s="1792">
        <f t="shared" si="298"/>
        <v>0</v>
      </c>
      <c r="AW542" s="1792">
        <f t="shared" si="299"/>
        <v>0</v>
      </c>
      <c r="AX542" s="179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22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2214"/>
      <c r="AV543" s="1792">
        <f t="shared" si="298"/>
        <v>0</v>
      </c>
      <c r="AW543" s="1792">
        <f t="shared" si="299"/>
        <v>0</v>
      </c>
      <c r="AX543" s="179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22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2214"/>
      <c r="AV544" s="1792">
        <f t="shared" si="298"/>
        <v>0</v>
      </c>
      <c r="AW544" s="1792">
        <f t="shared" si="299"/>
        <v>0</v>
      </c>
      <c r="AX544" s="179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22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2214"/>
      <c r="AV545" s="1792">
        <f t="shared" si="298"/>
        <v>0</v>
      </c>
      <c r="AW545" s="1792">
        <f t="shared" si="299"/>
        <v>0</v>
      </c>
      <c r="AX545" s="179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22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2214"/>
      <c r="AV546" s="1792">
        <f t="shared" si="298"/>
        <v>0</v>
      </c>
      <c r="AW546" s="1792">
        <f t="shared" si="299"/>
        <v>0</v>
      </c>
      <c r="AX546" s="179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22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2214"/>
      <c r="AV547" s="1792">
        <f t="shared" si="298"/>
        <v>0</v>
      </c>
      <c r="AW547" s="1792">
        <f t="shared" si="299"/>
        <v>0</v>
      </c>
      <c r="AX547" s="179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22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2214"/>
      <c r="AV548" s="1792">
        <f t="shared" si="298"/>
        <v>0</v>
      </c>
      <c r="AW548" s="1792">
        <f t="shared" si="299"/>
        <v>0</v>
      </c>
      <c r="AX548" s="179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22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2214"/>
      <c r="AV549" s="1792">
        <f t="shared" si="298"/>
        <v>0</v>
      </c>
      <c r="AW549" s="1792">
        <f t="shared" si="299"/>
        <v>0</v>
      </c>
      <c r="AX549" s="179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22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2214"/>
      <c r="AV550" s="1792">
        <f t="shared" si="298"/>
        <v>0</v>
      </c>
      <c r="AW550" s="1792">
        <f t="shared" si="299"/>
        <v>0</v>
      </c>
      <c r="AX550" s="179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22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2214"/>
      <c r="AV551" s="1792">
        <f t="shared" si="298"/>
        <v>0</v>
      </c>
      <c r="AW551" s="1792">
        <f t="shared" si="299"/>
        <v>0</v>
      </c>
      <c r="AX551" s="179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22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2214"/>
      <c r="AV552" s="1792">
        <f t="shared" si="298"/>
        <v>0</v>
      </c>
      <c r="AW552" s="1792">
        <f t="shared" si="299"/>
        <v>0</v>
      </c>
      <c r="AX552" s="179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22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2214"/>
      <c r="AV553" s="1792">
        <f t="shared" ref="AV553:AV587" si="330">A553</f>
        <v>0</v>
      </c>
      <c r="AW553" s="1792">
        <f t="shared" ref="AW553:AW587" si="331">B553</f>
        <v>0</v>
      </c>
      <c r="AX553" s="179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22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2214"/>
      <c r="AV554" s="1792">
        <f t="shared" si="330"/>
        <v>0</v>
      </c>
      <c r="AW554" s="1792">
        <f t="shared" si="331"/>
        <v>0</v>
      </c>
      <c r="AX554" s="179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22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2214"/>
      <c r="AV555" s="1792">
        <f t="shared" si="330"/>
        <v>0</v>
      </c>
      <c r="AW555" s="1792">
        <f t="shared" si="331"/>
        <v>0</v>
      </c>
      <c r="AX555" s="179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22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2214"/>
      <c r="AV556" s="1792">
        <f t="shared" si="330"/>
        <v>0</v>
      </c>
      <c r="AW556" s="1792">
        <f t="shared" si="331"/>
        <v>0</v>
      </c>
      <c r="AX556" s="179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22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2214"/>
      <c r="AV557" s="1792">
        <f t="shared" si="330"/>
        <v>0</v>
      </c>
      <c r="AW557" s="1792">
        <f t="shared" si="331"/>
        <v>0</v>
      </c>
      <c r="AX557" s="179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22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2214"/>
      <c r="AV558" s="1792">
        <f t="shared" si="330"/>
        <v>0</v>
      </c>
      <c r="AW558" s="1792">
        <f t="shared" si="331"/>
        <v>0</v>
      </c>
      <c r="AX558" s="179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22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2214"/>
      <c r="AV559" s="1792">
        <f t="shared" si="330"/>
        <v>0</v>
      </c>
      <c r="AW559" s="1792">
        <f t="shared" si="331"/>
        <v>0</v>
      </c>
      <c r="AX559" s="179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22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2214"/>
      <c r="AV560" s="1792">
        <f t="shared" si="330"/>
        <v>0</v>
      </c>
      <c r="AW560" s="1792">
        <f t="shared" si="331"/>
        <v>0</v>
      </c>
      <c r="AX560" s="179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22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2214"/>
      <c r="AV561" s="1792">
        <f t="shared" si="330"/>
        <v>0</v>
      </c>
      <c r="AW561" s="1792">
        <f t="shared" si="331"/>
        <v>0</v>
      </c>
      <c r="AX561" s="179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22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2214"/>
      <c r="AV562" s="1792">
        <f t="shared" si="330"/>
        <v>0</v>
      </c>
      <c r="AW562" s="1792">
        <f t="shared" si="331"/>
        <v>0</v>
      </c>
      <c r="AX562" s="179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22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2214"/>
      <c r="AV563" s="1792">
        <f t="shared" si="330"/>
        <v>0</v>
      </c>
      <c r="AW563" s="1792">
        <f t="shared" si="331"/>
        <v>0</v>
      </c>
      <c r="AX563" s="179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22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2214"/>
      <c r="AV564" s="1792">
        <f t="shared" si="330"/>
        <v>0</v>
      </c>
      <c r="AW564" s="1792">
        <f t="shared" si="331"/>
        <v>0</v>
      </c>
      <c r="AX564" s="179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22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2214"/>
      <c r="AV565" s="1792">
        <f t="shared" si="330"/>
        <v>0</v>
      </c>
      <c r="AW565" s="1792">
        <f t="shared" si="331"/>
        <v>0</v>
      </c>
      <c r="AX565" s="179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22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2214"/>
      <c r="AV566" s="1792">
        <f t="shared" si="330"/>
        <v>0</v>
      </c>
      <c r="AW566" s="1792">
        <f t="shared" si="331"/>
        <v>0</v>
      </c>
      <c r="AX566" s="179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22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2214"/>
      <c r="AV567" s="1792">
        <f t="shared" si="330"/>
        <v>0</v>
      </c>
      <c r="AW567" s="1792">
        <f t="shared" si="331"/>
        <v>0</v>
      </c>
      <c r="AX567" s="179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22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2214"/>
      <c r="AV568" s="1792">
        <f t="shared" si="330"/>
        <v>0</v>
      </c>
      <c r="AW568" s="1792">
        <f t="shared" si="331"/>
        <v>0</v>
      </c>
      <c r="AX568" s="179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22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2214"/>
      <c r="AV569" s="1792">
        <f t="shared" si="330"/>
        <v>0</v>
      </c>
      <c r="AW569" s="1792">
        <f t="shared" si="331"/>
        <v>0</v>
      </c>
      <c r="AX569" s="179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22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2214"/>
      <c r="AV570" s="1792">
        <f t="shared" si="330"/>
        <v>0</v>
      </c>
      <c r="AW570" s="1792">
        <f t="shared" si="331"/>
        <v>0</v>
      </c>
      <c r="AX570" s="179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22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2214"/>
      <c r="AV571" s="1792">
        <f t="shared" si="330"/>
        <v>0</v>
      </c>
      <c r="AW571" s="1792">
        <f t="shared" si="331"/>
        <v>0</v>
      </c>
      <c r="AX571" s="179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22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2214"/>
      <c r="AV572" s="1792">
        <f t="shared" si="330"/>
        <v>0</v>
      </c>
      <c r="AW572" s="1792">
        <f t="shared" si="331"/>
        <v>0</v>
      </c>
      <c r="AX572" s="179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22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2214"/>
      <c r="AV573" s="1792">
        <f t="shared" si="330"/>
        <v>0</v>
      </c>
      <c r="AW573" s="1792">
        <f t="shared" si="331"/>
        <v>0</v>
      </c>
      <c r="AX573" s="179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22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2214"/>
      <c r="AV574" s="1792">
        <f t="shared" si="330"/>
        <v>0</v>
      </c>
      <c r="AW574" s="1792">
        <f t="shared" si="331"/>
        <v>0</v>
      </c>
      <c r="AX574" s="179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22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2214"/>
      <c r="AV575" s="1792">
        <f t="shared" si="330"/>
        <v>0</v>
      </c>
      <c r="AW575" s="1792">
        <f t="shared" si="331"/>
        <v>0</v>
      </c>
      <c r="AX575" s="179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22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2214"/>
      <c r="AV576" s="1792">
        <f t="shared" si="330"/>
        <v>0</v>
      </c>
      <c r="AW576" s="1792">
        <f t="shared" si="331"/>
        <v>0</v>
      </c>
      <c r="AX576" s="179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22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2214"/>
      <c r="AV577" s="1792">
        <f t="shared" si="330"/>
        <v>0</v>
      </c>
      <c r="AW577" s="1792">
        <f t="shared" si="331"/>
        <v>0</v>
      </c>
      <c r="AX577" s="179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22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2214"/>
      <c r="AV578" s="1792">
        <f t="shared" si="330"/>
        <v>0</v>
      </c>
      <c r="AW578" s="1792">
        <f t="shared" si="331"/>
        <v>0</v>
      </c>
      <c r="AX578" s="179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22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2214"/>
      <c r="AV579" s="1792">
        <f t="shared" si="330"/>
        <v>0</v>
      </c>
      <c r="AW579" s="1792">
        <f t="shared" si="331"/>
        <v>0</v>
      </c>
      <c r="AX579" s="179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22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2214"/>
      <c r="AV580" s="1792">
        <f t="shared" si="330"/>
        <v>0</v>
      </c>
      <c r="AW580" s="1792">
        <f t="shared" si="331"/>
        <v>0</v>
      </c>
      <c r="AX580" s="179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22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2214"/>
      <c r="AV581" s="1792">
        <f t="shared" si="330"/>
        <v>0</v>
      </c>
      <c r="AW581" s="1792">
        <f t="shared" si="331"/>
        <v>0</v>
      </c>
      <c r="AX581" s="179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22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2214"/>
      <c r="AV582" s="1792">
        <f t="shared" si="330"/>
        <v>0</v>
      </c>
      <c r="AW582" s="1792">
        <f t="shared" si="331"/>
        <v>0</v>
      </c>
      <c r="AX582" s="179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22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2214"/>
      <c r="AV583" s="1792">
        <f t="shared" si="330"/>
        <v>0</v>
      </c>
      <c r="AW583" s="1792">
        <f t="shared" si="331"/>
        <v>0</v>
      </c>
      <c r="AX583" s="179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22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2214"/>
      <c r="AV584" s="1792">
        <f t="shared" si="330"/>
        <v>0</v>
      </c>
      <c r="AW584" s="1792">
        <f t="shared" si="331"/>
        <v>0</v>
      </c>
      <c r="AX584" s="179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221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2149"/>
      <c r="AV585" s="1792">
        <f t="shared" si="330"/>
        <v>0</v>
      </c>
      <c r="AW585" s="1792">
        <f t="shared" si="331"/>
        <v>0</v>
      </c>
      <c r="AX585" s="179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221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2149"/>
      <c r="AV586" s="1792">
        <f t="shared" si="330"/>
        <v>0</v>
      </c>
      <c r="AW586" s="1792">
        <f t="shared" si="331"/>
        <v>0</v>
      </c>
      <c r="AX586" s="179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221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2149"/>
      <c r="AV587" s="1792">
        <f t="shared" si="330"/>
        <v>0</v>
      </c>
      <c r="AW587" s="1792">
        <f t="shared" si="331"/>
        <v>0</v>
      </c>
      <c r="AX587" s="179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1909</v>
      </c>
      <c r="B1" s="1389"/>
      <c r="C1" s="1389"/>
      <c r="D1" s="1389"/>
      <c r="E1" s="1389"/>
      <c r="F1" s="1389"/>
      <c r="G1" s="1389"/>
      <c r="H1" s="1389"/>
      <c r="I1" s="1389"/>
      <c r="J1" s="1389"/>
      <c r="K1" s="1389"/>
      <c r="L1" s="1389"/>
      <c r="M1" s="1389"/>
      <c r="N1" s="1389"/>
      <c r="O1" s="1389"/>
      <c r="P1" s="1389"/>
    </row>
    <row r="2" spans="1:16" ht="15">
      <c r="A2" s="3044" t="s">
        <v>1910</v>
      </c>
      <c r="B2" s="3044"/>
      <c r="C2" s="3044"/>
      <c r="D2" s="964" t="s">
        <v>1886</v>
      </c>
      <c r="E2" s="2222" t="s">
        <v>1887</v>
      </c>
      <c r="F2" s="1389"/>
      <c r="G2" s="2223"/>
      <c r="H2" s="2224"/>
      <c r="I2" s="2225" t="s">
        <v>1911</v>
      </c>
      <c r="J2" s="1389"/>
      <c r="K2" s="1389"/>
      <c r="L2" s="1389"/>
      <c r="M2" s="1389"/>
      <c r="N2" s="1424"/>
      <c r="O2" s="1389"/>
      <c r="P2" s="1389"/>
    </row>
    <row r="3" spans="1:16" ht="15.75" thickBot="1">
      <c r="A3" s="3045" t="s">
        <v>1884</v>
      </c>
      <c r="B3" s="3045"/>
      <c r="C3" s="3045"/>
      <c r="D3" s="43">
        <f>'数据-基础表'!AY6</f>
        <v>10938.89</v>
      </c>
      <c r="E3" s="43">
        <f>'数据-基础表'!AZ5</f>
        <v>46024.009999999995</v>
      </c>
      <c r="F3" s="1389"/>
      <c r="G3" s="1396"/>
      <c r="H3" s="1244" t="s">
        <v>1885</v>
      </c>
      <c r="I3" s="52">
        <f>ROUND('数据-基础表'!B3/'数据-基础表'!A3,2)</f>
        <v>4.21</v>
      </c>
      <c r="J3" s="1389"/>
      <c r="K3" s="1389"/>
      <c r="L3" s="1389"/>
      <c r="M3" s="1389"/>
      <c r="N3" s="1424"/>
      <c r="O3" s="1389"/>
      <c r="P3" s="1389"/>
    </row>
    <row r="4" spans="1:16" ht="15">
      <c r="A4" s="3046"/>
      <c r="B4" s="3047"/>
      <c r="C4" s="3048"/>
      <c r="D4" s="2226" t="s">
        <v>1886</v>
      </c>
      <c r="E4" s="2227" t="s">
        <v>1887</v>
      </c>
      <c r="F4" s="1389"/>
      <c r="G4" s="2228" t="s">
        <v>1912</v>
      </c>
      <c r="H4" s="1244" t="s">
        <v>1892</v>
      </c>
      <c r="I4" s="52">
        <f>ROUND(SUMIF('数据-基础表'!I9:AS9,"地上",'数据-基础表'!I5:AS5)/'数据-基础表'!A3,2)</f>
        <v>3.39</v>
      </c>
      <c r="J4" s="1389"/>
      <c r="K4" s="1389"/>
      <c r="L4" s="1389"/>
      <c r="M4" s="1389"/>
      <c r="N4" s="1424"/>
      <c r="O4" s="1389"/>
      <c r="P4" s="1389"/>
    </row>
    <row r="5" spans="1:16">
      <c r="A5" s="44" t="s">
        <v>1888</v>
      </c>
      <c r="B5" s="3049" t="s">
        <v>1889</v>
      </c>
      <c r="C5" s="3049"/>
      <c r="D5" s="45">
        <f>ROUND($D$3*E5/$E$3,2)</f>
        <v>8804.43</v>
      </c>
      <c r="E5" s="46">
        <f>SUMIF('数据-基础表'!$11:$11,"住宅",'数据-基础表'!$5:$5)</f>
        <v>37043.53</v>
      </c>
      <c r="F5" s="1389"/>
      <c r="G5" s="1396"/>
      <c r="H5" s="1244" t="s">
        <v>1885</v>
      </c>
      <c r="I5" s="52">
        <f>ROUND(E31/D31,2)</f>
        <v>4.21</v>
      </c>
      <c r="J5" s="1389"/>
      <c r="K5" s="1389"/>
      <c r="L5" s="1389"/>
      <c r="M5" s="1389"/>
      <c r="N5" s="1389"/>
      <c r="O5" s="1389"/>
      <c r="P5" s="1389"/>
    </row>
    <row r="6" spans="1:16" ht="15" thickBot="1">
      <c r="A6" s="2229"/>
      <c r="B6" s="3049" t="s">
        <v>1890</v>
      </c>
      <c r="C6" s="3049"/>
      <c r="D6" s="45">
        <f>ROUND($D$3*E6/$E$3,2)</f>
        <v>2134.46</v>
      </c>
      <c r="E6" s="46">
        <f>E3-E5</f>
        <v>8980.4799999999959</v>
      </c>
      <c r="F6" s="1389"/>
      <c r="G6" s="2230" t="s">
        <v>1891</v>
      </c>
      <c r="H6" s="1396" t="s">
        <v>1892</v>
      </c>
      <c r="I6" s="936">
        <f>ROUND(F31/D31,2)</f>
        <v>3.39</v>
      </c>
      <c r="J6" s="1389"/>
      <c r="K6" s="1389"/>
      <c r="L6" s="1389"/>
      <c r="M6" s="1389"/>
      <c r="N6" s="1389"/>
      <c r="O6" s="1389"/>
      <c r="P6" s="1389"/>
    </row>
    <row r="7" spans="1:16" ht="15">
      <c r="A7" s="3041"/>
      <c r="B7" s="3042"/>
      <c r="C7" s="3043"/>
      <c r="D7" s="2226" t="s">
        <v>1886</v>
      </c>
      <c r="E7" s="2231" t="s">
        <v>1893</v>
      </c>
      <c r="F7" s="1389"/>
      <c r="G7" s="2223" t="s">
        <v>1894</v>
      </c>
      <c r="H7" s="61"/>
      <c r="I7" s="417"/>
      <c r="J7" s="1389"/>
      <c r="K7" s="1389"/>
      <c r="L7" s="1389"/>
      <c r="M7" s="1389"/>
      <c r="N7" s="1389"/>
      <c r="O7" s="1389"/>
      <c r="P7" s="1389"/>
    </row>
    <row r="8" spans="1:16">
      <c r="A8" s="44" t="s">
        <v>1895</v>
      </c>
      <c r="B8" s="47" t="s">
        <v>1896</v>
      </c>
      <c r="C8" s="45" t="s">
        <v>1897</v>
      </c>
      <c r="D8" s="45">
        <f t="shared" ref="D8:D15" si="0">ROUND($D$3*E8/$E$3,2)</f>
        <v>8804.43</v>
      </c>
      <c r="E8" s="48">
        <f>SUMIF('数据-基础表'!BB10:BK10,"地上",'数据-基础表'!BB5:BK5)</f>
        <v>37043.53</v>
      </c>
      <c r="F8" s="1389"/>
      <c r="G8" s="2232"/>
      <c r="H8" s="2232"/>
      <c r="I8" s="1389"/>
      <c r="J8" s="1389"/>
      <c r="K8" s="1389"/>
      <c r="L8" s="1389"/>
      <c r="M8" s="1389"/>
      <c r="N8" s="1389"/>
      <c r="O8" s="1389"/>
      <c r="P8" s="1389"/>
    </row>
    <row r="9" spans="1:16">
      <c r="A9" s="2233"/>
      <c r="B9" s="2234"/>
      <c r="C9" s="45" t="s">
        <v>1898</v>
      </c>
      <c r="D9" s="45">
        <f t="shared" si="0"/>
        <v>0</v>
      </c>
      <c r="E9" s="49">
        <v>0</v>
      </c>
      <c r="F9" s="1389"/>
      <c r="G9" s="2232"/>
      <c r="H9" s="2232"/>
      <c r="I9" s="1389"/>
      <c r="J9" s="1389"/>
      <c r="K9" s="1389"/>
      <c r="L9" s="1389"/>
      <c r="M9" s="1389"/>
      <c r="N9" s="1389"/>
      <c r="O9" s="1389"/>
      <c r="P9" s="1389"/>
    </row>
    <row r="10" spans="1:16">
      <c r="A10" s="2233"/>
      <c r="B10" s="2234"/>
      <c r="C10" s="45" t="s">
        <v>1907</v>
      </c>
      <c r="D10" s="45">
        <f t="shared" si="0"/>
        <v>0</v>
      </c>
      <c r="E10" s="48">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5" t="s">
        <v>1899</v>
      </c>
      <c r="D11" s="45">
        <f t="shared" si="0"/>
        <v>0</v>
      </c>
      <c r="E11" s="48">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5" t="s">
        <v>1900</v>
      </c>
      <c r="D12" s="45">
        <f t="shared" si="0"/>
        <v>2134.46</v>
      </c>
      <c r="E12" s="48">
        <f>SUMPRODUCT(('数据-基础表'!BB10:BK10="地下")*('数据-基础表'!BB11:BK11="仓储")*('数据-基础表'!BB5:BK5))</f>
        <v>8980.48</v>
      </c>
      <c r="F12" s="1389"/>
      <c r="G12" s="2232"/>
      <c r="H12" s="2232"/>
      <c r="I12" s="1389"/>
      <c r="J12" s="1389"/>
      <c r="K12" s="1389"/>
      <c r="L12" s="1389"/>
      <c r="M12" s="1389"/>
      <c r="N12" s="1389"/>
      <c r="O12" s="1389"/>
      <c r="P12" s="1389"/>
    </row>
    <row r="13" spans="1:16">
      <c r="A13" s="2233"/>
      <c r="B13" s="2234"/>
      <c r="C13" s="45" t="s">
        <v>1901</v>
      </c>
      <c r="D13" s="45">
        <f t="shared" si="0"/>
        <v>0</v>
      </c>
      <c r="E13" s="48">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5" t="s">
        <v>1913</v>
      </c>
      <c r="D14" s="45">
        <f t="shared" si="0"/>
        <v>0</v>
      </c>
      <c r="E14" s="48">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5" t="s">
        <v>1908</v>
      </c>
      <c r="D15" s="45">
        <f t="shared" si="0"/>
        <v>0</v>
      </c>
      <c r="E15" s="48">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47" t="s">
        <v>1902</v>
      </c>
      <c r="D16" s="47">
        <f>SUM(D8:D15)</f>
        <v>10938.89</v>
      </c>
      <c r="E16" s="50">
        <f>SUM(E8:E15)</f>
        <v>46024.009999999995</v>
      </c>
      <c r="F16" s="1389"/>
      <c r="G16" s="2232"/>
      <c r="H16" s="2235" t="s">
        <v>1914</v>
      </c>
      <c r="I16" s="2236"/>
      <c r="J16" s="1389"/>
      <c r="K16" s="3038" t="s">
        <v>1914</v>
      </c>
      <c r="L16" s="3039"/>
      <c r="M16" s="3039"/>
      <c r="N16" s="3039"/>
      <c r="O16" s="3039"/>
      <c r="P16" s="3040"/>
    </row>
    <row r="17" spans="1:19" ht="15">
      <c r="A17" s="2237" t="s">
        <v>1915</v>
      </c>
      <c r="B17" s="2238" t="s">
        <v>1916</v>
      </c>
      <c r="C17" s="2239" t="s">
        <v>1917</v>
      </c>
      <c r="D17" s="2240" t="s">
        <v>1905</v>
      </c>
      <c r="E17" s="2241" t="s">
        <v>1906</v>
      </c>
      <c r="F17" s="2242"/>
      <c r="G17" s="2243"/>
      <c r="H17" s="2244" t="s">
        <v>1918</v>
      </c>
      <c r="I17" s="2245" t="s">
        <v>1903</v>
      </c>
      <c r="J17" s="1389"/>
      <c r="K17" s="3035" t="s">
        <v>1919</v>
      </c>
      <c r="L17" s="3036"/>
      <c r="M17" s="3037"/>
      <c r="N17" s="3035" t="s">
        <v>1920</v>
      </c>
      <c r="O17" s="3036"/>
      <c r="P17" s="3037"/>
      <c r="R17" s="2223" t="s">
        <v>1921</v>
      </c>
      <c r="S17" s="61"/>
    </row>
    <row r="18" spans="1:19" ht="15">
      <c r="A18" s="2233"/>
      <c r="B18" s="2246"/>
      <c r="C18" s="2247"/>
      <c r="D18" s="2248"/>
      <c r="E18" s="2249" t="s">
        <v>1922</v>
      </c>
      <c r="F18" s="2250" t="s">
        <v>1923</v>
      </c>
      <c r="G18" s="2251" t="s">
        <v>1924</v>
      </c>
      <c r="H18" s="1259" t="s">
        <v>1925</v>
      </c>
      <c r="I18" s="2252" t="s">
        <v>1926</v>
      </c>
      <c r="J18" s="1389"/>
      <c r="K18" s="1259" t="s">
        <v>1927</v>
      </c>
      <c r="L18" s="2253" t="s">
        <v>1928</v>
      </c>
      <c r="M18" s="1043" t="s">
        <v>1929</v>
      </c>
      <c r="N18" s="1259" t="s">
        <v>1927</v>
      </c>
      <c r="O18" s="2253" t="s">
        <v>1928</v>
      </c>
      <c r="P18" s="1043" t="s">
        <v>1929</v>
      </c>
      <c r="R18" s="1244" t="s">
        <v>1930</v>
      </c>
      <c r="S18" s="1244" t="s">
        <v>1931</v>
      </c>
    </row>
    <row r="19" spans="1:19">
      <c r="A19" s="2254"/>
      <c r="B19" s="47" t="s">
        <v>1904</v>
      </c>
      <c r="C19" s="2955" t="s">
        <v>3059</v>
      </c>
      <c r="D19" s="45">
        <f>ROUND($D$3*E19/$E$3,2)</f>
        <v>8804.43</v>
      </c>
      <c r="E19" s="53">
        <f t="shared" ref="E19:E26" si="1">SUM(F19:G19)</f>
        <v>37043.53</v>
      </c>
      <c r="F19" s="54">
        <f>'数据-基础表'!I5</f>
        <v>37043.53</v>
      </c>
      <c r="G19" s="55"/>
      <c r="H19" s="720">
        <f>ROUND($D$3*I19/$E$3,2)</f>
        <v>0</v>
      </c>
      <c r="I19" s="48">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8804.43</v>
      </c>
      <c r="S19" s="1245">
        <f t="shared" si="5"/>
        <v>37043.53</v>
      </c>
    </row>
    <row r="20" spans="1:19">
      <c r="A20" s="2258"/>
      <c r="B20" s="47" t="s">
        <v>1932</v>
      </c>
      <c r="C20" s="2955" t="s">
        <v>3060</v>
      </c>
      <c r="D20" s="45">
        <f t="shared" ref="D20:D26" si="6">ROUND($D$3*E20/$E$3,2)</f>
        <v>2134.46</v>
      </c>
      <c r="E20" s="53">
        <f t="shared" si="1"/>
        <v>8980.48</v>
      </c>
      <c r="F20" s="54"/>
      <c r="G20" s="55">
        <f>'数据-基础表'!K5</f>
        <v>8980.48</v>
      </c>
      <c r="H20" s="720">
        <f t="shared" ref="H20:H26" si="7">ROUND($D$3*I20/$E$3,2)</f>
        <v>0</v>
      </c>
      <c r="I20" s="48">
        <f t="shared" si="2"/>
        <v>0</v>
      </c>
      <c r="J20" s="1389"/>
      <c r="K20" s="1388">
        <f t="shared" si="3"/>
        <v>0</v>
      </c>
      <c r="L20" s="1244">
        <f t="shared" si="4"/>
        <v>0</v>
      </c>
      <c r="M20" s="1400">
        <f t="shared" ref="M20:M26" si="8">K20+L20</f>
        <v>0</v>
      </c>
      <c r="N20" s="2256"/>
      <c r="O20" s="2257"/>
      <c r="P20" s="1400">
        <f t="shared" ref="P20:P26" si="9">N20+O20</f>
        <v>0</v>
      </c>
      <c r="R20" s="1244">
        <f t="shared" si="5"/>
        <v>2134.46</v>
      </c>
      <c r="S20" s="1245">
        <f t="shared" si="5"/>
        <v>8980.48</v>
      </c>
    </row>
    <row r="21" spans="1:19">
      <c r="A21" s="2258"/>
      <c r="B21" s="47" t="s">
        <v>1932</v>
      </c>
      <c r="C21" s="2255"/>
      <c r="D21" s="45">
        <f t="shared" si="6"/>
        <v>0</v>
      </c>
      <c r="E21" s="53">
        <f t="shared" si="1"/>
        <v>0</v>
      </c>
      <c r="F21" s="54"/>
      <c r="G21" s="55"/>
      <c r="H21" s="720">
        <f t="shared" si="7"/>
        <v>0</v>
      </c>
      <c r="I21" s="48">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47" t="s">
        <v>1932</v>
      </c>
      <c r="C22" s="57"/>
      <c r="D22" s="45">
        <f t="shared" si="6"/>
        <v>0</v>
      </c>
      <c r="E22" s="53">
        <f t="shared" si="1"/>
        <v>0</v>
      </c>
      <c r="F22" s="58"/>
      <c r="G22" s="59"/>
      <c r="H22" s="720">
        <f t="shared" si="7"/>
        <v>0</v>
      </c>
      <c r="I22" s="48">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47" t="s">
        <v>1932</v>
      </c>
      <c r="C23" s="57"/>
      <c r="D23" s="45">
        <f>ROUND($D$3*E23/$E$3,2)</f>
        <v>0</v>
      </c>
      <c r="E23" s="53">
        <f>SUM(F23:G23)</f>
        <v>0</v>
      </c>
      <c r="F23" s="58"/>
      <c r="G23" s="59"/>
      <c r="H23" s="720">
        <f>ROUND($D$3*I23/$E$3,2)</f>
        <v>0</v>
      </c>
      <c r="I23" s="48">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47" t="s">
        <v>1932</v>
      </c>
      <c r="C24" s="57"/>
      <c r="D24" s="45">
        <f>ROUND($D$3*E24/$E$3,2)</f>
        <v>0</v>
      </c>
      <c r="E24" s="53">
        <f>SUM(F24:G24)</f>
        <v>0</v>
      </c>
      <c r="F24" s="58"/>
      <c r="G24" s="59"/>
      <c r="H24" s="720">
        <f>ROUND($D$3*I24/$E$3,2)</f>
        <v>0</v>
      </c>
      <c r="I24" s="48">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47" t="s">
        <v>1932</v>
      </c>
      <c r="C25" s="57"/>
      <c r="D25" s="45">
        <f t="shared" si="6"/>
        <v>0</v>
      </c>
      <c r="E25" s="53">
        <f t="shared" si="1"/>
        <v>0</v>
      </c>
      <c r="F25" s="58"/>
      <c r="G25" s="59"/>
      <c r="H25" s="44">
        <f t="shared" si="7"/>
        <v>0</v>
      </c>
      <c r="I25" s="48">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47" t="s">
        <v>1932</v>
      </c>
      <c r="C26" s="60"/>
      <c r="D26" s="45">
        <f t="shared" si="6"/>
        <v>0</v>
      </c>
      <c r="E26" s="53">
        <f t="shared" si="1"/>
        <v>0</v>
      </c>
      <c r="F26" s="58"/>
      <c r="G26" s="59"/>
      <c r="H26" s="44">
        <f t="shared" si="7"/>
        <v>0</v>
      </c>
      <c r="I26" s="48">
        <f t="shared" si="2"/>
        <v>0</v>
      </c>
      <c r="J26" s="1389"/>
      <c r="K26" s="1395">
        <f t="shared" si="3"/>
        <v>0</v>
      </c>
      <c r="L26" s="1396">
        <f t="shared" si="4"/>
        <v>0</v>
      </c>
      <c r="M26" s="64">
        <f t="shared" si="8"/>
        <v>0</v>
      </c>
      <c r="N26" s="2259"/>
      <c r="O26" s="2260"/>
      <c r="P26" s="64">
        <f t="shared" si="9"/>
        <v>0</v>
      </c>
      <c r="R26" s="1244">
        <f t="shared" si="5"/>
        <v>0</v>
      </c>
      <c r="S26" s="1245">
        <f t="shared" si="5"/>
        <v>0</v>
      </c>
    </row>
    <row r="27" spans="1:19" ht="15.75" thickBot="1">
      <c r="A27" s="2258"/>
      <c r="B27" s="45"/>
      <c r="C27" s="2261" t="s">
        <v>1933</v>
      </c>
      <c r="D27" s="1390">
        <f>SUM(D19:D26)</f>
        <v>10938.89</v>
      </c>
      <c r="E27" s="1391">
        <f>IF(SUM(E19:E26)='数据-基础表'!BA5,SUM(E19:E26),IF(F27="地上面积有误","面积有误","地下面积有误"))</f>
        <v>46024.009999999995</v>
      </c>
      <c r="F27" s="1390">
        <f>IF(SUM(F19:F26)=E8,SUM(F19:F26),"地上面积有误")</f>
        <v>37043.53</v>
      </c>
      <c r="G27" s="1392">
        <f>SUM(G19:G26)</f>
        <v>8980.48</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10938.89</v>
      </c>
      <c r="S27" s="1244">
        <f>IF(SUM(S19:S26)=$E$3,SUM(S19:S26),SUM(S19:S26)&amp;"误差"&amp;ROUND(SUM(S19:S26)-E3,2))</f>
        <v>46024.009999999995</v>
      </c>
    </row>
    <row r="28" spans="1:19">
      <c r="A28" s="2258"/>
      <c r="B28" s="47" t="s">
        <v>1934</v>
      </c>
      <c r="C28" s="1256" t="s">
        <v>1935</v>
      </c>
      <c r="D28" s="45">
        <f>ROUND($D$3*E28/$E$3,2)</f>
        <v>0</v>
      </c>
      <c r="E28" s="53">
        <f>SUM(F28:G28)</f>
        <v>0</v>
      </c>
      <c r="F28" s="61">
        <f>'数据-基础表'!BQ5+'数据-基础表'!BS5</f>
        <v>0</v>
      </c>
      <c r="G28" s="62">
        <f>'数据-基础表'!BR5+'数据-基础表'!BT5</f>
        <v>0</v>
      </c>
      <c r="H28" s="1389"/>
      <c r="I28" s="1389"/>
      <c r="J28" s="1389"/>
      <c r="K28" s="1389"/>
      <c r="L28" s="1389"/>
      <c r="M28" s="1389"/>
      <c r="N28" s="1389"/>
      <c r="O28" s="1389"/>
      <c r="P28" s="1389"/>
    </row>
    <row r="29" spans="1:19">
      <c r="A29" s="2258"/>
      <c r="B29" s="47" t="s">
        <v>1934</v>
      </c>
      <c r="C29" s="2262" t="s">
        <v>1936</v>
      </c>
      <c r="D29" s="45">
        <f>ROUND($D$3*E29/$E$3,2)</f>
        <v>0</v>
      </c>
      <c r="E29" s="53">
        <f>SUM(F29:G29)</f>
        <v>0</v>
      </c>
      <c r="F29" s="63">
        <f>'数据-基础表'!BM5+'数据-基础表'!BO5</f>
        <v>0</v>
      </c>
      <c r="G29" s="64">
        <f>'数据-基础表'!BN5+'数据-基础表'!BP5</f>
        <v>0</v>
      </c>
      <c r="H29" s="1389"/>
      <c r="I29" s="1389"/>
      <c r="J29" s="1389"/>
      <c r="K29" s="1389"/>
      <c r="L29" s="1389"/>
      <c r="M29" s="1389"/>
      <c r="N29" s="1389"/>
      <c r="O29" s="1389"/>
      <c r="P29" s="1389"/>
    </row>
    <row r="30" spans="1:19" ht="15">
      <c r="A30" s="2258"/>
      <c r="B30" s="47"/>
      <c r="C30" s="2263" t="s">
        <v>1933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1937</v>
      </c>
      <c r="D31" s="726">
        <f>D27+D30</f>
        <v>10938.89</v>
      </c>
      <c r="E31" s="726">
        <f>E27+E30</f>
        <v>46024.009999999995</v>
      </c>
      <c r="F31" s="727">
        <f>F27+F30</f>
        <v>37043.53</v>
      </c>
      <c r="G31" s="728">
        <f>G27+G30</f>
        <v>8980.48</v>
      </c>
      <c r="H31" s="1389"/>
      <c r="I31" s="1389"/>
      <c r="J31" s="1389"/>
      <c r="K31" s="1389"/>
      <c r="L31" s="1389"/>
      <c r="M31" s="1389"/>
      <c r="N31" s="1389"/>
      <c r="O31" s="1389"/>
      <c r="P31" s="1389"/>
    </row>
    <row r="32" spans="1:19">
      <c r="A32" s="2228"/>
      <c r="B32" s="2228" t="s">
        <v>1938</v>
      </c>
      <c r="C32" s="2228"/>
      <c r="D32" s="2228"/>
      <c r="E32" s="1271">
        <f>SUMIF(C19:C26,"*住宅*",E19:E26)</f>
        <v>37043.53</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H19" sqref="H19"/>
      <selection pane="topRight" activeCell="H19" sqref="H19"/>
      <selection pane="bottomLeft" activeCell="H19" sqref="H19"/>
      <selection pane="bottomRight" activeCell="J26" sqref="J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1939</v>
      </c>
      <c r="B1" s="729"/>
      <c r="C1" s="1578"/>
      <c r="D1" s="2268"/>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1940</v>
      </c>
      <c r="B2" s="1263">
        <f>项目基本情况!D3</f>
        <v>43832</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5" t="s">
        <v>1941</v>
      </c>
      <c r="B4" s="2276"/>
      <c r="C4" s="2277"/>
      <c r="D4" s="2278"/>
      <c r="E4" s="2277" t="s">
        <v>1942</v>
      </c>
      <c r="F4" s="2277"/>
      <c r="G4" s="2277"/>
      <c r="H4" s="2277"/>
      <c r="I4" s="2277"/>
      <c r="J4" s="2279"/>
      <c r="K4" s="2280"/>
      <c r="L4" s="2281"/>
      <c r="M4" s="2277"/>
      <c r="N4" s="2277" t="s">
        <v>1943</v>
      </c>
      <c r="O4" s="2277"/>
      <c r="P4" s="2277"/>
      <c r="Q4" s="2277"/>
      <c r="R4" s="2277"/>
      <c r="S4" s="2279"/>
      <c r="T4" s="2282" t="str">
        <f>'数据-汇总表'!I17</f>
        <v>按面积比例</v>
      </c>
      <c r="U4" s="2276" t="s">
        <v>1944</v>
      </c>
      <c r="V4" s="2277"/>
      <c r="W4" s="2277"/>
      <c r="X4" s="2277"/>
      <c r="Y4" s="2279"/>
      <c r="Z4" s="2239" t="s">
        <v>1945</v>
      </c>
      <c r="AA4" s="2239"/>
      <c r="AB4" s="2239"/>
      <c r="AC4" s="2239"/>
      <c r="AD4" s="2239"/>
      <c r="AE4" s="2237" t="s">
        <v>1946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1947</v>
      </c>
      <c r="B5" s="2285" t="s">
        <v>1948</v>
      </c>
      <c r="C5" s="2286" t="s">
        <v>1949</v>
      </c>
      <c r="D5" s="2287" t="s">
        <v>1950</v>
      </c>
      <c r="E5" s="1265" t="s">
        <v>1951</v>
      </c>
      <c r="F5" s="2288" t="s">
        <v>1952</v>
      </c>
      <c r="G5" s="1265" t="s">
        <v>1953</v>
      </c>
      <c r="H5" s="1265" t="s">
        <v>1954</v>
      </c>
      <c r="I5" s="1265" t="s">
        <v>1955</v>
      </c>
      <c r="J5" s="2289" t="s">
        <v>1956</v>
      </c>
      <c r="K5" s="2290" t="s">
        <v>1957</v>
      </c>
      <c r="L5" s="2291" t="s">
        <v>1958</v>
      </c>
      <c r="M5" s="2292" t="s">
        <v>1959</v>
      </c>
      <c r="N5" s="2293" t="s">
        <v>1960</v>
      </c>
      <c r="O5" s="2291" t="s">
        <v>1961</v>
      </c>
      <c r="P5" s="2294" t="s">
        <v>1962</v>
      </c>
      <c r="Q5" s="66" t="s">
        <v>1963</v>
      </c>
      <c r="R5" s="2295" t="s">
        <v>1964</v>
      </c>
      <c r="S5" s="2296" t="s">
        <v>1965</v>
      </c>
      <c r="T5" s="2297" t="s">
        <v>1966</v>
      </c>
      <c r="U5" s="1264" t="s">
        <v>1967</v>
      </c>
      <c r="V5" s="1265" t="s">
        <v>1968</v>
      </c>
      <c r="W5" s="1265" t="s">
        <v>1969</v>
      </c>
      <c r="X5" s="68"/>
      <c r="Y5" s="67" t="s">
        <v>1970</v>
      </c>
      <c r="Z5" s="2298" t="s">
        <v>1967</v>
      </c>
      <c r="AA5" s="1265" t="s">
        <v>1968</v>
      </c>
      <c r="AB5" s="1265" t="s">
        <v>1969</v>
      </c>
      <c r="AC5" s="68"/>
      <c r="AD5" s="68" t="s">
        <v>1970</v>
      </c>
      <c r="AE5" s="1264" t="s">
        <v>1971</v>
      </c>
      <c r="AF5" s="1265" t="s">
        <v>1972</v>
      </c>
      <c r="AG5" s="67" t="s">
        <v>1973</v>
      </c>
      <c r="AH5" s="1264" t="s">
        <v>1974</v>
      </c>
      <c r="AI5" s="2298" t="s">
        <v>1975</v>
      </c>
      <c r="AJ5" s="2298" t="s">
        <v>1976</v>
      </c>
      <c r="AK5" s="1265" t="s">
        <v>1977</v>
      </c>
      <c r="AL5" s="1265" t="s">
        <v>1978</v>
      </c>
      <c r="AM5" s="67" t="s">
        <v>1979</v>
      </c>
      <c r="AN5" s="2299" t="s">
        <v>1980</v>
      </c>
      <c r="AO5" s="2069" t="s">
        <v>1981</v>
      </c>
      <c r="AP5" s="1246" t="s">
        <v>1982</v>
      </c>
      <c r="AQ5" s="2300" t="s">
        <v>1983</v>
      </c>
      <c r="AR5" s="2300" t="s">
        <v>1984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住宅</v>
      </c>
      <c r="B6" s="2302" t="str">
        <f>IF(A6=0,"","经营性")</f>
        <v>经营性</v>
      </c>
      <c r="C6" s="2303" t="s">
        <v>3048</v>
      </c>
      <c r="D6" s="1048">
        <f>SUMIF(项目基本情况!D$12:I$12,C6,项目基本情况!D$14:I$14)</f>
        <v>70</v>
      </c>
      <c r="E6" s="1045">
        <f>IF(B6="","",SUMIF(项目基本情况!D$12:I$12,C6,项目基本情况!D$13:I$13))</f>
        <v>66194</v>
      </c>
      <c r="F6" s="69">
        <f>SUMIF(项目基本情况!D$12:I$12,C6,项目基本情况!D$15:I$15)</f>
        <v>61.26</v>
      </c>
      <c r="G6" s="70">
        <f>IF(ISERROR(ROUND(POWER(1+H6,D6-F6)*(POWER(1+H6,F6)-1)/(POWER(1+H6,D6)-1),3)),0,ROUND(POWER(1+H6,D6-F6)*(POWER(1+H6,F6)-1)/(POWER(1+H6,D6)-1),3))</f>
        <v>0.97699999999999998</v>
      </c>
      <c r="H6" s="799">
        <v>4.4999999999999998E-2</v>
      </c>
      <c r="I6" s="799">
        <v>0.05</v>
      </c>
      <c r="J6" s="71">
        <v>8.5000000000000006E-2</v>
      </c>
      <c r="K6" s="1248">
        <f>SUMIF('数据-汇总表'!C$19:C$33,A6,'数据-汇总表'!E$19:E$33)</f>
        <v>37043.53</v>
      </c>
      <c r="L6" s="800">
        <v>2500</v>
      </c>
      <c r="M6" s="72">
        <f t="shared" ref="M6:M14" si="0">ROUND(K6*L6/10000,0)</f>
        <v>9261</v>
      </c>
      <c r="N6" s="798">
        <v>0.96</v>
      </c>
      <c r="O6" s="72">
        <f>IF($N$5="成新度","——",ROUND(M6*N6,0))</f>
        <v>8891</v>
      </c>
      <c r="P6" s="73">
        <f>IF($N$5="成新度","——",M6-O6)</f>
        <v>370</v>
      </c>
      <c r="Q6" s="801">
        <v>0.03</v>
      </c>
      <c r="R6" s="74">
        <f ca="1">SUMIF('数据-汇总表'!C$19:C$33,A6,'数据-汇总表'!R$19:R$27)</f>
        <v>8804.43</v>
      </c>
      <c r="S6" s="51">
        <f>IF('数据-汇总表'!$I$17="按面积比例",SUMIF('数据-汇总表'!C$19:C$33,A6,'数据-汇总表'!K$19:K$33),SUMIF('数据-汇总表'!C$19:C$33,A6,'数据-汇总表'!N$19:N$33))</f>
        <v>0</v>
      </c>
      <c r="T6" s="1440">
        <f>ROUND($L$14*S6/10000,0)</f>
        <v>0</v>
      </c>
      <c r="U6" s="75"/>
      <c r="V6" s="76"/>
      <c r="W6" s="76"/>
      <c r="X6" s="1258"/>
      <c r="Y6" s="77"/>
      <c r="Z6" s="78"/>
      <c r="AA6" s="71"/>
      <c r="AB6" s="71"/>
      <c r="AC6" s="1258"/>
      <c r="AD6" s="79"/>
      <c r="AE6" s="1259">
        <f ca="1">IF(AN6="",0,SUMIF(INDIRECT("'"&amp;AN6&amp;"'"&amp;"!E:E"),$AE$5,INDIRECT("'"&amp;AN6&amp;"'"&amp;"!F:F")))</f>
        <v>0</v>
      </c>
      <c r="AF6" s="1801"/>
      <c r="AG6" s="144">
        <f>IF(AF6="",0,AE6-AF6)</f>
        <v>0</v>
      </c>
      <c r="AH6" s="80"/>
      <c r="AI6" s="82"/>
      <c r="AJ6" s="83"/>
      <c r="AK6" s="84">
        <v>1.4999999999999999E-2</v>
      </c>
      <c r="AL6" s="85">
        <v>2E-3</v>
      </c>
      <c r="AM6" s="86">
        <v>0.02</v>
      </c>
      <c r="AN6" s="2304"/>
      <c r="AO6" s="52" t="e">
        <f ca="1">SUMIF(INDIRECT("'"&amp;AN6&amp;"'"&amp;"!A:A"),"总价",INDIRECT("'"&amp;AN6&amp;"'"&amp;"!B:B"))</f>
        <v>#REF!</v>
      </c>
      <c r="AP6" s="2305">
        <f>IF(C6="住宅",K6*L6,0)</f>
        <v>92608825</v>
      </c>
      <c r="AQ6" s="52">
        <f>ROUND($L$14*$N$14*S6/10000,0)</f>
        <v>0</v>
      </c>
      <c r="AR6" s="52">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仓储</v>
      </c>
      <c r="B7" s="2302" t="str">
        <f t="shared" ref="B7:B13" si="1">IF(A7=0,"","经营性")</f>
        <v>经营性</v>
      </c>
      <c r="C7" s="2303" t="s">
        <v>3050</v>
      </c>
      <c r="D7" s="1048">
        <f>SUMIF(项目基本情况!D$12:I$12,C7,项目基本情况!D$14:I$14)</f>
        <v>50</v>
      </c>
      <c r="E7" s="1045">
        <f>IF(B7="","",SUMIF(项目基本情况!D$12:I$12,C7,项目基本情况!D$13:I$13))</f>
        <v>58889</v>
      </c>
      <c r="F7" s="69">
        <f>SUMIF(项目基本情况!D$12:I$12,C7,项目基本情况!D$15:I$15)</f>
        <v>41.25</v>
      </c>
      <c r="G7" s="70">
        <f t="shared" ref="G7:G11" si="2">IF(ISERROR(ROUND(POWER(1+H7,D7-F7)*(POWER(1+H7,F7)-1)/(POWER(1+H7,D7)-1),3)),0,ROUND(POWER(1+H7,D7-F7)*(POWER(1+H7,F7)-1)/(POWER(1+H7,D7)-1),3))</f>
        <v>0.93300000000000005</v>
      </c>
      <c r="H7" s="799">
        <v>0.04</v>
      </c>
      <c r="I7" s="799">
        <v>4.4999999999999998E-2</v>
      </c>
      <c r="J7" s="71">
        <v>8.5000000000000006E-2</v>
      </c>
      <c r="K7" s="1248">
        <f>SUMIF('数据-汇总表'!C$19:C$33,A7,'数据-汇总表'!E$19:E$33)</f>
        <v>8980.48</v>
      </c>
      <c r="L7" s="800">
        <v>2000</v>
      </c>
      <c r="M7" s="72">
        <f t="shared" si="0"/>
        <v>1796</v>
      </c>
      <c r="N7" s="798">
        <v>0.96</v>
      </c>
      <c r="O7" s="72">
        <f t="shared" ref="O7:O14" si="3">IF($N$5="成新度","——",ROUND(M7*N7,0))</f>
        <v>1724</v>
      </c>
      <c r="P7" s="73">
        <f t="shared" ref="P7:P14" si="4">IF($N$5="成新度","——",M7-O7)</f>
        <v>72</v>
      </c>
      <c r="Q7" s="801">
        <v>0.03</v>
      </c>
      <c r="R7" s="74">
        <f ca="1">SUMIF('数据-汇总表'!C$19:C$33,A7,'数据-汇总表'!R$19:R$27)</f>
        <v>2134.46</v>
      </c>
      <c r="S7" s="51">
        <f>IF('数据-汇总表'!$I$17="按面积比例",SUMIF('数据-汇总表'!C$19:C$33,A7,'数据-汇总表'!K$19:K$33),SUMIF('数据-汇总表'!C$19:C$33,A7,'数据-汇总表'!N$19:N$33))</f>
        <v>0</v>
      </c>
      <c r="T7" s="1440">
        <f t="shared" ref="T7:T13" si="5">ROUND($L$14*S7/10000,0)</f>
        <v>0</v>
      </c>
      <c r="U7" s="75">
        <v>1.5</v>
      </c>
      <c r="V7" s="76">
        <v>2.5000000000000001E-2</v>
      </c>
      <c r="W7" s="76">
        <v>0.1</v>
      </c>
      <c r="X7" s="1258"/>
      <c r="Y7" s="77">
        <v>1</v>
      </c>
      <c r="Z7" s="78"/>
      <c r="AA7" s="71"/>
      <c r="AB7" s="71"/>
      <c r="AC7" s="1258"/>
      <c r="AD7" s="79"/>
      <c r="AE7" s="1259">
        <f t="shared" ref="AE7:AE13" ca="1" si="6">IF(AN7="",0,SUMIF(INDIRECT("'"&amp;AN7&amp;"'"&amp;"!E:E"),$AE$5,INDIRECT("'"&amp;AN7&amp;"'"&amp;"!F:F")))</f>
        <v>41.15</v>
      </c>
      <c r="AF7" s="1801"/>
      <c r="AG7" s="144">
        <f t="shared" ref="AG7:AG13" si="7">IF(AF7="",0,AE7-AF7)</f>
        <v>0</v>
      </c>
      <c r="AH7" s="80"/>
      <c r="AI7" s="82">
        <v>365</v>
      </c>
      <c r="AJ7" s="83"/>
      <c r="AK7" s="84">
        <v>1.4999999999999999E-2</v>
      </c>
      <c r="AL7" s="85">
        <v>2E-3</v>
      </c>
      <c r="AM7" s="86">
        <v>0.02</v>
      </c>
      <c r="AN7" s="2304" t="s">
        <v>3061</v>
      </c>
      <c r="AO7" s="52">
        <f t="shared" ref="AO7:AO13" ca="1" si="8">SUMIF(INDIRECT("'"&amp;AN7&amp;"'"&amp;"!A:A"),"总价",INDIRECT("'"&amp;AN7&amp;"'"&amp;"!B:B"))</f>
        <v>8750</v>
      </c>
      <c r="AP7" s="2305">
        <f t="shared" ref="AP7:AP13" si="9">IF(C7="住宅",K7*L7,0)</f>
        <v>0</v>
      </c>
      <c r="AQ7" s="52">
        <f t="shared" ref="AQ7:AQ13" si="10">ROUND($L$14*$N$14*S7/10000,0)</f>
        <v>0</v>
      </c>
      <c r="AR7" s="52">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8">
        <f>SUMIF(项目基本情况!D$12:I$12,C8,项目基本情况!D$14:I$14)</f>
        <v>0</v>
      </c>
      <c r="E8" s="1045" t="str">
        <f>IF(B8="","",SUMIF(项目基本情况!D$12:I$12,C8,项目基本情况!D$13:I$13))</f>
        <v/>
      </c>
      <c r="F8" s="69">
        <f>SUMIF(项目基本情况!D$12:I$12,C8,项目基本情况!D$15:I$15)</f>
        <v>0</v>
      </c>
      <c r="G8" s="70">
        <f t="shared" si="2"/>
        <v>0</v>
      </c>
      <c r="H8" s="799"/>
      <c r="I8" s="799"/>
      <c r="J8" s="71"/>
      <c r="K8" s="1248">
        <f>SUMIF('数据-汇总表'!C$19:C$33,A8,'数据-汇总表'!E$19:E$33)</f>
        <v>0</v>
      </c>
      <c r="L8" s="800"/>
      <c r="M8" s="72">
        <f>ROUND(K8*L8/10000,0)</f>
        <v>0</v>
      </c>
      <c r="N8" s="798"/>
      <c r="O8" s="72">
        <f t="shared" si="3"/>
        <v>0</v>
      </c>
      <c r="P8" s="73">
        <f t="shared" si="4"/>
        <v>0</v>
      </c>
      <c r="Q8" s="801"/>
      <c r="R8" s="74">
        <f ca="1">SUMIF('数据-汇总表'!C$19:C$33,A8,'数据-汇总表'!R$19:R$27)</f>
        <v>0</v>
      </c>
      <c r="S8" s="51">
        <f>IF('数据-汇总表'!$I$17="按面积比例",SUMIF('数据-汇总表'!C$19:C$33,A8,'数据-汇总表'!K$19:K$33),SUMIF('数据-汇总表'!C$19:C$33,A8,'数据-汇总表'!N$19:N$33))</f>
        <v>0</v>
      </c>
      <c r="T8" s="1440">
        <f t="shared" si="5"/>
        <v>0</v>
      </c>
      <c r="U8" s="802"/>
      <c r="V8" s="803"/>
      <c r="W8" s="803"/>
      <c r="X8" s="1258"/>
      <c r="Y8" s="804"/>
      <c r="Z8" s="78"/>
      <c r="AA8" s="71"/>
      <c r="AB8" s="71"/>
      <c r="AC8" s="1258"/>
      <c r="AD8" s="79"/>
      <c r="AE8" s="1259">
        <f t="shared" ca="1" si="6"/>
        <v>0</v>
      </c>
      <c r="AF8" s="1801"/>
      <c r="AG8" s="144">
        <f t="shared" si="7"/>
        <v>0</v>
      </c>
      <c r="AH8" s="805"/>
      <c r="AI8" s="82"/>
      <c r="AJ8" s="83"/>
      <c r="AK8" s="806"/>
      <c r="AL8" s="807"/>
      <c r="AM8" s="808"/>
      <c r="AN8" s="2304"/>
      <c r="AO8" s="52" t="e">
        <f t="shared" ca="1" si="8"/>
        <v>#REF!</v>
      </c>
      <c r="AP8" s="2305">
        <f t="shared" si="9"/>
        <v>0</v>
      </c>
      <c r="AQ8" s="52">
        <f t="shared" si="10"/>
        <v>0</v>
      </c>
      <c r="AR8" s="52">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8">
        <f>SUMIF(项目基本情况!D$12:I$12,C9,项目基本情况!D$14:I$14)</f>
        <v>0</v>
      </c>
      <c r="E9" s="1045" t="str">
        <f>IF(B9="","",SUMIF(项目基本情况!D$12:I$12,C9,项目基本情况!D$13:I$13))</f>
        <v/>
      </c>
      <c r="F9" s="69">
        <f>SUMIF(项目基本情况!D$12:I$12,C9,项目基本情况!D$15:I$15)</f>
        <v>0</v>
      </c>
      <c r="G9" s="70">
        <f t="shared" si="2"/>
        <v>0</v>
      </c>
      <c r="H9" s="71"/>
      <c r="I9" s="71"/>
      <c r="J9" s="71"/>
      <c r="K9" s="1248">
        <f>SUMIF('数据-汇总表'!C$19:C$33,A9,'数据-汇总表'!E$19:E$33)</f>
        <v>0</v>
      </c>
      <c r="L9" s="800"/>
      <c r="M9" s="72">
        <f t="shared" si="0"/>
        <v>0</v>
      </c>
      <c r="N9" s="798"/>
      <c r="O9" s="72">
        <f t="shared" si="3"/>
        <v>0</v>
      </c>
      <c r="P9" s="73">
        <f t="shared" si="4"/>
        <v>0</v>
      </c>
      <c r="Q9" s="87"/>
      <c r="R9" s="74">
        <f ca="1">SUMIF('数据-汇总表'!C$19:C$33,A9,'数据-汇总表'!R$19:R$27)</f>
        <v>0</v>
      </c>
      <c r="S9" s="51">
        <f>IF('数据-汇总表'!$I$17="按面积比例",SUMIF('数据-汇总表'!C$19:C$33,A9,'数据-汇总表'!K$19:K$33),SUMIF('数据-汇总表'!C$19:C$33,A9,'数据-汇总表'!N$19:N$33))</f>
        <v>0</v>
      </c>
      <c r="T9" s="1440">
        <f t="shared" si="5"/>
        <v>0</v>
      </c>
      <c r="U9" s="75"/>
      <c r="V9" s="76"/>
      <c r="W9" s="76"/>
      <c r="X9" s="1258"/>
      <c r="Y9" s="77"/>
      <c r="Z9" s="78"/>
      <c r="AA9" s="71"/>
      <c r="AB9" s="71"/>
      <c r="AC9" s="1258"/>
      <c r="AD9" s="79"/>
      <c r="AE9" s="1259">
        <f t="shared" ca="1" si="6"/>
        <v>0</v>
      </c>
      <c r="AF9" s="1801"/>
      <c r="AG9" s="144">
        <f t="shared" si="7"/>
        <v>0</v>
      </c>
      <c r="AH9" s="80"/>
      <c r="AI9" s="82"/>
      <c r="AJ9" s="83"/>
      <c r="AK9" s="84"/>
      <c r="AL9" s="85"/>
      <c r="AM9" s="86"/>
      <c r="AN9" s="2304"/>
      <c r="AO9" s="52" t="e">
        <f t="shared" ca="1" si="8"/>
        <v>#REF!</v>
      </c>
      <c r="AP9" s="2305">
        <f t="shared" si="9"/>
        <v>0</v>
      </c>
      <c r="AQ9" s="52">
        <f t="shared" si="10"/>
        <v>0</v>
      </c>
      <c r="AR9" s="52">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69">
        <f>SUMIF(项目基本情况!D$12:I$12,C10,项目基本情况!D$15:I$15)</f>
        <v>0</v>
      </c>
      <c r="G10" s="70">
        <f t="shared" si="2"/>
        <v>0</v>
      </c>
      <c r="H10" s="71"/>
      <c r="I10" s="71"/>
      <c r="J10" s="71"/>
      <c r="K10" s="1248">
        <f>SUMIF('数据-汇总表'!C$19:C$33,A10,'数据-汇总表'!E$19:E$33)</f>
        <v>0</v>
      </c>
      <c r="L10" s="800"/>
      <c r="M10" s="72">
        <f t="shared" si="0"/>
        <v>0</v>
      </c>
      <c r="N10" s="798"/>
      <c r="O10" s="72">
        <f t="shared" si="3"/>
        <v>0</v>
      </c>
      <c r="P10" s="73">
        <f t="shared" si="4"/>
        <v>0</v>
      </c>
      <c r="Q10" s="87"/>
      <c r="R10" s="74">
        <f ca="1">SUMIF('数据-汇总表'!C$19:C$33,A10,'数据-汇总表'!R$19:R$27)</f>
        <v>0</v>
      </c>
      <c r="S10" s="51">
        <f>IF('数据-汇总表'!$I$17="按面积比例",SUMIF('数据-汇总表'!C$19:C$33,A10,'数据-汇总表'!K$19:K$33),SUMIF('数据-汇总表'!C$19:C$33,A10,'数据-汇总表'!N$19:N$33))</f>
        <v>0</v>
      </c>
      <c r="T10" s="1440">
        <f t="shared" si="5"/>
        <v>0</v>
      </c>
      <c r="U10" s="75"/>
      <c r="V10" s="76"/>
      <c r="W10" s="76"/>
      <c r="X10" s="1258"/>
      <c r="Y10" s="77"/>
      <c r="Z10" s="78"/>
      <c r="AA10" s="71"/>
      <c r="AB10" s="71"/>
      <c r="AC10" s="1258"/>
      <c r="AD10" s="79"/>
      <c r="AE10" s="1259">
        <f t="shared" ca="1" si="6"/>
        <v>0</v>
      </c>
      <c r="AF10" s="1801"/>
      <c r="AG10" s="144">
        <f t="shared" si="7"/>
        <v>0</v>
      </c>
      <c r="AH10" s="80"/>
      <c r="AI10" s="82"/>
      <c r="AJ10" s="83"/>
      <c r="AK10" s="84"/>
      <c r="AL10" s="85"/>
      <c r="AM10" s="86"/>
      <c r="AN10" s="2304"/>
      <c r="AO10" s="52" t="e">
        <f t="shared" ca="1" si="8"/>
        <v>#REF!</v>
      </c>
      <c r="AP10" s="2305">
        <f t="shared" si="9"/>
        <v>0</v>
      </c>
      <c r="AQ10" s="52">
        <f t="shared" si="10"/>
        <v>0</v>
      </c>
      <c r="AR10" s="52">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69">
        <f>SUMIF(项目基本情况!D$12:I$12,C11,项目基本情况!D$15:I$15)</f>
        <v>0</v>
      </c>
      <c r="G11" s="70">
        <f t="shared" si="2"/>
        <v>0</v>
      </c>
      <c r="H11" s="71"/>
      <c r="I11" s="71"/>
      <c r="J11" s="71"/>
      <c r="K11" s="1248">
        <f>SUMIF('数据-汇总表'!C$19:C$33,A11,'数据-汇总表'!E$19:E$33)</f>
        <v>0</v>
      </c>
      <c r="L11" s="88"/>
      <c r="M11" s="72">
        <f t="shared" si="0"/>
        <v>0</v>
      </c>
      <c r="N11" s="89"/>
      <c r="O11" s="72">
        <f t="shared" si="3"/>
        <v>0</v>
      </c>
      <c r="P11" s="73">
        <f t="shared" si="4"/>
        <v>0</v>
      </c>
      <c r="Q11" s="87"/>
      <c r="R11" s="74">
        <f ca="1">SUMIF('数据-汇总表'!C$19:C$33,A11,'数据-汇总表'!R$19:R$27)</f>
        <v>0</v>
      </c>
      <c r="S11" s="51">
        <f>IF('数据-汇总表'!$I$17="按面积比例",SUMIF('数据-汇总表'!C$19:C$33,A11,'数据-汇总表'!K$19:K$33),SUMIF('数据-汇总表'!C$19:C$33,A11,'数据-汇总表'!N$19:N$33))</f>
        <v>0</v>
      </c>
      <c r="T11" s="1440">
        <f t="shared" si="5"/>
        <v>0</v>
      </c>
      <c r="U11" s="80"/>
      <c r="V11" s="71"/>
      <c r="W11" s="71"/>
      <c r="X11" s="1258"/>
      <c r="Y11" s="77"/>
      <c r="Z11" s="90"/>
      <c r="AA11" s="71"/>
      <c r="AB11" s="71"/>
      <c r="AC11" s="1258"/>
      <c r="AD11" s="79"/>
      <c r="AE11" s="1259">
        <f t="shared" ca="1" si="6"/>
        <v>0</v>
      </c>
      <c r="AF11" s="1801"/>
      <c r="AG11" s="144">
        <f t="shared" si="7"/>
        <v>0</v>
      </c>
      <c r="AH11" s="80"/>
      <c r="AI11" s="82"/>
      <c r="AJ11" s="83"/>
      <c r="AK11" s="91"/>
      <c r="AL11" s="92"/>
      <c r="AM11" s="93"/>
      <c r="AN11" s="2304"/>
      <c r="AO11" s="52" t="e">
        <f t="shared" ca="1" si="8"/>
        <v>#REF!</v>
      </c>
      <c r="AP11" s="2305">
        <f t="shared" si="9"/>
        <v>0</v>
      </c>
      <c r="AQ11" s="52">
        <f t="shared" si="10"/>
        <v>0</v>
      </c>
      <c r="AR11" s="52">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248">
        <f>SUMIF('数据-汇总表'!C$19:C$33,A12,'数据-汇总表'!E$19:E$33)</f>
        <v>0</v>
      </c>
      <c r="L12" s="88"/>
      <c r="M12" s="72">
        <f>ROUND(K12*L12/10000,0)</f>
        <v>0</v>
      </c>
      <c r="N12" s="89"/>
      <c r="O12" s="72">
        <f t="shared" si="3"/>
        <v>0</v>
      </c>
      <c r="P12" s="73">
        <f t="shared" si="4"/>
        <v>0</v>
      </c>
      <c r="Q12" s="87"/>
      <c r="R12" s="74">
        <f ca="1">SUMIF('数据-汇总表'!C$19:C$33,A12,'数据-汇总表'!R$19:R$27)</f>
        <v>0</v>
      </c>
      <c r="S12" s="51">
        <f>IF('数据-汇总表'!$I$17="按面积比例",SUMIF('数据-汇总表'!C$19:C$33,A12,'数据-汇总表'!K$19:K$33),SUMIF('数据-汇总表'!C$19:C$33,A12,'数据-汇总表'!N$19:N$33))</f>
        <v>0</v>
      </c>
      <c r="T12" s="1440">
        <f t="shared" si="5"/>
        <v>0</v>
      </c>
      <c r="U12" s="80"/>
      <c r="V12" s="71"/>
      <c r="W12" s="71"/>
      <c r="X12" s="1258"/>
      <c r="Y12" s="77"/>
      <c r="Z12" s="90"/>
      <c r="AA12" s="71"/>
      <c r="AB12" s="71"/>
      <c r="AC12" s="1258"/>
      <c r="AD12" s="79"/>
      <c r="AE12" s="1259">
        <f t="shared" ca="1" si="6"/>
        <v>0</v>
      </c>
      <c r="AF12" s="1801"/>
      <c r="AG12" s="144">
        <f t="shared" si="7"/>
        <v>0</v>
      </c>
      <c r="AH12" s="80"/>
      <c r="AI12" s="82"/>
      <c r="AJ12" s="83"/>
      <c r="AK12" s="91"/>
      <c r="AL12" s="92"/>
      <c r="AM12" s="93"/>
      <c r="AN12" s="2304"/>
      <c r="AO12" s="52" t="e">
        <f t="shared" ca="1" si="8"/>
        <v>#REF!</v>
      </c>
      <c r="AP12" s="2305">
        <f t="shared" si="9"/>
        <v>0</v>
      </c>
      <c r="AQ12" s="52">
        <f t="shared" si="10"/>
        <v>0</v>
      </c>
      <c r="AR12" s="52">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248">
        <f>SUMIF('数据-汇总表'!C$19:C$33,A13,'数据-汇总表'!E$19:E$33)</f>
        <v>0</v>
      </c>
      <c r="L13" s="88"/>
      <c r="M13" s="72">
        <f>ROUND(K13*L13/10000,0)</f>
        <v>0</v>
      </c>
      <c r="N13" s="89"/>
      <c r="O13" s="72">
        <f t="shared" si="3"/>
        <v>0</v>
      </c>
      <c r="P13" s="73">
        <f t="shared" si="4"/>
        <v>0</v>
      </c>
      <c r="Q13" s="87"/>
      <c r="R13" s="74">
        <f ca="1">SUMIF('数据-汇总表'!C$19:C$33,A13,'数据-汇总表'!R$19:R$27)</f>
        <v>0</v>
      </c>
      <c r="S13" s="51">
        <f>IF('数据-汇总表'!$I$17="按面积比例",SUMIF('数据-汇总表'!C$19:C$33,A13,'数据-汇总表'!K$19:K$33),SUMIF('数据-汇总表'!C$19:C$33,A13,'数据-汇总表'!N$19:N$33))</f>
        <v>0</v>
      </c>
      <c r="T13" s="1440">
        <f t="shared" si="5"/>
        <v>0</v>
      </c>
      <c r="U13" s="75"/>
      <c r="V13" s="76"/>
      <c r="W13" s="76"/>
      <c r="X13" s="1258"/>
      <c r="Y13" s="77"/>
      <c r="Z13" s="78"/>
      <c r="AA13" s="71"/>
      <c r="AB13" s="71"/>
      <c r="AC13" s="1258"/>
      <c r="AD13" s="79"/>
      <c r="AE13" s="1259">
        <f t="shared" ca="1" si="6"/>
        <v>0</v>
      </c>
      <c r="AF13" s="1801"/>
      <c r="AG13" s="144">
        <f t="shared" si="7"/>
        <v>0</v>
      </c>
      <c r="AH13" s="80"/>
      <c r="AI13" s="82"/>
      <c r="AJ13" s="83"/>
      <c r="AK13" s="84"/>
      <c r="AL13" s="85"/>
      <c r="AM13" s="86"/>
      <c r="AN13" s="2304"/>
      <c r="AO13" s="52" t="e">
        <f t="shared" ca="1" si="8"/>
        <v>#REF!</v>
      </c>
      <c r="AP13" s="2305">
        <f t="shared" si="9"/>
        <v>0</v>
      </c>
      <c r="AQ13" s="52">
        <f t="shared" si="10"/>
        <v>0</v>
      </c>
      <c r="AR13" s="52">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1985</v>
      </c>
      <c r="B14" s="2302" t="s">
        <v>1986</v>
      </c>
      <c r="C14" s="2307" t="s">
        <v>1985</v>
      </c>
      <c r="D14" s="1048"/>
      <c r="E14" s="1045"/>
      <c r="F14" s="69"/>
      <c r="G14" s="70"/>
      <c r="H14" s="1247"/>
      <c r="I14" s="1247"/>
      <c r="J14" s="1247"/>
      <c r="K14" s="1248">
        <f>SUMIF('数据-汇总表'!C$19:C$33,A14,'数据-汇总表'!E$19:E$33)</f>
        <v>0</v>
      </c>
      <c r="L14" s="88"/>
      <c r="M14" s="72">
        <f t="shared" si="0"/>
        <v>0</v>
      </c>
      <c r="N14" s="89"/>
      <c r="O14" s="72">
        <f t="shared" si="3"/>
        <v>0</v>
      </c>
      <c r="P14" s="73">
        <f t="shared" si="4"/>
        <v>0</v>
      </c>
      <c r="Q14" s="1251"/>
      <c r="R14" s="74"/>
      <c r="S14" s="51"/>
      <c r="T14" s="1440"/>
      <c r="U14" s="720"/>
      <c r="V14" s="1253"/>
      <c r="W14" s="1253"/>
      <c r="X14" s="1254"/>
      <c r="Y14" s="1255"/>
      <c r="Z14" s="1256"/>
      <c r="AA14" s="1257"/>
      <c r="AB14" s="1257"/>
      <c r="AC14" s="1258"/>
      <c r="AD14" s="1254"/>
      <c r="AE14" s="1259"/>
      <c r="AF14" s="52"/>
      <c r="AG14" s="144"/>
      <c r="AH14" s="1259"/>
      <c r="AI14" s="1812"/>
      <c r="AJ14" s="770"/>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1987</v>
      </c>
      <c r="B15" s="2302" t="s">
        <v>1986</v>
      </c>
      <c r="C15" s="2307" t="s">
        <v>1988</v>
      </c>
      <c r="D15" s="1048"/>
      <c r="E15" s="1045"/>
      <c r="F15" s="69"/>
      <c r="G15" s="70"/>
      <c r="H15" s="1247"/>
      <c r="I15" s="1247"/>
      <c r="J15" s="1247"/>
      <c r="K15" s="1248">
        <f>SUMIF('数据-汇总表'!C$19:C$33,A15,'数据-汇总表'!E$19:E$33)</f>
        <v>0</v>
      </c>
      <c r="L15" s="1249"/>
      <c r="M15" s="72"/>
      <c r="N15" s="1250"/>
      <c r="O15" s="72"/>
      <c r="P15" s="73"/>
      <c r="Q15" s="1251"/>
      <c r="R15" s="74"/>
      <c r="S15" s="51"/>
      <c r="T15" s="1440"/>
      <c r="U15" s="720"/>
      <c r="V15" s="1253"/>
      <c r="W15" s="1253"/>
      <c r="X15" s="1254"/>
      <c r="Y15" s="1255"/>
      <c r="Z15" s="1256"/>
      <c r="AA15" s="1257"/>
      <c r="AB15" s="1257"/>
      <c r="AC15" s="1258"/>
      <c r="AD15" s="1254"/>
      <c r="AE15" s="1259"/>
      <c r="AF15" s="52"/>
      <c r="AG15" s="144"/>
      <c r="AH15" s="1259"/>
      <c r="AI15" s="1812"/>
      <c r="AJ15" s="770"/>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1989</v>
      </c>
      <c r="B16" s="94"/>
      <c r="C16" s="1002"/>
      <c r="D16" s="2309"/>
      <c r="E16" s="94"/>
      <c r="F16" s="94"/>
      <c r="G16" s="95">
        <f>ROUND(SUMPRODUCT(G6:G13,K6:K13)/SUMPRODUCT((G6:G13&gt;0)*(K6:K13)),3)</f>
        <v>0.96799999999999997</v>
      </c>
      <c r="H16" s="96">
        <f>ROUND(SUMPRODUCT(H6:H13,K6:K13)/SUMPRODUCT((H6:H13&gt;0)*(K6:K13)),3)</f>
        <v>4.3999999999999997E-2</v>
      </c>
      <c r="I16" s="97"/>
      <c r="J16" s="97"/>
      <c r="K16" s="98">
        <f>SUM(K6:K15)</f>
        <v>46024.009999999995</v>
      </c>
      <c r="L16" s="99">
        <f>ROUND(M16*10000/SUM(K6:K14),0)</f>
        <v>2402</v>
      </c>
      <c r="M16" s="99">
        <f>SUM(M6:M14)</f>
        <v>11057</v>
      </c>
      <c r="N16" s="100">
        <f>ROUND(SUMPRODUCT(M6:M14,N6:N14)/M16,3)</f>
        <v>0.96</v>
      </c>
      <c r="O16" s="99">
        <f>SUM(O6:O14)</f>
        <v>10615</v>
      </c>
      <c r="P16" s="99">
        <f>SUM(P6:P14)</f>
        <v>442</v>
      </c>
      <c r="Q16" s="101">
        <f>ROUND(SUMPRODUCT(Q6:Q13,K6:K13)/SUMPRODUCT((Q6:Q13&gt;0)*(K6:K13)),2)</f>
        <v>0.03</v>
      </c>
      <c r="R16" s="1252">
        <f ca="1">SUM(R6:R13)</f>
        <v>10938.89</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5" t="s">
        <v>1990</v>
      </c>
      <c r="B18" s="2275"/>
      <c r="C18" s="2272"/>
      <c r="D18" s="2273"/>
      <c r="E18" s="2272"/>
      <c r="F18" s="2272"/>
      <c r="G18" s="2272"/>
      <c r="H18" s="2272"/>
      <c r="I18" s="2272"/>
      <c r="J18" s="2272"/>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1991</v>
      </c>
      <c r="B19" s="109">
        <v>0</v>
      </c>
      <c r="C19" s="2272" t="s">
        <v>1992</v>
      </c>
      <c r="D19" s="2273"/>
      <c r="E19" s="2272"/>
      <c r="F19" s="2272"/>
      <c r="G19" s="2272"/>
      <c r="H19" s="2272"/>
      <c r="I19" s="2272"/>
      <c r="J19" s="2272"/>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1993</v>
      </c>
      <c r="B20" s="110">
        <v>2</v>
      </c>
      <c r="C20" s="2272" t="s">
        <v>1994</v>
      </c>
      <c r="D20" s="2273"/>
      <c r="E20" s="2272"/>
      <c r="F20" s="2272"/>
      <c r="G20" s="2272"/>
      <c r="H20" s="2272"/>
      <c r="I20" s="2272"/>
      <c r="J20" s="2272"/>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1995</v>
      </c>
      <c r="B21" s="110">
        <v>1.9</v>
      </c>
      <c r="C21" s="2272"/>
      <c r="D21" s="2273"/>
      <c r="E21" s="2272"/>
      <c r="F21" s="2272"/>
      <c r="G21" s="2272"/>
      <c r="H21" s="2272"/>
      <c r="I21" s="2272"/>
      <c r="J21" s="2272"/>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1996</v>
      </c>
      <c r="B22" s="111">
        <f>B19+B20</f>
        <v>2</v>
      </c>
      <c r="C22" s="2272"/>
      <c r="D22" s="2273"/>
      <c r="E22" s="2272"/>
      <c r="F22" s="2272"/>
      <c r="G22" s="2272"/>
      <c r="H22" s="2272"/>
      <c r="I22" s="2272"/>
      <c r="J22" s="2272"/>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1997</v>
      </c>
      <c r="B23" s="111">
        <f>B19+B21</f>
        <v>1.9</v>
      </c>
      <c r="C23" s="2272"/>
      <c r="D23" s="2273"/>
      <c r="E23" s="2272"/>
      <c r="F23" s="2272"/>
      <c r="G23" s="2272"/>
      <c r="H23" s="2272"/>
      <c r="I23" s="2272"/>
      <c r="J23" s="2272"/>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1998</v>
      </c>
      <c r="B24" s="112">
        <f>B20-B21</f>
        <v>0.10000000000000009</v>
      </c>
      <c r="C24" s="2272"/>
      <c r="D24" s="2273"/>
      <c r="E24" s="2272"/>
      <c r="F24" s="2272"/>
      <c r="G24" s="2272"/>
      <c r="H24" s="2272"/>
      <c r="I24" s="2272"/>
      <c r="J24" s="2272"/>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1999</v>
      </c>
      <c r="B26" s="2315" t="s">
        <v>2000</v>
      </c>
      <c r="C26" s="2316" t="s">
        <v>2001</v>
      </c>
      <c r="D26" s="2273"/>
      <c r="E26" s="2272"/>
      <c r="F26" s="2272"/>
      <c r="G26" s="2272"/>
      <c r="H26" s="2272"/>
      <c r="I26" s="2272"/>
      <c r="J26" s="2272"/>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2002</v>
      </c>
      <c r="B27" s="113">
        <v>160</v>
      </c>
      <c r="C27" s="1761" t="s">
        <v>2003</v>
      </c>
      <c r="D27" s="2318"/>
      <c r="E27" s="1424"/>
      <c r="F27" s="1424"/>
      <c r="G27" s="2272"/>
      <c r="H27" s="2272"/>
      <c r="I27" s="2272"/>
      <c r="J27" s="2272"/>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2004</v>
      </c>
      <c r="B28" s="116">
        <v>200</v>
      </c>
      <c r="C28" s="2321"/>
      <c r="D28" s="2318"/>
      <c r="E28" s="1424"/>
      <c r="F28" s="1424"/>
      <c r="G28" s="2272"/>
      <c r="H28" s="2272"/>
      <c r="I28" s="2272"/>
      <c r="J28" s="2272"/>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2005</v>
      </c>
      <c r="B29" s="118">
        <f ca="1">成本法!C9+成本法!C10</f>
        <v>773</v>
      </c>
      <c r="C29" s="1761" t="s">
        <v>2006</v>
      </c>
      <c r="D29" s="2318"/>
      <c r="E29" s="1424"/>
      <c r="F29" s="1424"/>
      <c r="G29" s="2272"/>
      <c r="H29" s="2272"/>
      <c r="I29" s="2272"/>
      <c r="J29" s="2272"/>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2007</v>
      </c>
      <c r="B30" s="721">
        <v>200</v>
      </c>
      <c r="C30" s="2321"/>
      <c r="D30" s="2318"/>
      <c r="E30" s="1424"/>
      <c r="F30" s="1424"/>
      <c r="G30" s="2272"/>
      <c r="H30" s="2272"/>
      <c r="I30" s="2272"/>
      <c r="J30" s="2272"/>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2008</v>
      </c>
      <c r="B31" s="117">
        <f>B30-B32</f>
        <v>200</v>
      </c>
      <c r="C31" s="1761"/>
      <c r="D31" s="2318"/>
      <c r="E31" s="1424"/>
      <c r="F31" s="1424"/>
      <c r="G31" s="2272"/>
      <c r="H31" s="2272"/>
      <c r="I31" s="2272"/>
      <c r="J31" s="2272"/>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2009</v>
      </c>
      <c r="B32" s="722">
        <v>0</v>
      </c>
      <c r="C32" s="2321"/>
      <c r="D32" s="2273"/>
      <c r="E32" s="2272"/>
      <c r="F32" s="2272"/>
      <c r="G32" s="2272"/>
      <c r="H32" s="2272"/>
      <c r="I32" s="2272"/>
      <c r="J32" s="2272"/>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2010</v>
      </c>
      <c r="B33" s="723">
        <v>0.03</v>
      </c>
      <c r="C33" s="1760" t="s">
        <v>2011</v>
      </c>
      <c r="D33" s="2273"/>
      <c r="E33" s="2272"/>
      <c r="F33" s="2272"/>
      <c r="G33" s="2272"/>
      <c r="H33" s="2272"/>
      <c r="I33" s="2272"/>
      <c r="J33" s="2272"/>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2012</v>
      </c>
      <c r="B34" s="119">
        <v>0.05</v>
      </c>
      <c r="C34" s="1760" t="s">
        <v>2013</v>
      </c>
      <c r="D34" s="2273" t="s">
        <v>2014</v>
      </c>
      <c r="E34" s="729"/>
      <c r="F34" s="2272"/>
      <c r="G34" s="2272"/>
      <c r="H34" s="2272"/>
      <c r="I34" s="2272"/>
      <c r="J34" s="2272"/>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2015</v>
      </c>
      <c r="B35" s="116">
        <v>200</v>
      </c>
      <c r="C35" s="1760" t="s">
        <v>2016</v>
      </c>
      <c r="D35" s="2318"/>
      <c r="E35" s="1424"/>
      <c r="F35" s="1424"/>
      <c r="G35" s="2272"/>
      <c r="H35" s="2272"/>
      <c r="I35" s="2272"/>
      <c r="J35" s="2272"/>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2017</v>
      </c>
      <c r="B36" s="120">
        <v>1.4999999999999999E-2</v>
      </c>
      <c r="C36" s="1760" t="s">
        <v>2018</v>
      </c>
      <c r="D36" s="2273"/>
      <c r="E36" s="2272"/>
      <c r="F36" s="2272"/>
      <c r="G36" s="2272"/>
      <c r="H36" s="2272"/>
      <c r="I36" s="2272"/>
      <c r="J36" s="2272"/>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2019</v>
      </c>
      <c r="B37" s="121">
        <v>0.03</v>
      </c>
      <c r="C37" s="1760" t="s">
        <v>2020</v>
      </c>
      <c r="D37" s="2273"/>
      <c r="E37" s="2272"/>
      <c r="F37" s="2272"/>
      <c r="G37" s="2272"/>
      <c r="H37" s="2272"/>
      <c r="I37" s="2272"/>
      <c r="J37" s="2272"/>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2021</v>
      </c>
      <c r="B38" s="119">
        <v>0.03</v>
      </c>
      <c r="C38" s="1760" t="s">
        <v>2020</v>
      </c>
      <c r="D38" s="2273"/>
      <c r="E38" s="2272"/>
      <c r="F38" s="2272"/>
      <c r="G38" s="2272"/>
      <c r="H38" s="2272"/>
      <c r="I38" s="2272"/>
      <c r="J38" s="2272"/>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2022</v>
      </c>
      <c r="B39" s="359">
        <f ca="1">存贷款利率!I1</f>
        <v>1.4999999999999999E-2</v>
      </c>
      <c r="C39" s="1760"/>
      <c r="D39" s="2273"/>
      <c r="E39" s="2272"/>
      <c r="F39" s="2272"/>
      <c r="G39" s="2272"/>
      <c r="H39" s="2272"/>
      <c r="I39" s="2272"/>
      <c r="J39" s="2272"/>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2023</v>
      </c>
      <c r="B40" s="1297">
        <f ca="1">存贷款利率!G1</f>
        <v>4.7500000000000001E-2</v>
      </c>
      <c r="C40" s="1760" t="s">
        <v>2024</v>
      </c>
      <c r="D40" s="1578"/>
      <c r="E40" s="2273"/>
      <c r="F40" s="2272"/>
      <c r="G40" s="2272"/>
      <c r="H40" s="2272"/>
      <c r="I40" s="2272"/>
      <c r="J40" s="2272"/>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2025</v>
      </c>
      <c r="B41" s="122">
        <f>B42+B43</f>
        <v>5.6000000000000001E-2</v>
      </c>
      <c r="C41" s="1761"/>
      <c r="D41" s="1578"/>
      <c r="E41" s="2273"/>
      <c r="F41" s="2272"/>
      <c r="G41" s="2272"/>
      <c r="H41" s="2272"/>
      <c r="I41" s="2272"/>
      <c r="J41" s="2272"/>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2026</v>
      </c>
      <c r="B42" s="123">
        <v>0.05</v>
      </c>
      <c r="C42" s="2326">
        <f>IF(B2&lt;DATE(2016,5,1),0,B42)</f>
        <v>0.05</v>
      </c>
      <c r="D42" s="2273"/>
      <c r="E42" s="2272"/>
      <c r="F42" s="2272"/>
      <c r="G42" s="2272"/>
      <c r="H42" s="2272"/>
      <c r="I42" s="2272"/>
      <c r="J42" s="2272"/>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2027</v>
      </c>
      <c r="B43" s="124">
        <f>B42*(B44+B45+B46)+B47</f>
        <v>6.000000000000001E-3</v>
      </c>
      <c r="C43" s="1761"/>
      <c r="D43" s="2273"/>
      <c r="E43" s="2272"/>
      <c r="F43" s="2272"/>
      <c r="G43" s="2272"/>
      <c r="H43" s="2272"/>
      <c r="I43" s="2272"/>
      <c r="J43" s="2272"/>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2028</v>
      </c>
      <c r="B44" s="125">
        <v>7.0000000000000007E-2</v>
      </c>
      <c r="C44" s="1760" t="s">
        <v>2029</v>
      </c>
      <c r="D44" s="2273"/>
      <c r="E44" s="2272"/>
      <c r="F44" s="2272"/>
      <c r="G44" s="2272"/>
      <c r="H44" s="2272"/>
      <c r="I44" s="2272"/>
      <c r="J44" s="2272"/>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2030</v>
      </c>
      <c r="B45" s="123">
        <v>0.03</v>
      </c>
      <c r="C45" s="1761" t="s">
        <v>2031</v>
      </c>
      <c r="D45" s="2273"/>
      <c r="E45" s="2272"/>
      <c r="F45" s="2272"/>
      <c r="G45" s="2272"/>
      <c r="H45" s="2272"/>
      <c r="I45" s="2272"/>
      <c r="J45" s="2272"/>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2032</v>
      </c>
      <c r="B46" s="123">
        <v>0.02</v>
      </c>
      <c r="C46" s="1761" t="s">
        <v>2033</v>
      </c>
      <c r="D46" s="2273"/>
      <c r="E46" s="2272"/>
      <c r="F46" s="2272"/>
      <c r="G46" s="2272"/>
      <c r="H46" s="2272"/>
      <c r="I46" s="2272"/>
      <c r="J46" s="2272"/>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2034</v>
      </c>
      <c r="B47" s="126"/>
      <c r="C47" s="1761" t="s">
        <v>2035</v>
      </c>
      <c r="D47" s="2273"/>
      <c r="E47" s="2272"/>
      <c r="F47" s="2272"/>
      <c r="G47" s="2272"/>
      <c r="H47" s="2272"/>
      <c r="I47" s="2272"/>
      <c r="J47" s="2272"/>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2036</v>
      </c>
      <c r="B48" s="127">
        <v>0.03</v>
      </c>
      <c r="C48" s="1768" t="s">
        <v>2037</v>
      </c>
      <c r="D48" s="2273"/>
      <c r="E48" s="2272"/>
      <c r="F48" s="2272"/>
      <c r="G48" s="2272"/>
      <c r="H48" s="2272"/>
      <c r="I48" s="2272"/>
      <c r="J48" s="2272"/>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2038</v>
      </c>
      <c r="B49" s="123">
        <v>5.0000000000000001E-4</v>
      </c>
      <c r="C49" s="1768" t="s">
        <v>2039</v>
      </c>
      <c r="D49" s="2273"/>
      <c r="E49" s="2272"/>
      <c r="F49" s="2272"/>
      <c r="G49" s="2272"/>
      <c r="H49" s="2272"/>
      <c r="I49" s="2272"/>
      <c r="J49" s="2272"/>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2040</v>
      </c>
      <c r="B50" s="128">
        <v>1.2E-2</v>
      </c>
      <c r="C50" s="1424"/>
      <c r="D50" s="2273"/>
      <c r="E50" s="2272"/>
      <c r="F50" s="2272"/>
      <c r="G50" s="2272"/>
      <c r="H50" s="2272"/>
      <c r="I50" s="2272"/>
      <c r="J50" s="2272"/>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2041</v>
      </c>
      <c r="B51" s="129">
        <v>0.12</v>
      </c>
      <c r="C51" s="1424"/>
      <c r="D51" s="2273"/>
      <c r="E51" s="2272"/>
      <c r="F51" s="2272"/>
      <c r="G51" s="2272"/>
      <c r="H51" s="2272"/>
      <c r="I51" s="2272"/>
      <c r="J51" s="2272"/>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2042</v>
      </c>
      <c r="B52" s="130">
        <f>SUMIF(A54:A63,B53,B54:B63)</f>
        <v>1.5</v>
      </c>
      <c r="C52" s="1424"/>
      <c r="D52" s="2273"/>
      <c r="E52" s="2272"/>
      <c r="F52" s="2272"/>
      <c r="G52" s="2272"/>
      <c r="H52" s="2272"/>
      <c r="I52" s="2272"/>
      <c r="J52" s="2272"/>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2043</v>
      </c>
      <c r="B53" s="2331" t="s">
        <v>32</v>
      </c>
      <c r="C53" s="1424" t="s">
        <v>2044</v>
      </c>
      <c r="D53" s="2332" t="s">
        <v>2045</v>
      </c>
      <c r="E53" s="2272"/>
      <c r="F53" s="2272"/>
      <c r="G53" s="2272"/>
      <c r="H53" s="2272"/>
      <c r="I53" s="2272"/>
      <c r="J53" s="2272"/>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2046</v>
      </c>
      <c r="B54" s="81"/>
      <c r="C54" s="1424">
        <v>30</v>
      </c>
      <c r="D54" s="2273"/>
      <c r="E54" s="2272"/>
      <c r="F54" s="2272"/>
      <c r="G54" s="2272"/>
      <c r="H54" s="2272"/>
      <c r="I54" s="2272"/>
      <c r="J54" s="2272"/>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2047</v>
      </c>
      <c r="B55" s="81"/>
      <c r="C55" s="1424">
        <v>24</v>
      </c>
      <c r="D55" s="2273"/>
      <c r="E55" s="2272"/>
      <c r="F55" s="2272"/>
      <c r="G55" s="2272"/>
      <c r="H55" s="2272"/>
      <c r="I55" s="2334"/>
      <c r="J55" s="2272"/>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2048</v>
      </c>
      <c r="B56" s="81"/>
      <c r="C56" s="1424">
        <v>18</v>
      </c>
      <c r="D56" s="2273"/>
      <c r="E56" s="2272"/>
      <c r="F56" s="2272"/>
      <c r="G56" s="2272"/>
      <c r="H56" s="2272"/>
      <c r="I56" s="2272"/>
      <c r="J56" s="2272"/>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2049</v>
      </c>
      <c r="B57" s="81"/>
      <c r="C57" s="1424">
        <v>12</v>
      </c>
      <c r="D57" s="2273"/>
      <c r="E57" s="2272"/>
      <c r="F57" s="2272"/>
      <c r="G57" s="2272"/>
      <c r="H57" s="2272"/>
      <c r="I57" s="2272"/>
      <c r="J57" s="2272"/>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2050</v>
      </c>
      <c r="B58" s="81"/>
      <c r="C58" s="1424">
        <v>3</v>
      </c>
      <c r="D58" s="2273"/>
      <c r="E58" s="2272"/>
      <c r="F58" s="2272"/>
      <c r="G58" s="2272"/>
      <c r="H58" s="2272"/>
      <c r="I58" s="2272"/>
      <c r="J58" s="2272"/>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2051</v>
      </c>
      <c r="B59" s="81">
        <v>1.5</v>
      </c>
      <c r="C59" s="1424">
        <v>1.5</v>
      </c>
      <c r="D59" s="2273"/>
      <c r="E59" s="2272"/>
      <c r="F59" s="2272"/>
      <c r="G59" s="2272"/>
      <c r="H59" s="2272"/>
      <c r="I59" s="2272"/>
      <c r="J59" s="2272"/>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2052</v>
      </c>
      <c r="B60" s="81"/>
      <c r="C60" s="2272"/>
      <c r="D60" s="2273"/>
      <c r="E60" s="2272"/>
      <c r="F60" s="2272"/>
      <c r="G60" s="2272"/>
      <c r="H60" s="2272"/>
      <c r="I60" s="2272"/>
      <c r="J60" s="2272"/>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2053</v>
      </c>
      <c r="B61" s="81"/>
      <c r="C61" s="2272"/>
      <c r="D61" s="2273"/>
      <c r="E61" s="2272"/>
      <c r="F61" s="2272"/>
      <c r="G61" s="2272"/>
      <c r="H61" s="2272"/>
      <c r="I61" s="2272"/>
      <c r="J61" s="2272"/>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2054</v>
      </c>
      <c r="B62" s="81"/>
      <c r="C62" s="2272"/>
      <c r="D62" s="2273"/>
      <c r="E62" s="2272"/>
      <c r="F62" s="2272"/>
      <c r="G62" s="2272"/>
      <c r="H62" s="2272"/>
      <c r="I62" s="2272"/>
      <c r="J62" s="2272"/>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2055</v>
      </c>
      <c r="B63" s="131"/>
      <c r="C63" s="2272"/>
      <c r="D63" s="2273"/>
      <c r="E63" s="2272"/>
      <c r="F63" s="2272"/>
      <c r="G63" s="2272"/>
      <c r="H63" s="2272"/>
      <c r="I63" s="2272"/>
      <c r="J63" s="2272"/>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4"/>
      <c r="L134" s="24"/>
    </row>
    <row r="135" spans="1:12" s="2269" customFormat="1">
      <c r="A135" s="2338"/>
      <c r="D135" s="2339"/>
      <c r="K135" s="24"/>
      <c r="L135" s="24"/>
    </row>
    <row r="136" spans="1:12" s="2269" customFormat="1">
      <c r="A136" s="2338"/>
      <c r="D136" s="2339"/>
      <c r="K136" s="24"/>
      <c r="L136" s="24"/>
    </row>
    <row r="137" spans="1:12" s="2269" customFormat="1">
      <c r="A137" s="2338"/>
      <c r="D137" s="2339"/>
      <c r="K137" s="24"/>
      <c r="L137" s="24"/>
    </row>
    <row r="138" spans="1:12" s="2269" customFormat="1">
      <c r="A138" s="2338"/>
      <c r="D138" s="2339"/>
      <c r="K138" s="24"/>
      <c r="L138" s="24"/>
    </row>
    <row r="139" spans="1:12" s="2269" customFormat="1">
      <c r="A139" s="2338"/>
      <c r="D139" s="2339"/>
      <c r="K139" s="24"/>
      <c r="L139" s="24"/>
    </row>
    <row r="140" spans="1:12" s="2269" customFormat="1">
      <c r="A140" s="2338"/>
      <c r="D140" s="2339"/>
      <c r="K140" s="24"/>
      <c r="L140" s="24"/>
    </row>
    <row r="141" spans="1:12" s="2269" customFormat="1">
      <c r="A141" s="2338"/>
      <c r="D141" s="2339"/>
      <c r="K141" s="24"/>
      <c r="L141" s="24"/>
    </row>
    <row r="142" spans="1:12" s="2269" customFormat="1">
      <c r="A142" s="2338"/>
      <c r="D142" s="2339"/>
      <c r="K142" s="24"/>
      <c r="L142" s="24"/>
    </row>
    <row r="143" spans="1:12" s="2269" customFormat="1">
      <c r="A143" s="2338"/>
      <c r="D143" s="2339"/>
      <c r="K143" s="24"/>
      <c r="L143" s="24"/>
    </row>
    <row r="144" spans="1:12" s="2269" customFormat="1">
      <c r="A144" s="2338"/>
      <c r="D144" s="2339"/>
      <c r="K144" s="24"/>
      <c r="L144" s="24"/>
    </row>
    <row r="145" spans="1:12" s="2269" customFormat="1">
      <c r="A145" s="2338"/>
      <c r="D145" s="2339"/>
      <c r="K145" s="24"/>
      <c r="L145" s="24"/>
    </row>
    <row r="146" spans="1:12" s="2269" customFormat="1">
      <c r="A146" s="2338"/>
      <c r="D146" s="2339"/>
      <c r="K146" s="24"/>
      <c r="L146" s="24"/>
    </row>
    <row r="147" spans="1:12" s="2269" customFormat="1">
      <c r="A147" s="2338"/>
      <c r="D147" s="2339"/>
      <c r="K147" s="24"/>
      <c r="L147" s="24"/>
    </row>
    <row r="148" spans="1:12" s="2269" customFormat="1">
      <c r="A148" s="2338"/>
      <c r="D148" s="2339"/>
      <c r="K148" s="24"/>
      <c r="L148" s="24"/>
    </row>
    <row r="149" spans="1:12" s="2269" customFormat="1">
      <c r="A149" s="2338"/>
      <c r="D149" s="2339"/>
      <c r="K149" s="24"/>
      <c r="L149" s="24"/>
    </row>
    <row r="150" spans="1:12" s="2269" customFormat="1">
      <c r="A150" s="2338"/>
      <c r="D150" s="2339"/>
      <c r="K150" s="24"/>
      <c r="L150" s="24"/>
    </row>
    <row r="151" spans="1:12" s="2269" customFormat="1">
      <c r="A151" s="2338"/>
      <c r="D151" s="2339"/>
      <c r="K151" s="24"/>
      <c r="L151" s="24"/>
    </row>
    <row r="152" spans="1:12" s="2269" customFormat="1">
      <c r="A152" s="2338"/>
      <c r="D152" s="2339"/>
      <c r="K152" s="24"/>
      <c r="L152" s="24"/>
    </row>
    <row r="153" spans="1:12" s="2269" customFormat="1">
      <c r="A153" s="2338"/>
      <c r="D153" s="2339"/>
      <c r="K153" s="24"/>
      <c r="L153" s="24"/>
    </row>
    <row r="154" spans="1:12" s="2269" customFormat="1">
      <c r="A154" s="2338"/>
      <c r="D154" s="2339"/>
      <c r="K154" s="24"/>
      <c r="L154" s="24"/>
    </row>
    <row r="155" spans="1:12" s="2269" customFormat="1">
      <c r="A155" s="2338"/>
      <c r="D155" s="2339"/>
      <c r="K155" s="24"/>
      <c r="L155" s="24"/>
    </row>
    <row r="156" spans="1:12" s="2269" customFormat="1">
      <c r="A156" s="2338"/>
      <c r="D156" s="2339"/>
      <c r="K156" s="24"/>
      <c r="L156" s="24"/>
    </row>
    <row r="157" spans="1:12" s="2269" customFormat="1">
      <c r="A157" s="2338"/>
      <c r="D157" s="2339"/>
      <c r="K157" s="24"/>
      <c r="L157" s="24"/>
    </row>
    <row r="158" spans="1:12" s="2269" customFormat="1">
      <c r="A158" s="2338"/>
      <c r="D158" s="2339"/>
      <c r="K158" s="24"/>
      <c r="L158" s="24"/>
    </row>
    <row r="159" spans="1:12" s="2269" customFormat="1">
      <c r="A159" s="2338"/>
      <c r="D159" s="2339"/>
      <c r="K159" s="24"/>
      <c r="L159" s="24"/>
    </row>
    <row r="160" spans="1:12" s="2269" customFormat="1">
      <c r="A160" s="2338"/>
      <c r="D160" s="2339"/>
      <c r="K160" s="24"/>
      <c r="L160" s="24"/>
    </row>
    <row r="161" spans="1:12" s="2269" customFormat="1">
      <c r="A161" s="2338"/>
      <c r="D161" s="2339"/>
      <c r="K161" s="24"/>
      <c r="L161" s="24"/>
    </row>
    <row r="162" spans="1:12" s="2269" customFormat="1">
      <c r="A162" s="2338"/>
      <c r="D162" s="2339"/>
      <c r="K162" s="24"/>
      <c r="L162" s="24"/>
    </row>
    <row r="163" spans="1:12" s="2269" customFormat="1">
      <c r="A163" s="2338"/>
      <c r="D163" s="2339"/>
      <c r="K163" s="24"/>
      <c r="L163" s="24"/>
    </row>
    <row r="164" spans="1:12" s="2269" customFormat="1">
      <c r="A164" s="2338"/>
      <c r="D164" s="2339"/>
      <c r="K164" s="24"/>
      <c r="L164" s="24"/>
    </row>
    <row r="165" spans="1:12" s="2269" customFormat="1">
      <c r="A165" s="2338"/>
      <c r="D165" s="2339"/>
      <c r="K165" s="24"/>
      <c r="L165" s="24"/>
    </row>
    <row r="166" spans="1:12" s="2269" customFormat="1">
      <c r="A166" s="2338"/>
      <c r="D166" s="2339"/>
      <c r="K166" s="24"/>
      <c r="L166" s="24"/>
    </row>
    <row r="167" spans="1:12" s="2269" customFormat="1">
      <c r="A167" s="2338"/>
      <c r="D167" s="2339"/>
      <c r="K167" s="24"/>
      <c r="L167" s="24"/>
    </row>
    <row r="168" spans="1:12" s="2269" customFormat="1">
      <c r="A168" s="2338"/>
      <c r="D168" s="2339"/>
      <c r="K168" s="24"/>
      <c r="L168" s="24"/>
    </row>
    <row r="169" spans="1:12" s="2269" customFormat="1">
      <c r="A169" s="2338"/>
      <c r="D169" s="2339"/>
      <c r="K169" s="24"/>
      <c r="L169" s="24"/>
    </row>
    <row r="170" spans="1:12" s="2269" customFormat="1">
      <c r="A170" s="2338"/>
      <c r="D170" s="2339"/>
      <c r="K170" s="24"/>
      <c r="L170" s="24"/>
    </row>
    <row r="171" spans="1:12" s="2269" customFormat="1">
      <c r="A171" s="2338"/>
      <c r="D171" s="2339"/>
      <c r="K171" s="24"/>
      <c r="L171" s="24"/>
    </row>
    <row r="172" spans="1:12" s="2269" customFormat="1">
      <c r="A172" s="2338"/>
      <c r="D172" s="2339"/>
      <c r="K172" s="24"/>
      <c r="L172" s="24"/>
    </row>
    <row r="173" spans="1:12" s="2269" customFormat="1">
      <c r="A173" s="2338"/>
      <c r="D173" s="2339"/>
      <c r="K173" s="24"/>
      <c r="L173" s="24"/>
    </row>
    <row r="174" spans="1:12" s="2269" customFormat="1">
      <c r="A174" s="2338"/>
      <c r="D174" s="2339"/>
      <c r="K174" s="24"/>
      <c r="L174" s="2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H19" sqref="H19"/>
      <selection pane="topRight" activeCell="H19" sqref="H19"/>
      <selection pane="bottomLeft" activeCell="H19" sqref="H19"/>
      <selection pane="bottomRight" activeCell="C23" sqref="C23"/>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0" t="s">
        <v>2056</v>
      </c>
      <c r="B1" s="3051"/>
      <c r="C1" s="3051"/>
      <c r="D1" s="3051"/>
      <c r="E1" s="3051"/>
      <c r="F1" s="3051"/>
      <c r="G1" s="305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2057</v>
      </c>
      <c r="D2" s="2360"/>
      <c r="E2" s="2361"/>
      <c r="F2" s="2281"/>
      <c r="G2" s="2359" t="s">
        <v>2058</v>
      </c>
      <c r="H2" s="2362"/>
      <c r="I2" s="2362"/>
      <c r="J2" s="2362"/>
      <c r="K2" s="2362"/>
      <c r="L2" s="2362"/>
      <c r="M2" s="2362"/>
      <c r="N2" s="2362"/>
      <c r="O2" s="2362"/>
      <c r="P2" s="2362"/>
      <c r="Q2" s="2362"/>
      <c r="R2" s="2362"/>
    </row>
    <row r="3" spans="1:29" ht="54">
      <c r="A3" s="412" t="s">
        <v>2059</v>
      </c>
      <c r="B3" s="1265" t="s">
        <v>2060</v>
      </c>
      <c r="C3" s="2364" t="s">
        <v>2061</v>
      </c>
      <c r="D3" s="2365"/>
      <c r="E3" s="428" t="s">
        <v>2059</v>
      </c>
      <c r="F3" s="2366" t="s">
        <v>2062</v>
      </c>
      <c r="G3" s="2367" t="s">
        <v>2063</v>
      </c>
      <c r="H3" s="2362"/>
      <c r="I3" s="2362"/>
      <c r="J3" s="2362"/>
      <c r="K3" s="2362"/>
      <c r="L3" s="2362"/>
      <c r="M3" s="2362"/>
      <c r="N3" s="2362"/>
      <c r="O3" s="2362"/>
      <c r="P3" s="2362"/>
      <c r="Q3" s="2362"/>
      <c r="R3" s="2362"/>
    </row>
    <row r="4" spans="1:29" ht="41.25">
      <c r="A4" s="428"/>
      <c r="B4" s="1792" t="s">
        <v>2064</v>
      </c>
      <c r="C4" s="2368" t="s">
        <v>2065</v>
      </c>
      <c r="D4" s="2365"/>
      <c r="E4" s="2369"/>
      <c r="F4" s="39" t="s">
        <v>2066</v>
      </c>
      <c r="G4" s="2370" t="s">
        <v>2067</v>
      </c>
      <c r="H4" s="2362"/>
      <c r="I4" s="2362"/>
      <c r="J4" s="2362"/>
      <c r="K4" s="2362"/>
      <c r="L4" s="2362"/>
      <c r="M4" s="2362"/>
      <c r="N4" s="2362"/>
      <c r="O4" s="2362"/>
      <c r="P4" s="2362"/>
      <c r="Q4" s="2362"/>
      <c r="R4" s="2362"/>
    </row>
    <row r="5" spans="1:29" ht="41.25">
      <c r="A5" s="428"/>
      <c r="B5" s="1792" t="s">
        <v>2068</v>
      </c>
      <c r="C5" s="2368" t="s">
        <v>2069</v>
      </c>
      <c r="D5" s="2365"/>
      <c r="E5" s="2369"/>
      <c r="F5" s="1792" t="s">
        <v>2070</v>
      </c>
      <c r="G5" s="2370" t="s">
        <v>2071</v>
      </c>
      <c r="H5" s="2362"/>
      <c r="I5" s="2362"/>
      <c r="J5" s="2362"/>
      <c r="K5" s="2362"/>
      <c r="L5" s="2362"/>
      <c r="M5" s="2362"/>
      <c r="N5" s="2362"/>
      <c r="O5" s="2362"/>
      <c r="P5" s="2362"/>
      <c r="Q5" s="2362"/>
      <c r="R5" s="2362"/>
    </row>
    <row r="6" spans="1:29" ht="54">
      <c r="A6" s="428"/>
      <c r="B6" s="1792" t="s">
        <v>2072</v>
      </c>
      <c r="C6" s="2370" t="s">
        <v>2067</v>
      </c>
      <c r="D6" s="2365"/>
      <c r="E6" s="2369"/>
      <c r="F6" s="1792" t="s">
        <v>2073</v>
      </c>
      <c r="G6" s="2370" t="s">
        <v>2074</v>
      </c>
      <c r="H6" s="2362"/>
      <c r="I6" s="2362"/>
      <c r="J6" s="2362"/>
      <c r="K6" s="2362"/>
      <c r="L6" s="2362"/>
      <c r="M6" s="2362"/>
      <c r="N6" s="2362"/>
      <c r="O6" s="2362"/>
      <c r="P6" s="2362"/>
      <c r="Q6" s="2362"/>
      <c r="R6" s="2362"/>
    </row>
    <row r="7" spans="1:29" ht="41.25" thickBot="1">
      <c r="A7" s="428"/>
      <c r="B7" s="1792" t="s">
        <v>2070</v>
      </c>
      <c r="C7" s="2370" t="s">
        <v>2071</v>
      </c>
      <c r="D7" s="2371"/>
      <c r="E7" s="2372"/>
      <c r="F7" s="2373" t="s">
        <v>2075</v>
      </c>
      <c r="G7" s="2374" t="s">
        <v>2076</v>
      </c>
      <c r="H7" s="2362"/>
      <c r="I7" s="2362"/>
      <c r="J7" s="2362"/>
      <c r="K7" s="2362"/>
      <c r="L7" s="2362"/>
      <c r="M7" s="2362"/>
      <c r="N7" s="2362"/>
      <c r="O7" s="2362"/>
      <c r="P7" s="2362"/>
      <c r="Q7" s="2362"/>
      <c r="R7" s="2362"/>
    </row>
    <row r="8" spans="1:29" ht="27">
      <c r="A8" s="428"/>
      <c r="B8" s="1792" t="s">
        <v>2073</v>
      </c>
      <c r="C8" s="2370" t="s">
        <v>2074</v>
      </c>
      <c r="D8" s="2371"/>
      <c r="E8" s="2371"/>
      <c r="F8" s="1130"/>
      <c r="G8" s="1130"/>
      <c r="H8" s="2362"/>
      <c r="I8" s="2362"/>
      <c r="J8" s="2362"/>
      <c r="K8" s="2362"/>
      <c r="L8" s="2362"/>
      <c r="M8" s="2362"/>
      <c r="N8" s="2362"/>
      <c r="O8" s="2362"/>
      <c r="P8" s="2362"/>
      <c r="Q8" s="2362"/>
      <c r="R8" s="2362"/>
    </row>
    <row r="9" spans="1:29" ht="27">
      <c r="A9" s="428"/>
      <c r="B9" s="1792" t="s">
        <v>2077</v>
      </c>
      <c r="C9" s="2368" t="s">
        <v>2078</v>
      </c>
      <c r="D9" s="2365"/>
      <c r="E9" s="2371"/>
      <c r="F9" s="1130"/>
      <c r="G9" s="1130"/>
      <c r="H9" s="2362"/>
      <c r="I9" s="2362"/>
      <c r="J9" s="2362"/>
      <c r="K9" s="2362"/>
      <c r="L9" s="2362"/>
      <c r="M9" s="2362"/>
      <c r="N9" s="2362"/>
      <c r="O9" s="2362"/>
      <c r="P9" s="2362"/>
      <c r="Q9" s="2362"/>
      <c r="R9" s="2362"/>
    </row>
    <row r="10" spans="1:29" s="114" customFormat="1" ht="15.75" thickBot="1">
      <c r="A10" s="2375"/>
      <c r="B10" s="2376" t="s">
        <v>2079</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4"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2080</v>
      </c>
      <c r="B13" s="2382"/>
      <c r="C13" s="2382"/>
      <c r="D13" s="2389"/>
      <c r="E13" s="2382"/>
      <c r="F13" s="2382"/>
      <c r="G13" s="2382"/>
    </row>
    <row r="14" spans="1:29" ht="15.75" thickBot="1">
      <c r="A14" s="2393"/>
      <c r="B14" s="2394"/>
      <c r="C14" s="2395" t="s">
        <v>2081</v>
      </c>
      <c r="D14" s="2365"/>
      <c r="E14" s="2396"/>
      <c r="F14" s="2396"/>
      <c r="G14" s="2359" t="s">
        <v>2082</v>
      </c>
    </row>
    <row r="15" spans="1:29" ht="57">
      <c r="A15" s="65" t="s">
        <v>2083</v>
      </c>
      <c r="B15" s="1264" t="s">
        <v>2060</v>
      </c>
      <c r="C15" s="2397" t="str">
        <f>C3</f>
        <v>估价对象周边居住用地比例、居住小区规模和社区发展完善程度，综合评价居住社区成熟度一般</v>
      </c>
      <c r="D15" s="2365"/>
      <c r="E15" s="2398" t="s">
        <v>2084</v>
      </c>
      <c r="F15" s="1264" t="s">
        <v>2085</v>
      </c>
      <c r="G15" s="132" t="str">
        <f>G3</f>
        <v>估价对象位于XX开发区，园区建设成熟度XX，产业集聚程度XX</v>
      </c>
    </row>
    <row r="16" spans="1:29" ht="42.75">
      <c r="A16" s="642"/>
      <c r="B16" s="2399" t="s">
        <v>2064</v>
      </c>
      <c r="C16" s="2400" t="str">
        <f>C4</f>
        <v>估价对象位于XX商圈，周边商业氛围成熟，人流量大，商业繁华度好</v>
      </c>
      <c r="D16" s="2365"/>
      <c r="E16" s="2401"/>
      <c r="F16" s="2402" t="s">
        <v>2066</v>
      </c>
      <c r="G16" s="133" t="str">
        <f>G4</f>
        <v>估价对象周边道路状况、公共交通通达情况、停车便捷程度，综合评价交通便捷度较好</v>
      </c>
    </row>
    <row r="17" spans="1:18" ht="42.75">
      <c r="A17" s="642"/>
      <c r="B17" s="2399" t="s">
        <v>2068</v>
      </c>
      <c r="C17" s="2400" t="str">
        <f>C5</f>
        <v>估价对象位于XX商圈，周边办公楼项目较多，入驻率高，办公集聚程度较好</v>
      </c>
      <c r="D17" s="2371"/>
      <c r="E17" s="2401"/>
      <c r="F17" s="2402" t="s">
        <v>2086</v>
      </c>
      <c r="G17" s="1566"/>
    </row>
    <row r="18" spans="1:18" ht="57">
      <c r="A18" s="642"/>
      <c r="B18" s="2402" t="s">
        <v>2072</v>
      </c>
      <c r="C18" s="133" t="str">
        <f>C6</f>
        <v>估价对象周边道路状况、公共交通通达情况、停车便捷程度，综合评价交通便捷度较好</v>
      </c>
      <c r="D18" s="2371"/>
      <c r="E18" s="2401"/>
      <c r="F18" s="2402" t="s">
        <v>2075</v>
      </c>
      <c r="G18" s="133" t="str">
        <f>G7</f>
        <v>该园区内是否有污染型企业，绿化情况，卫生条件，整体环境状况判断</v>
      </c>
    </row>
    <row r="19" spans="1:18" ht="28.5">
      <c r="A19" s="642"/>
      <c r="B19" s="2402" t="s">
        <v>2087</v>
      </c>
      <c r="C19" s="1566"/>
      <c r="D19" s="2365"/>
      <c r="E19" s="2401"/>
      <c r="F19" s="1792" t="s">
        <v>2070</v>
      </c>
      <c r="G19" s="133" t="str">
        <f>G5</f>
        <v>估价对象所在区域公共配套设施齐备情况</v>
      </c>
    </row>
    <row r="20" spans="1:18" ht="28.5">
      <c r="A20" s="642"/>
      <c r="B20" s="2402" t="s">
        <v>2088</v>
      </c>
      <c r="C20" s="2400" t="str">
        <f>C9</f>
        <v>区域自然环境：；人文环境；综合评价环境状况一般</v>
      </c>
      <c r="D20" s="2371"/>
      <c r="E20" s="2401"/>
      <c r="F20" s="1792" t="s">
        <v>2089</v>
      </c>
      <c r="G20" s="133" t="str">
        <f>G6</f>
        <v>估价对象所在区域基础设施水平</v>
      </c>
    </row>
    <row r="21" spans="1:18" ht="28.5">
      <c r="A21" s="642"/>
      <c r="B21" s="1792" t="s">
        <v>2070</v>
      </c>
      <c r="C21" s="133" t="str">
        <f>C7</f>
        <v>估价对象所在区域公共配套设施齐备情况</v>
      </c>
      <c r="D21" s="2365"/>
      <c r="E21" s="2401"/>
      <c r="F21" s="2402" t="s">
        <v>2090</v>
      </c>
      <c r="G21" s="2403"/>
    </row>
    <row r="22" spans="1:18" ht="13.5" customHeight="1">
      <c r="A22" s="642"/>
      <c r="B22" s="1792" t="s">
        <v>2073</v>
      </c>
      <c r="C22" s="133" t="str">
        <f>C8</f>
        <v>估价对象所在区域基础设施水平</v>
      </c>
      <c r="D22" s="2365"/>
      <c r="E22" s="2401"/>
      <c r="F22" s="2402" t="s">
        <v>2079</v>
      </c>
      <c r="G22" s="1566"/>
    </row>
    <row r="23" spans="1:18" s="2362" customFormat="1" ht="15.75" thickBot="1">
      <c r="A23" s="642"/>
      <c r="B23" s="2402" t="s">
        <v>2090</v>
      </c>
      <c r="C23" s="2403" t="s">
        <v>3062</v>
      </c>
      <c r="D23" s="2390"/>
      <c r="E23" s="2404"/>
      <c r="F23" s="2405" t="s">
        <v>2091</v>
      </c>
      <c r="G23" s="2406"/>
      <c r="H23" s="2390"/>
      <c r="I23" s="2391"/>
      <c r="J23" s="2390"/>
      <c r="K23" s="2390"/>
      <c r="L23" s="2391"/>
      <c r="M23" s="2390"/>
      <c r="N23" s="2390"/>
      <c r="O23" s="2391"/>
      <c r="P23" s="2390"/>
      <c r="Q23" s="2390"/>
      <c r="R23" s="2392"/>
    </row>
    <row r="24" spans="1:18" s="2362" customFormat="1" ht="15.75" thickBot="1">
      <c r="A24" s="2407"/>
      <c r="B24" s="2405" t="s">
        <v>2092</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4" sqref="F4"/>
    </sheetView>
  </sheetViews>
  <sheetFormatPr defaultColWidth="9" defaultRowHeight="13.5"/>
  <cols>
    <col min="1" max="1" width="23.375" style="1735" customWidth="1"/>
    <col min="2" max="9" width="15.75" style="1735" customWidth="1"/>
    <col min="10" max="16384" width="9" style="1735"/>
  </cols>
  <sheetData>
    <row r="1" spans="1:10" ht="16.5">
      <c r="A1" s="1740" t="s">
        <v>1336</v>
      </c>
      <c r="B1" s="1740">
        <f>SUM(B14:B23)</f>
        <v>48689.74</v>
      </c>
      <c r="C1" s="1739"/>
      <c r="D1" s="1739"/>
      <c r="E1" s="1739"/>
      <c r="F1" s="1739"/>
      <c r="G1" s="1737"/>
    </row>
    <row r="2" spans="1:10" ht="16.5">
      <c r="A2" s="1740" t="s">
        <v>1324</v>
      </c>
      <c r="B2" s="1740">
        <f>SUM(C14:C23)</f>
        <v>11572.48</v>
      </c>
      <c r="C2" s="1739"/>
      <c r="D2" s="1739"/>
      <c r="E2" s="1739"/>
      <c r="F2" s="1739"/>
      <c r="G2" s="1737"/>
    </row>
    <row r="3" spans="1:10" ht="16.5">
      <c r="A3" s="1740" t="s">
        <v>1333</v>
      </c>
      <c r="B3" s="1741">
        <f>项目基本情况!D3</f>
        <v>43832</v>
      </c>
      <c r="C3" s="1739"/>
      <c r="D3" s="1739"/>
      <c r="E3" s="1739"/>
      <c r="F3" s="1739"/>
      <c r="G3" s="1737"/>
    </row>
    <row r="4" spans="1:10" ht="33">
      <c r="A4" s="1740" t="s">
        <v>1332</v>
      </c>
      <c r="B4" s="1740" t="s">
        <v>1331</v>
      </c>
      <c r="C4" s="1740" t="s">
        <v>1330</v>
      </c>
      <c r="D4" s="1740" t="s">
        <v>1329</v>
      </c>
      <c r="E4" s="1739"/>
      <c r="F4" s="1737"/>
      <c r="G4" s="1737"/>
    </row>
    <row r="5" spans="1:10" ht="16.5">
      <c r="A5" s="1740" t="s">
        <v>1328</v>
      </c>
      <c r="B5" s="1740">
        <f ca="1">SUM(D14:D23)</f>
        <v>57700</v>
      </c>
      <c r="C5" s="1740">
        <f ca="1">ROUND(B5*10000/$B$1,0)</f>
        <v>11851</v>
      </c>
      <c r="D5" s="1740">
        <f ca="1">ROUND(B5*10000/$B$2,0)</f>
        <v>49860</v>
      </c>
      <c r="E5" s="1739"/>
      <c r="F5" s="1737"/>
      <c r="G5" s="1737"/>
    </row>
    <row r="6" spans="1:10" ht="16.5">
      <c r="A6" s="1740" t="s">
        <v>1327</v>
      </c>
      <c r="B6" s="1740">
        <f ca="1">SUM(G14:G23)</f>
        <v>57700</v>
      </c>
      <c r="C6" s="1740">
        <f ca="1">ROUND(B6*10000/$B$1,0)</f>
        <v>11851</v>
      </c>
      <c r="D6" s="1740">
        <f ca="1">ROUND(B6*10000/$B$2,0)</f>
        <v>49860</v>
      </c>
      <c r="E6" s="1739"/>
      <c r="F6" s="1737"/>
      <c r="G6" s="1737"/>
    </row>
    <row r="7" spans="1:10" ht="16.5">
      <c r="A7" s="1740" t="s">
        <v>1335</v>
      </c>
      <c r="B7" s="1740">
        <f>SUM(H14:H23)</f>
        <v>0</v>
      </c>
      <c r="C7" s="1740">
        <f>ROUND(B7*10000/$B$1,0)</f>
        <v>0</v>
      </c>
      <c r="D7" s="1740">
        <f>ROUND(B7*10000/$B$2,0)</f>
        <v>0</v>
      </c>
      <c r="E7" s="1739"/>
      <c r="F7" s="1737"/>
      <c r="G7" s="1737"/>
    </row>
    <row r="8" spans="1:10" ht="16.5">
      <c r="A8" s="1740" t="s">
        <v>1256</v>
      </c>
      <c r="B8" s="1740">
        <f ca="1">SUM(I14:I23)</f>
        <v>48861</v>
      </c>
      <c r="C8" s="1740">
        <f ca="1">ROUND(B8*10000/$B$1,0)</f>
        <v>10035</v>
      </c>
      <c r="D8" s="1740">
        <f ca="1">ROUND(B8*10000/$B$2,0)</f>
        <v>42222</v>
      </c>
      <c r="E8" s="1739"/>
      <c r="F8" s="1737"/>
      <c r="G8" s="1737"/>
    </row>
    <row r="9" spans="1:10" ht="16.5">
      <c r="A9" s="1740" t="s">
        <v>1326</v>
      </c>
      <c r="B9" s="1742"/>
      <c r="C9" s="1739"/>
      <c r="D9" s="1739"/>
      <c r="E9" s="1739"/>
      <c r="F9" s="1737"/>
      <c r="G9" s="1737"/>
    </row>
    <row r="10" spans="1:10" ht="16.5">
      <c r="A10" s="1740" t="s">
        <v>1325</v>
      </c>
      <c r="B10" s="1742"/>
      <c r="C10" s="1739"/>
      <c r="D10" s="1739"/>
      <c r="E10" s="1739"/>
      <c r="F10" s="1737"/>
      <c r="G10" s="1737"/>
    </row>
    <row r="11" spans="1:10" ht="16.5">
      <c r="A11" s="1740" t="s">
        <v>1341</v>
      </c>
      <c r="B11" s="1742"/>
      <c r="C11" s="1739"/>
      <c r="D11" s="1739"/>
      <c r="E11" s="1739"/>
      <c r="F11" s="1737"/>
      <c r="G11" s="1737"/>
    </row>
    <row r="12" spans="1:10" ht="16.5">
      <c r="A12" s="1739"/>
      <c r="B12" s="1739"/>
      <c r="C12" s="1739"/>
      <c r="D12" s="1739"/>
      <c r="E12" s="1739"/>
      <c r="F12" s="1737"/>
      <c r="G12" s="1737"/>
    </row>
    <row r="13" spans="1:10" ht="33">
      <c r="A13" s="1745" t="s">
        <v>1340</v>
      </c>
      <c r="B13" s="1738" t="s">
        <v>1337</v>
      </c>
      <c r="C13" s="1738" t="s">
        <v>1339</v>
      </c>
      <c r="D13" s="1738" t="s">
        <v>1338</v>
      </c>
      <c r="E13" s="1740" t="s">
        <v>1330</v>
      </c>
      <c r="F13" s="1740" t="s">
        <v>1329</v>
      </c>
      <c r="G13" s="1738" t="s">
        <v>1323</v>
      </c>
      <c r="H13" s="1738" t="s">
        <v>1334</v>
      </c>
      <c r="I13" s="1738" t="s">
        <v>1322</v>
      </c>
      <c r="J13" s="1737"/>
    </row>
    <row r="14" spans="1:10" ht="16.5">
      <c r="A14" s="1736" t="s">
        <v>1321</v>
      </c>
      <c r="B14" s="1738">
        <f>结果表!B118</f>
        <v>46024.009999999995</v>
      </c>
      <c r="C14" s="1738">
        <f>结果表!C118</f>
        <v>10938.89</v>
      </c>
      <c r="D14" s="1738">
        <f ca="1">结果表!H118</f>
        <v>51925</v>
      </c>
      <c r="E14" s="1738">
        <f ca="1">ROUND(D14*10000/B14,0)</f>
        <v>11282</v>
      </c>
      <c r="F14" s="1738">
        <f ca="1">ROUND(D14*10000/C14,0)</f>
        <v>47468</v>
      </c>
      <c r="G14" s="1738">
        <f ca="1">结果表!D122</f>
        <v>51925</v>
      </c>
      <c r="H14" s="1738" t="str">
        <f>结果表!D124</f>
        <v>——</v>
      </c>
      <c r="I14" s="1738">
        <f ca="1">结果表!D126</f>
        <v>44765</v>
      </c>
      <c r="J14" s="1737"/>
    </row>
    <row r="15" spans="1:10" ht="16.5">
      <c r="A15" s="1736" t="s">
        <v>1320</v>
      </c>
      <c r="B15" s="1743">
        <f>[1]系统读取表!$B$14</f>
        <v>2665.73</v>
      </c>
      <c r="C15" s="1743">
        <f>[1]系统读取表!$C$14</f>
        <v>633.59</v>
      </c>
      <c r="D15" s="1743">
        <f ca="1">[1]系统读取表!$D$14</f>
        <v>5775</v>
      </c>
      <c r="E15" s="1738">
        <f t="shared" ref="E15:E23" ca="1" si="0">ROUND(D15*10000/B15,0)</f>
        <v>21664</v>
      </c>
      <c r="F15" s="1738">
        <f t="shared" ref="F15:F23" ca="1" si="1">ROUND(D15*10000/C15,0)</f>
        <v>91147</v>
      </c>
      <c r="G15" s="1744">
        <f ca="1">D15</f>
        <v>5775</v>
      </c>
      <c r="H15" s="1744"/>
      <c r="I15" s="1743">
        <f ca="1">[1]系统读取表!$I$14</f>
        <v>4096</v>
      </c>
      <c r="J15" s="1737"/>
    </row>
    <row r="16" spans="1:10" ht="16.5">
      <c r="A16" s="1736" t="s">
        <v>1319</v>
      </c>
      <c r="B16" s="1743"/>
      <c r="C16" s="1743"/>
      <c r="D16" s="1743"/>
      <c r="E16" s="1738" t="e">
        <f t="shared" si="0"/>
        <v>#DIV/0!</v>
      </c>
      <c r="F16" s="1738" t="e">
        <f t="shared" si="1"/>
        <v>#DIV/0!</v>
      </c>
      <c r="G16" s="1744"/>
      <c r="H16" s="1744"/>
      <c r="I16" s="1743"/>
    </row>
    <row r="17" spans="1:9" ht="16.5">
      <c r="A17" s="1736" t="s">
        <v>1318</v>
      </c>
      <c r="B17" s="1743"/>
      <c r="C17" s="1743"/>
      <c r="D17" s="1743"/>
      <c r="E17" s="1738" t="e">
        <f t="shared" si="0"/>
        <v>#DIV/0!</v>
      </c>
      <c r="F17" s="1738" t="e">
        <f t="shared" si="1"/>
        <v>#DIV/0!</v>
      </c>
      <c r="G17" s="1744"/>
      <c r="H17" s="1744"/>
      <c r="I17" s="1743"/>
    </row>
    <row r="18" spans="1:9" ht="16.5">
      <c r="A18" s="1736" t="s">
        <v>1317</v>
      </c>
      <c r="B18" s="1743"/>
      <c r="C18" s="1743"/>
      <c r="D18" s="1743"/>
      <c r="E18" s="1738" t="e">
        <f t="shared" si="0"/>
        <v>#DIV/0!</v>
      </c>
      <c r="F18" s="1738" t="e">
        <f t="shared" si="1"/>
        <v>#DIV/0!</v>
      </c>
      <c r="G18" s="1743"/>
      <c r="H18" s="1743"/>
      <c r="I18" s="1743"/>
    </row>
    <row r="19" spans="1:9" ht="16.5">
      <c r="A19" s="1736" t="s">
        <v>1316</v>
      </c>
      <c r="B19" s="1743"/>
      <c r="C19" s="1743"/>
      <c r="D19" s="1743"/>
      <c r="E19" s="1738" t="e">
        <f t="shared" si="0"/>
        <v>#DIV/0!</v>
      </c>
      <c r="F19" s="1738" t="e">
        <f t="shared" si="1"/>
        <v>#DIV/0!</v>
      </c>
      <c r="G19" s="1743"/>
      <c r="H19" s="1743"/>
      <c r="I19" s="1743"/>
    </row>
    <row r="20" spans="1:9" ht="16.5">
      <c r="A20" s="1736" t="s">
        <v>1315</v>
      </c>
      <c r="B20" s="1743"/>
      <c r="C20" s="1743"/>
      <c r="D20" s="1743"/>
      <c r="E20" s="1738" t="e">
        <f t="shared" si="0"/>
        <v>#DIV/0!</v>
      </c>
      <c r="F20" s="1738" t="e">
        <f t="shared" si="1"/>
        <v>#DIV/0!</v>
      </c>
      <c r="G20" s="1743"/>
      <c r="H20" s="1743"/>
      <c r="I20" s="1743"/>
    </row>
    <row r="21" spans="1:9" ht="16.5">
      <c r="A21" s="1736" t="s">
        <v>1314</v>
      </c>
      <c r="B21" s="1743"/>
      <c r="C21" s="1743"/>
      <c r="D21" s="1743"/>
      <c r="E21" s="1738" t="e">
        <f t="shared" si="0"/>
        <v>#DIV/0!</v>
      </c>
      <c r="F21" s="1738" t="e">
        <f t="shared" si="1"/>
        <v>#DIV/0!</v>
      </c>
      <c r="G21" s="1743"/>
      <c r="H21" s="1743"/>
      <c r="I21" s="1743"/>
    </row>
    <row r="22" spans="1:9" ht="16.5">
      <c r="A22" s="1736" t="s">
        <v>1313</v>
      </c>
      <c r="B22" s="1743"/>
      <c r="C22" s="1743"/>
      <c r="D22" s="1743"/>
      <c r="E22" s="1738" t="e">
        <f t="shared" si="0"/>
        <v>#DIV/0!</v>
      </c>
      <c r="F22" s="1738" t="e">
        <f t="shared" si="1"/>
        <v>#DIV/0!</v>
      </c>
      <c r="G22" s="1743"/>
      <c r="H22" s="1743"/>
      <c r="I22" s="1743"/>
    </row>
    <row r="23" spans="1:9" ht="16.5">
      <c r="A23" s="1736" t="s">
        <v>1312</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0"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6" zoomScaleNormal="100" zoomScaleSheetLayoutView="100" zoomScalePageLayoutView="80" workbookViewId="0">
      <selection activeCell="G19" sqref="G19:G20"/>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2093</v>
      </c>
      <c r="B1" s="2413"/>
      <c r="C1" s="2414"/>
      <c r="D1" s="2413"/>
      <c r="E1" s="2413"/>
      <c r="F1" s="2415" t="s">
        <v>2094</v>
      </c>
      <c r="G1" s="2065" t="s">
        <v>2095</v>
      </c>
      <c r="H1" s="2416" t="str">
        <f>IF(G1="现房","——","估价对象范围")</f>
        <v>估价对象范围</v>
      </c>
      <c r="I1" s="2417" t="s">
        <v>3089</v>
      </c>
    </row>
    <row r="2" spans="1:12" ht="21.75" customHeight="1" thickBot="1">
      <c r="A2" s="3085" t="str">
        <f>项目基本情况!S2</f>
        <v>北京市出让国有建设用地使用权及在建建筑物房地产</v>
      </c>
      <c r="B2" s="3086"/>
      <c r="C2" s="3086"/>
      <c r="D2" s="3086"/>
      <c r="E2" s="3086"/>
      <c r="F2" s="3086"/>
      <c r="G2" s="3086"/>
      <c r="H2" s="3086"/>
      <c r="I2" s="3087"/>
    </row>
    <row r="3" spans="1:12" ht="12.75">
      <c r="A3" s="3089" t="s">
        <v>2096</v>
      </c>
      <c r="B3" s="3090"/>
      <c r="C3" s="3090"/>
      <c r="D3" s="3090"/>
      <c r="E3" s="3090"/>
      <c r="F3" s="3090"/>
      <c r="G3" s="3090"/>
      <c r="H3" s="3090"/>
      <c r="I3" s="3090"/>
    </row>
    <row r="4" spans="1:12" ht="14.25">
      <c r="A4" s="2420" t="s">
        <v>2097</v>
      </c>
      <c r="B4" s="2421" t="s">
        <v>2098</v>
      </c>
      <c r="C4" s="2422" t="s">
        <v>3090</v>
      </c>
      <c r="D4" s="2422" t="s">
        <v>3091</v>
      </c>
      <c r="E4" s="3082" t="s">
        <v>2099</v>
      </c>
      <c r="F4" s="3083"/>
      <c r="G4" s="3083"/>
      <c r="H4" s="3083"/>
      <c r="I4" s="309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65" t="s">
        <v>2100</v>
      </c>
      <c r="B5" s="3005">
        <v>25</v>
      </c>
      <c r="C5" s="3091"/>
      <c r="D5" s="3088"/>
      <c r="E5" s="137" t="s">
        <v>2101</v>
      </c>
      <c r="F5" s="2424"/>
      <c r="G5" s="2424"/>
      <c r="H5" s="2424"/>
      <c r="I5" s="1828"/>
    </row>
    <row r="6" spans="1:12" ht="12.75">
      <c r="A6" s="3065"/>
      <c r="B6" s="3005"/>
      <c r="C6" s="3093"/>
      <c r="D6" s="3088"/>
      <c r="E6" s="137" t="s">
        <v>2102</v>
      </c>
      <c r="F6" s="2424"/>
      <c r="G6" s="2424"/>
      <c r="H6" s="2424"/>
      <c r="I6" s="1828"/>
    </row>
    <row r="7" spans="1:12" ht="12.75">
      <c r="A7" s="3065"/>
      <c r="B7" s="3005"/>
      <c r="C7" s="3092"/>
      <c r="D7" s="3088"/>
      <c r="E7" s="137" t="s">
        <v>2103</v>
      </c>
      <c r="F7" s="2424"/>
      <c r="G7" s="2424"/>
      <c r="H7" s="2424"/>
      <c r="I7" s="1828"/>
    </row>
    <row r="8" spans="1:12" ht="12.75">
      <c r="A8" s="3065" t="s">
        <v>2104</v>
      </c>
      <c r="B8" s="3005">
        <v>15</v>
      </c>
      <c r="C8" s="3091"/>
      <c r="D8" s="3088"/>
      <c r="E8" s="137" t="s">
        <v>2105</v>
      </c>
      <c r="F8" s="2424"/>
      <c r="G8" s="2424"/>
      <c r="H8" s="2424"/>
      <c r="I8" s="1828"/>
    </row>
    <row r="9" spans="1:12" ht="12.75">
      <c r="A9" s="3065"/>
      <c r="B9" s="3005"/>
      <c r="C9" s="3092"/>
      <c r="D9" s="3088"/>
      <c r="E9" s="137" t="s">
        <v>2106</v>
      </c>
      <c r="F9" s="2424"/>
      <c r="G9" s="2424"/>
      <c r="H9" s="2424"/>
      <c r="I9" s="1828"/>
    </row>
    <row r="10" spans="1:12" ht="12.75">
      <c r="A10" s="3065" t="s">
        <v>2107</v>
      </c>
      <c r="B10" s="3005">
        <v>15</v>
      </c>
      <c r="C10" s="3091"/>
      <c r="D10" s="3088"/>
      <c r="E10" s="137" t="s">
        <v>2108</v>
      </c>
      <c r="F10" s="2424"/>
      <c r="G10" s="2424"/>
      <c r="H10" s="2424"/>
      <c r="I10" s="1828"/>
    </row>
    <row r="11" spans="1:12" ht="12.75">
      <c r="A11" s="3065"/>
      <c r="B11" s="3005"/>
      <c r="C11" s="3092"/>
      <c r="D11" s="3088"/>
      <c r="E11" s="137" t="s">
        <v>2109</v>
      </c>
      <c r="F11" s="2424"/>
      <c r="G11" s="2424"/>
      <c r="H11" s="2424"/>
      <c r="I11" s="1828"/>
    </row>
    <row r="12" spans="1:12" ht="12.75">
      <c r="A12" s="3065" t="s">
        <v>2110</v>
      </c>
      <c r="B12" s="3005">
        <v>15</v>
      </c>
      <c r="C12" s="3091"/>
      <c r="D12" s="3088"/>
      <c r="E12" s="137" t="s">
        <v>2111</v>
      </c>
      <c r="F12" s="2424"/>
      <c r="G12" s="2424"/>
      <c r="H12" s="2424"/>
      <c r="I12" s="1828"/>
    </row>
    <row r="13" spans="1:12" ht="12.75">
      <c r="A13" s="3065"/>
      <c r="B13" s="3005"/>
      <c r="C13" s="3092"/>
      <c r="D13" s="3088"/>
      <c r="E13" s="137" t="s">
        <v>2112</v>
      </c>
      <c r="F13" s="2424"/>
      <c r="G13" s="2424"/>
      <c r="H13" s="2424"/>
      <c r="I13" s="1828"/>
    </row>
    <row r="14" spans="1:12" ht="12.75">
      <c r="A14" s="3065" t="s">
        <v>2113</v>
      </c>
      <c r="B14" s="3005">
        <v>30</v>
      </c>
      <c r="C14" s="3068">
        <v>0</v>
      </c>
      <c r="D14" s="3116">
        <v>1</v>
      </c>
      <c r="E14" s="137" t="s">
        <v>2114</v>
      </c>
      <c r="F14" s="2424"/>
      <c r="G14" s="2424"/>
      <c r="H14" s="2424"/>
      <c r="I14" s="1828"/>
    </row>
    <row r="15" spans="1:12" ht="12.75">
      <c r="A15" s="3065"/>
      <c r="B15" s="3005"/>
      <c r="C15" s="3069"/>
      <c r="D15" s="3116"/>
      <c r="E15" s="137" t="s">
        <v>2115</v>
      </c>
      <c r="F15" s="2424"/>
      <c r="G15" s="2424"/>
      <c r="H15" s="2424"/>
      <c r="I15" s="1828"/>
    </row>
    <row r="16" spans="1:12" ht="12.75">
      <c r="A16" s="3065"/>
      <c r="B16" s="3005"/>
      <c r="C16" s="3070"/>
      <c r="D16" s="3116"/>
      <c r="E16" s="137" t="s">
        <v>2116</v>
      </c>
      <c r="F16" s="2424"/>
      <c r="G16" s="2424"/>
      <c r="H16" s="2424"/>
      <c r="I16" s="1828"/>
    </row>
    <row r="17" spans="1:35" ht="15">
      <c r="A17" s="2425" t="s">
        <v>2117</v>
      </c>
      <c r="B17" s="61"/>
      <c r="C17" s="138">
        <f>SUM(C5:C16)</f>
        <v>0</v>
      </c>
      <c r="D17" s="138">
        <f>SUM(D5:D16)</f>
        <v>1</v>
      </c>
      <c r="E17" s="135"/>
      <c r="F17" s="135"/>
      <c r="G17" s="135"/>
      <c r="H17" s="135"/>
      <c r="I17" s="135"/>
      <c r="K17" s="2423"/>
      <c r="L17" s="2426" t="s">
        <v>2118</v>
      </c>
      <c r="M17" s="2426" t="s">
        <v>2119</v>
      </c>
    </row>
    <row r="18" spans="1:35" ht="15.75" thickBot="1">
      <c r="A18" s="2427" t="s">
        <v>2120</v>
      </c>
      <c r="B18" s="2428"/>
      <c r="C18" s="139">
        <f>ROUND(C17/SUM(C17:D17),2)</f>
        <v>0</v>
      </c>
      <c r="D18" s="139">
        <f>1-C18</f>
        <v>1</v>
      </c>
      <c r="E18" s="135"/>
      <c r="F18" s="135"/>
      <c r="G18" s="135"/>
      <c r="H18" s="135"/>
      <c r="I18" s="135"/>
      <c r="K18" s="2423" t="s">
        <v>2121</v>
      </c>
      <c r="L18" s="2423">
        <f>IF(C1="",'数据-汇总表'!E3,SUMIF(项目类型,C1,'数据-汇总表'!E17:E26)+SUMIF(项目类型,C1,'数据-汇总表'!I17:I26))</f>
        <v>46024.009999999995</v>
      </c>
      <c r="M18" s="2423">
        <f>IF(C1="",'数据-汇总表'!E3,SUMIF(项目类型,C1,'数据-汇总表'!E17:E26))</f>
        <v>46024.009999999995</v>
      </c>
    </row>
    <row r="19" spans="1:35" ht="15">
      <c r="A19" s="2429" t="s">
        <v>2122</v>
      </c>
      <c r="B19" s="2430" t="s">
        <v>2123</v>
      </c>
      <c r="C19" s="140">
        <f ca="1">SUMIF(INDIRECT("'"&amp;C4&amp;"'"&amp;"!A:A"),结果表!B19,INDIRECT("'"&amp;C4&amp;"'"&amp;"!B:B"))</f>
        <v>117247</v>
      </c>
      <c r="D19" s="141">
        <f ca="1">SUMIF(INDIRECT("'"&amp;D4&amp;"'"&amp;"!A:A"),结果表!B19,INDIRECT("'"&amp;D4&amp;"'"&amp;"!B:B"))</f>
        <v>51925</v>
      </c>
      <c r="E19" s="2429" t="s">
        <v>2124</v>
      </c>
      <c r="F19" s="2430" t="s">
        <v>2123</v>
      </c>
      <c r="G19" s="142">
        <f ca="1">ROUND(C19*$C$18+D19*$D$18,0)</f>
        <v>51925</v>
      </c>
      <c r="H19" s="2431" t="s">
        <v>2125</v>
      </c>
      <c r="I19" s="135"/>
      <c r="K19" s="2423" t="s">
        <v>2126</v>
      </c>
      <c r="L19" s="2423">
        <f>IF(C1="",'数据-汇总表'!D3,SUMIF(项目类型,C1,'数据-汇总表'!D17:D26)+SUMIF(项目类型,C1,'数据-汇总表'!H17:H27))</f>
        <v>10938.89</v>
      </c>
      <c r="M19" s="2423">
        <f>IF(C1="",'数据-汇总表'!D3,SUMIF(项目类型,C1,'数据-汇总表'!D17:D26))</f>
        <v>10938.89</v>
      </c>
    </row>
    <row r="20" spans="1:35" ht="15">
      <c r="A20" s="2432"/>
      <c r="B20" s="1244" t="s">
        <v>2127</v>
      </c>
      <c r="C20" s="143">
        <f ca="1">SUMIF(INDIRECT("'"&amp;C4&amp;"'"&amp;"!A:A"),结果表!B20,INDIRECT("'"&amp;C4&amp;"'"&amp;"!B:B"))</f>
        <v>25475</v>
      </c>
      <c r="D20" s="144">
        <f ca="1">SUMIF(INDIRECT("'"&amp;D4&amp;"'"&amp;"!A:A"),结果表!B20,INDIRECT("'"&amp;D4&amp;"'"&amp;"!B:B"))</f>
        <v>11282</v>
      </c>
      <c r="E20" s="2432"/>
      <c r="F20" s="1244" t="s">
        <v>2127</v>
      </c>
      <c r="G20" s="145">
        <f ca="1">ROUND(C20*$C$18+D20*$D$18,0)</f>
        <v>11282</v>
      </c>
      <c r="H20" s="977" t="s">
        <v>2128</v>
      </c>
      <c r="I20" s="135"/>
    </row>
    <row r="21" spans="1:35" ht="15" customHeight="1" thickBot="1">
      <c r="A21" s="997"/>
      <c r="B21" s="2433" t="s">
        <v>2129</v>
      </c>
      <c r="C21" s="786">
        <f ca="1">ROUND(C19*10000/L19,0)</f>
        <v>107184</v>
      </c>
      <c r="D21" s="787">
        <f ca="1">ROUND(D19*10000/L19,0)</f>
        <v>47468</v>
      </c>
      <c r="E21" s="997"/>
      <c r="F21" s="2433" t="s">
        <v>2129</v>
      </c>
      <c r="G21" s="146">
        <f ca="1">ROUND(G19*10000/L19,0)</f>
        <v>47468</v>
      </c>
      <c r="H21" s="2434" t="s">
        <v>2128</v>
      </c>
      <c r="I21" s="135"/>
    </row>
    <row r="22" spans="1:35" ht="15" thickBot="1">
      <c r="A22" s="2276" t="s">
        <v>2130</v>
      </c>
      <c r="B22" s="2435"/>
      <c r="C22" s="2436"/>
      <c r="D22" s="788">
        <f ca="1">IF(C19&lt;D19,D19/C19-1,C19/D19-1)</f>
        <v>1.2580067404910928</v>
      </c>
      <c r="E22" s="135"/>
      <c r="F22" s="135"/>
      <c r="G22" s="135"/>
      <c r="H22" s="135"/>
      <c r="I22" s="135"/>
    </row>
    <row r="23" spans="1:35" ht="13.5" thickBot="1">
      <c r="A23" s="2413"/>
      <c r="B23" s="2413"/>
      <c r="C23" s="2413"/>
      <c r="D23" s="2413"/>
      <c r="E23" s="135"/>
      <c r="F23" s="135"/>
      <c r="G23" s="135"/>
      <c r="H23" s="135"/>
      <c r="I23" s="135"/>
    </row>
    <row r="24" spans="1:35" ht="14.25">
      <c r="A24" s="3059" t="s">
        <v>2131</v>
      </c>
      <c r="B24" s="2430" t="s">
        <v>2123</v>
      </c>
      <c r="C24" s="142">
        <f>IF(B30=0,0,D30)</f>
        <v>0</v>
      </c>
      <c r="D24" s="2437"/>
      <c r="E24" s="135"/>
      <c r="F24" s="135"/>
      <c r="G24" s="135"/>
      <c r="H24" s="135"/>
      <c r="I24" s="135"/>
    </row>
    <row r="25" spans="1:35" ht="14.25">
      <c r="A25" s="3060"/>
      <c r="B25" s="1244" t="s">
        <v>2127</v>
      </c>
      <c r="C25" s="147">
        <f>IF(B30=0,0,C30)</f>
        <v>0</v>
      </c>
      <c r="D25" s="2438"/>
      <c r="E25" s="135"/>
      <c r="F25" s="135"/>
      <c r="G25" s="135"/>
      <c r="H25" s="135"/>
      <c r="I25" s="135"/>
    </row>
    <row r="26" spans="1:35" ht="13.5" customHeight="1">
      <c r="A26" s="2439" t="s">
        <v>2132</v>
      </c>
      <c r="B26" s="148" t="s">
        <v>2133</v>
      </c>
      <c r="C26" s="148" t="s">
        <v>2134</v>
      </c>
      <c r="D26" s="149" t="s">
        <v>2135</v>
      </c>
      <c r="E26" s="135"/>
      <c r="F26" s="135"/>
      <c r="G26" s="135"/>
      <c r="H26" s="135"/>
      <c r="I26" s="135"/>
    </row>
    <row r="27" spans="1:35" ht="14.25">
      <c r="A27" s="2439"/>
      <c r="B27" s="148">
        <v>0</v>
      </c>
      <c r="C27" s="148">
        <v>0</v>
      </c>
      <c r="D27" s="149">
        <f>ROUND(C27*B27/10000,0)</f>
        <v>0</v>
      </c>
      <c r="E27" s="135"/>
      <c r="F27" s="135"/>
      <c r="G27" s="135"/>
      <c r="H27" s="135"/>
      <c r="I27" s="135"/>
    </row>
    <row r="28" spans="1:35" ht="14.25">
      <c r="A28" s="2439"/>
      <c r="B28" s="148"/>
      <c r="C28" s="148"/>
      <c r="D28" s="149"/>
      <c r="E28" s="135"/>
      <c r="F28" s="135"/>
      <c r="G28" s="135"/>
      <c r="H28" s="135"/>
      <c r="I28" s="135"/>
    </row>
    <row r="29" spans="1:35" ht="14.25">
      <c r="A29" s="2439"/>
      <c r="B29" s="148"/>
      <c r="C29" s="148"/>
      <c r="D29" s="149"/>
      <c r="E29" s="135"/>
      <c r="F29" s="135"/>
      <c r="G29" s="135"/>
      <c r="H29" s="135"/>
      <c r="I29" s="135"/>
    </row>
    <row r="30" spans="1:35" ht="14.25">
      <c r="A30" s="148" t="s">
        <v>2136</v>
      </c>
      <c r="B30" s="148"/>
      <c r="C30" s="148"/>
      <c r="D30" s="148"/>
      <c r="E30" s="2912" t="s">
        <v>3007</v>
      </c>
      <c r="F30" s="135"/>
      <c r="G30" s="135"/>
      <c r="H30" s="135"/>
      <c r="I30" s="135"/>
    </row>
    <row r="31" spans="1:35" s="2441" customFormat="1" ht="15"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2137</v>
      </c>
      <c r="B32" s="2443"/>
      <c r="C32" s="150">
        <f ca="1">IF(D32="总价",G19-C24,G20-C25)</f>
        <v>51925</v>
      </c>
      <c r="D32" s="2444" t="s">
        <v>2138</v>
      </c>
      <c r="E32" s="135"/>
      <c r="F32" s="135"/>
      <c r="G32" s="135"/>
      <c r="H32" s="135"/>
      <c r="I32" s="135"/>
    </row>
    <row r="33" spans="1:15" ht="15">
      <c r="A33" s="954" t="s">
        <v>2139</v>
      </c>
      <c r="B33" s="2445"/>
      <c r="C33" s="2446" t="s">
        <v>3096</v>
      </c>
      <c r="D33" s="2447" t="s">
        <v>3090</v>
      </c>
      <c r="E33" s="2448" t="s">
        <v>2140</v>
      </c>
      <c r="F33" s="2449" t="str">
        <f>IF(D32="楼面单价","取值（单价）","取值（总价）")</f>
        <v>取值（总价）</v>
      </c>
      <c r="G33" s="135"/>
      <c r="H33" s="135"/>
      <c r="I33" s="135"/>
    </row>
    <row r="34" spans="1:15" ht="15">
      <c r="A34" s="2450"/>
      <c r="B34" s="2451" t="s">
        <v>2141</v>
      </c>
      <c r="C34" s="154">
        <f ca="1">IF(C33="自定义",F34,C32-C35)</f>
        <v>45279</v>
      </c>
      <c r="D34" s="1052">
        <f ca="1">IF(C33="自定义",ROUND(C34/C32,3),IF(C33="收益比率",SUMIF(INDIRECT("'"&amp;D33&amp;"'"&amp;"!b:b"),"土地收益比率",INDIRECT("'"&amp;D33&amp;"'"&amp;"!c:c")),SUMIF(INDIRECT("'"&amp;D33&amp;"'"&amp;"!b:b"),"土地成本比率",INDIRECT("'"&amp;D33&amp;"'"&amp;"!c:c"))))</f>
        <v>0.872</v>
      </c>
      <c r="E34" s="2452" t="s">
        <v>2142</v>
      </c>
      <c r="F34" s="1733"/>
      <c r="G34" s="135"/>
      <c r="H34" s="135"/>
      <c r="I34" s="135"/>
    </row>
    <row r="35" spans="1:15" ht="15.75" thickBot="1">
      <c r="A35" s="2453"/>
      <c r="B35" s="2454" t="s">
        <v>2143</v>
      </c>
      <c r="C35" s="1438">
        <f ca="1">IF(C33="自定义",F35,ROUND(C32*D35,0))</f>
        <v>6646</v>
      </c>
      <c r="D35" s="1439">
        <f ca="1">IF(C33="自定义",ROUND(C35/C32,3),IF(C33="收益比率",SUMIF(INDIRECT("'"&amp;D33&amp;"'"&amp;"!b:b"),"建筑物收益比率",INDIRECT("'"&amp;D33&amp;"'"&amp;"!c:c")),SUMIF(INDIRECT("'"&amp;D33&amp;"'"&amp;"!b:b"),"建筑物成本比率",INDIRECT("'"&amp;D33&amp;"'"&amp;"!c:c"))))</f>
        <v>0.128</v>
      </c>
      <c r="E35" s="2455" t="s">
        <v>2144</v>
      </c>
      <c r="F35" s="160"/>
      <c r="G35" s="135"/>
      <c r="H35" s="135"/>
      <c r="I35" s="135"/>
    </row>
    <row r="36" spans="1:15" ht="15.75" thickBot="1">
      <c r="A36" s="3077" t="s">
        <v>2145</v>
      </c>
      <c r="B36" s="2456" t="s">
        <v>2146</v>
      </c>
      <c r="C36" s="151"/>
      <c r="D36" s="2457"/>
      <c r="E36" s="2458"/>
      <c r="F36" s="2459"/>
      <c r="G36" s="135"/>
      <c r="H36" s="135"/>
      <c r="I36" s="135"/>
    </row>
    <row r="37" spans="1:15" ht="15.75" thickBot="1">
      <c r="A37" s="3078"/>
      <c r="B37" s="2262" t="s">
        <v>2147</v>
      </c>
      <c r="C37" s="153"/>
      <c r="D37" s="1389"/>
      <c r="E37" s="1389"/>
      <c r="F37" s="2459"/>
      <c r="G37" s="135"/>
      <c r="H37" s="135"/>
      <c r="I37" s="135"/>
    </row>
    <row r="38" spans="1:15" ht="15.75" thickBot="1">
      <c r="A38" s="3079"/>
      <c r="B38" s="2460" t="s">
        <v>2148</v>
      </c>
      <c r="C38" s="724"/>
      <c r="D38" s="2461" t="s">
        <v>2149</v>
      </c>
      <c r="E38" s="1389"/>
      <c r="F38" s="2459"/>
      <c r="G38" s="135"/>
      <c r="H38" s="135"/>
      <c r="I38" s="135"/>
    </row>
    <row r="39" spans="1:15" ht="15">
      <c r="A39" s="2432" t="s">
        <v>2150</v>
      </c>
      <c r="B39" s="2462" t="s">
        <v>2151</v>
      </c>
      <c r="C39" s="2463" t="s">
        <v>2152</v>
      </c>
      <c r="D39" s="2463" t="s">
        <v>2153</v>
      </c>
      <c r="E39" s="2464" t="s">
        <v>2154</v>
      </c>
      <c r="F39" s="2459"/>
      <c r="G39" s="135"/>
      <c r="H39" s="135"/>
      <c r="I39" s="135"/>
    </row>
    <row r="40" spans="1:15" ht="14.25">
      <c r="A40" s="2465" t="s">
        <v>2155</v>
      </c>
      <c r="B40" s="155"/>
      <c r="C40" s="156"/>
      <c r="D40" s="156"/>
      <c r="E40" s="157"/>
      <c r="F40" s="2459"/>
      <c r="G40" s="135"/>
      <c r="H40" s="135"/>
      <c r="I40" s="135"/>
    </row>
    <row r="41" spans="1:15" ht="14.25">
      <c r="A41" s="2465" t="s">
        <v>2156</v>
      </c>
      <c r="B41" s="155"/>
      <c r="C41" s="156"/>
      <c r="D41" s="156"/>
      <c r="E41" s="157"/>
      <c r="F41" s="2459"/>
      <c r="G41" s="135"/>
      <c r="H41" s="135"/>
      <c r="I41" s="135"/>
    </row>
    <row r="42" spans="1:15" ht="15" thickBot="1">
      <c r="A42" s="2466"/>
      <c r="B42" s="158"/>
      <c r="C42" s="159"/>
      <c r="D42" s="159"/>
      <c r="E42" s="160"/>
      <c r="F42" s="2459"/>
      <c r="G42" s="135"/>
      <c r="H42" s="135"/>
      <c r="I42" s="135"/>
    </row>
    <row r="43" spans="1:15" ht="12.75">
      <c r="A43" s="2160"/>
      <c r="B43" s="2160"/>
      <c r="C43" s="2160"/>
      <c r="D43" s="2160"/>
      <c r="E43" s="2160"/>
      <c r="F43" s="2467"/>
      <c r="G43" s="2467"/>
      <c r="H43" s="2467"/>
      <c r="I43" s="2468"/>
    </row>
    <row r="44" spans="1:15" ht="18.75">
      <c r="A44" s="2469" t="s">
        <v>2157</v>
      </c>
      <c r="B44" s="2470"/>
      <c r="C44" s="2470"/>
      <c r="D44" s="2471"/>
      <c r="E44" s="2471"/>
      <c r="F44" s="2472"/>
      <c r="G44" s="2472"/>
      <c r="H44" s="2472"/>
      <c r="I44" s="2472"/>
      <c r="J44" s="2473" t="s">
        <v>2158</v>
      </c>
      <c r="K44" s="2474"/>
      <c r="L44" s="2474"/>
      <c r="M44" s="2474"/>
      <c r="N44" s="2474"/>
      <c r="O44" s="2474"/>
    </row>
    <row r="45" spans="1:15" ht="14.25" customHeight="1" thickBot="1">
      <c r="A45" s="3056" t="s">
        <v>2159</v>
      </c>
      <c r="B45" s="3057"/>
      <c r="C45" s="3058"/>
      <c r="D45" s="161">
        <f ca="1">ROUND(H101*F45,0)</f>
        <v>51925</v>
      </c>
      <c r="E45" s="162" t="s">
        <v>2160</v>
      </c>
      <c r="F45" s="163">
        <v>1</v>
      </c>
      <c r="G45" s="164" t="s">
        <v>2161</v>
      </c>
      <c r="H45" s="135"/>
      <c r="I45" s="135"/>
      <c r="J45" s="3120" t="s">
        <v>2162</v>
      </c>
      <c r="K45" s="3120"/>
      <c r="L45" s="3120"/>
      <c r="M45" s="3120"/>
      <c r="N45" s="3120"/>
      <c r="O45" s="3120"/>
    </row>
    <row r="46" spans="1:15" ht="14.25" customHeight="1">
      <c r="A46" s="3053" t="s">
        <v>2163</v>
      </c>
      <c r="B46" s="3054"/>
      <c r="C46" s="3054"/>
      <c r="D46" s="3054"/>
      <c r="E46" s="3054"/>
      <c r="F46" s="3054"/>
      <c r="G46" s="3055"/>
      <c r="H46" s="2475"/>
      <c r="I46" s="165"/>
      <c r="J46" s="1806">
        <v>1</v>
      </c>
      <c r="K46" s="3120" t="s">
        <v>2164</v>
      </c>
      <c r="L46" s="3120"/>
      <c r="M46" s="3140"/>
      <c r="N46" s="3140"/>
      <c r="O46" s="3140"/>
    </row>
    <row r="47" spans="1:15" ht="12" customHeight="1">
      <c r="A47" s="166" t="s">
        <v>2165</v>
      </c>
      <c r="B47" s="167"/>
      <c r="C47" s="168"/>
      <c r="D47" s="169" t="s">
        <v>2166</v>
      </c>
      <c r="E47" s="21" t="s">
        <v>2167</v>
      </c>
      <c r="F47" s="170" t="s">
        <v>2168</v>
      </c>
      <c r="G47" s="171" t="s">
        <v>2169</v>
      </c>
      <c r="H47" s="2475"/>
      <c r="I47" s="165"/>
      <c r="J47" s="1806">
        <v>2</v>
      </c>
      <c r="K47" s="3120" t="s">
        <v>2170</v>
      </c>
      <c r="L47" s="3120"/>
      <c r="M47" s="3141">
        <f>'数据-取费表'!B2</f>
        <v>43832</v>
      </c>
      <c r="N47" s="3141"/>
      <c r="O47" s="3141"/>
    </row>
    <row r="48" spans="1:15" ht="25.5">
      <c r="A48" s="3084" t="s">
        <v>2171</v>
      </c>
      <c r="B48" s="3067"/>
      <c r="C48" s="3067"/>
      <c r="D48" s="137">
        <f ca="1">IF(H48="情况1",0,IF(H48="情况2",D52,IF(H48="情况3",D53,IF(H48="情况4",D54))))</f>
        <v>2769</v>
      </c>
      <c r="E48" s="1795" t="str">
        <f>IF(H48="情况4","(销售额-原购置价)×税（费）率","销售额×税（费）率")</f>
        <v>销售额×税（费）率</v>
      </c>
      <c r="F48" s="172">
        <f>IF(H48="情况1","免征",'数据-取费表'!B41)</f>
        <v>5.6000000000000001E-2</v>
      </c>
      <c r="G48" s="2476" t="s">
        <v>2172</v>
      </c>
      <c r="H48" s="2477" t="s">
        <v>3092</v>
      </c>
      <c r="I48" s="2475"/>
      <c r="J48" s="1806">
        <v>3</v>
      </c>
      <c r="K48" s="3120" t="s">
        <v>2173</v>
      </c>
      <c r="L48" s="3120"/>
      <c r="M48" s="3142">
        <f ca="1">H101</f>
        <v>51925</v>
      </c>
      <c r="N48" s="3142"/>
      <c r="O48" s="3142"/>
    </row>
    <row r="49" spans="1:35" ht="25.5" customHeight="1">
      <c r="A49" s="173" t="s">
        <v>2174</v>
      </c>
      <c r="B49" s="3052" t="s">
        <v>2175</v>
      </c>
      <c r="C49" s="3052"/>
      <c r="D49" s="174">
        <v>0</v>
      </c>
      <c r="E49" s="20" t="s">
        <v>2176</v>
      </c>
      <c r="F49" s="25" t="s">
        <v>31</v>
      </c>
      <c r="G49" s="3126"/>
      <c r="H49" s="135"/>
      <c r="I49" s="2478"/>
      <c r="J49" s="1806">
        <v>4</v>
      </c>
      <c r="K49" s="3120" t="str">
        <f>IF(项目基本情况!E8="房地产抵押价值","房地产抵押价值","抵押担保权已注销时的房地产抵押价值")</f>
        <v>房地产抵押价值</v>
      </c>
      <c r="L49" s="3120"/>
      <c r="M49" s="3142">
        <f ca="1">IF(项目基本情况!E8="房地产抵押价值",H107,H109)</f>
        <v>51925</v>
      </c>
      <c r="N49" s="3142"/>
      <c r="O49" s="3142"/>
    </row>
    <row r="50" spans="1:35" ht="25.5" customHeight="1">
      <c r="A50" s="175"/>
      <c r="B50" s="3052" t="s">
        <v>2177</v>
      </c>
      <c r="C50" s="3052"/>
      <c r="D50" s="176"/>
      <c r="E50" s="28"/>
      <c r="F50" s="177"/>
      <c r="G50" s="3127"/>
      <c r="H50" s="135"/>
      <c r="I50" s="2478"/>
      <c r="J50" s="3120" t="s">
        <v>2178</v>
      </c>
      <c r="K50" s="3120"/>
      <c r="L50" s="3120"/>
      <c r="M50" s="3120"/>
      <c r="N50" s="3120"/>
      <c r="O50" s="3120"/>
    </row>
    <row r="51" spans="1:35" ht="12" customHeight="1">
      <c r="A51" s="178"/>
      <c r="B51" s="3052" t="s">
        <v>2179</v>
      </c>
      <c r="C51" s="3052"/>
      <c r="D51" s="179"/>
      <c r="E51" s="27"/>
      <c r="F51" s="177"/>
      <c r="G51" s="3128"/>
      <c r="H51" s="135"/>
      <c r="I51" s="2478"/>
      <c r="J51" s="2479" t="s">
        <v>2180</v>
      </c>
      <c r="K51" s="3120" t="s">
        <v>2181</v>
      </c>
      <c r="L51" s="3120"/>
      <c r="M51" s="2479" t="s">
        <v>2182</v>
      </c>
      <c r="N51" s="2479" t="s">
        <v>2183</v>
      </c>
      <c r="O51" s="2479" t="s">
        <v>2184</v>
      </c>
    </row>
    <row r="52" spans="1:35" ht="24" customHeight="1">
      <c r="A52" s="180" t="s">
        <v>2185</v>
      </c>
      <c r="B52" s="3052" t="s">
        <v>2186</v>
      </c>
      <c r="C52" s="3052"/>
      <c r="D52" s="179">
        <f ca="1">ROUND(D45*'数据-取费表'!B41/(1+'数据-取费表'!C42),0)</f>
        <v>2769</v>
      </c>
      <c r="E52" s="8" t="s">
        <v>2187</v>
      </c>
      <c r="F52" s="181">
        <f>'数据-取费表'!B41</f>
        <v>5.6000000000000001E-2</v>
      </c>
      <c r="G52" s="2480"/>
      <c r="H52" s="135"/>
      <c r="I52" s="2478"/>
      <c r="J52" s="1806">
        <v>1</v>
      </c>
      <c r="K52" s="3121" t="s">
        <v>2188</v>
      </c>
      <c r="L52" s="3121"/>
      <c r="M52" s="1748">
        <f ca="1">D48</f>
        <v>2769</v>
      </c>
      <c r="N52" s="1806" t="str">
        <f>E48</f>
        <v>销售额×税（费）率</v>
      </c>
      <c r="O52" s="1749">
        <f>F48</f>
        <v>5.6000000000000001E-2</v>
      </c>
    </row>
    <row r="53" spans="1:35" ht="12" customHeight="1">
      <c r="A53" s="180" t="s">
        <v>2189</v>
      </c>
      <c r="B53" s="3075" t="s">
        <v>2190</v>
      </c>
      <c r="C53" s="3076"/>
      <c r="D53" s="179">
        <f ca="1">ROUND(D45*'数据-取费表'!B41/(1+'数据-取费表'!C42),0)</f>
        <v>2769</v>
      </c>
      <c r="E53" s="8" t="s">
        <v>2187</v>
      </c>
      <c r="F53" s="181">
        <f>'数据-取费表'!B41</f>
        <v>5.6000000000000001E-2</v>
      </c>
      <c r="G53" s="2480"/>
      <c r="H53" s="135"/>
      <c r="I53" s="2478"/>
      <c r="J53" s="1806">
        <v>2</v>
      </c>
      <c r="K53" s="3121" t="s">
        <v>2191</v>
      </c>
      <c r="L53" s="3121"/>
      <c r="M53" s="1748">
        <f t="shared" ref="M53:O54" ca="1" si="0">D55</f>
        <v>26</v>
      </c>
      <c r="N53" s="1806" t="str">
        <f t="shared" si="0"/>
        <v>销售额×税（费）率</v>
      </c>
      <c r="O53" s="1749">
        <f t="shared" si="0"/>
        <v>5.0000000000000001E-4</v>
      </c>
    </row>
    <row r="54" spans="1:35" ht="12" customHeight="1">
      <c r="A54" s="180" t="s">
        <v>2192</v>
      </c>
      <c r="B54" s="3075" t="s">
        <v>2193</v>
      </c>
      <c r="C54" s="3076"/>
      <c r="D54" s="179">
        <f ca="1">C68</f>
        <v>2769</v>
      </c>
      <c r="E54" s="27" t="s">
        <v>2194</v>
      </c>
      <c r="F54" s="181">
        <f>'数据-取费表'!B41</f>
        <v>5.6000000000000001E-2</v>
      </c>
      <c r="G54" s="2480"/>
      <c r="H54" s="2481"/>
      <c r="I54" s="2478"/>
      <c r="J54" s="1806">
        <v>3</v>
      </c>
      <c r="K54" s="3121" t="s">
        <v>2195</v>
      </c>
      <c r="L54" s="3121"/>
      <c r="M54" s="1748">
        <f t="shared" ca="1" si="0"/>
        <v>4365</v>
      </c>
      <c r="N54" s="1806" t="str">
        <f t="shared" si="0"/>
        <v>增值额×税（费）率</v>
      </c>
      <c r="O54" s="1750" t="str">
        <f t="shared" si="0"/>
        <v>——</v>
      </c>
    </row>
    <row r="55" spans="1:35" ht="24" customHeight="1">
      <c r="A55" s="3066" t="s">
        <v>2196</v>
      </c>
      <c r="B55" s="3067"/>
      <c r="C55" s="3067"/>
      <c r="D55" s="182">
        <f ca="1">IF(H55="个人住宅",0,ROUND(D45*I55,0))</f>
        <v>26</v>
      </c>
      <c r="E55" s="8" t="s">
        <v>2197</v>
      </c>
      <c r="F55" s="181">
        <f>IF(H55="正常",I55,"免征")</f>
        <v>5.0000000000000001E-4</v>
      </c>
      <c r="G55" s="2480"/>
      <c r="H55" s="2477" t="s">
        <v>2198</v>
      </c>
      <c r="I55" s="183">
        <f>'数据-取费表'!B49</f>
        <v>5.0000000000000001E-4</v>
      </c>
      <c r="J55" s="1806" t="str">
        <f>IF(H59="非个人房产","",4)</f>
        <v/>
      </c>
      <c r="K55" s="3121" t="str">
        <f>IF(H59="非个人房产","——","个人所得税")</f>
        <v>——</v>
      </c>
      <c r="L55" s="3121"/>
      <c r="M55" s="1751" t="str">
        <f>D59</f>
        <v>——</v>
      </c>
      <c r="N55" s="1804" t="str">
        <f>E59</f>
        <v>——</v>
      </c>
      <c r="O55" s="1752" t="str">
        <f>F59</f>
        <v>——</v>
      </c>
    </row>
    <row r="56" spans="1:35" ht="24.75">
      <c r="A56" s="3066" t="s">
        <v>2199</v>
      </c>
      <c r="B56" s="3067"/>
      <c r="C56" s="3067"/>
      <c r="D56" s="182">
        <f ca="1">IF(H56="个人住宅",D57,D58)</f>
        <v>4365</v>
      </c>
      <c r="E56" s="8" t="s">
        <v>2200</v>
      </c>
      <c r="F56" s="181" t="str">
        <f>IF(H56="正常",F58,"免征")</f>
        <v>——</v>
      </c>
      <c r="G56" s="2482" t="s">
        <v>2201</v>
      </c>
      <c r="H56" s="2483" t="s">
        <v>2198</v>
      </c>
      <c r="I56" s="2484"/>
      <c r="J56" s="1806" t="str">
        <f>IF(项目基本情况!K6="上海银行",IF(J55="",4,J55+1),"")</f>
        <v/>
      </c>
      <c r="K56" s="3144" t="str">
        <f>IF(项目基本情况!K6="上海银行","其他处置费用","")</f>
        <v/>
      </c>
      <c r="L56" s="3145"/>
      <c r="M56" s="1748" t="str">
        <f>IF(项目基本情况!K6="上海银行",M69,"")</f>
        <v/>
      </c>
      <c r="N56" s="3147" t="str">
        <f>IF(项目基本情况!K6="上海银行","包含处置中涉及的律师、诉讼、拍卖、评估等费用","")</f>
        <v/>
      </c>
      <c r="O56" s="3148"/>
    </row>
    <row r="57" spans="1:35" ht="12.75">
      <c r="A57" s="180" t="s">
        <v>2174</v>
      </c>
      <c r="B57" s="3082" t="s">
        <v>2202</v>
      </c>
      <c r="C57" s="3094"/>
      <c r="D57" s="184">
        <v>0</v>
      </c>
      <c r="E57" s="20" t="s">
        <v>2176</v>
      </c>
      <c r="F57" s="152"/>
      <c r="G57" s="2480"/>
      <c r="H57" s="2484"/>
      <c r="I57" s="2484"/>
      <c r="J57" s="3121">
        <f>IF(AND(J55="",J56=""),4,IF(项目基本情况!K6="上海银行",结果表!J56+1,结果表!J55+1))</f>
        <v>4</v>
      </c>
      <c r="K57" s="3121" t="s">
        <v>2203</v>
      </c>
      <c r="L57" s="2485" t="s">
        <v>2204</v>
      </c>
      <c r="M57" s="1753"/>
      <c r="N57" s="1754">
        <f ca="1">SUMIF(M52:M56,"&lt;9e307")</f>
        <v>7160</v>
      </c>
      <c r="O57" s="2486"/>
      <c r="P57" s="1747">
        <f ca="1">N57/M49</f>
        <v>0.13789118921521426</v>
      </c>
    </row>
    <row r="58" spans="1:35" ht="24.75">
      <c r="A58" s="180" t="s">
        <v>2185</v>
      </c>
      <c r="B58" s="3082" t="s">
        <v>2205</v>
      </c>
      <c r="C58" s="3083"/>
      <c r="D58" s="182">
        <f ca="1">IF(H58="转让取得",C81,C97)</f>
        <v>4365</v>
      </c>
      <c r="E58" s="8" t="s">
        <v>2200</v>
      </c>
      <c r="F58" s="21" t="s">
        <v>31</v>
      </c>
      <c r="G58" s="2480"/>
      <c r="H58" s="2483" t="s">
        <v>2206</v>
      </c>
      <c r="I58" s="2484"/>
      <c r="J58" s="3121"/>
      <c r="K58" s="3121"/>
      <c r="L58" s="2485" t="s">
        <v>2207</v>
      </c>
      <c r="M58" s="1755"/>
      <c r="N58" s="2487" t="str">
        <f ca="1">NUMBERSTRING(INT(N57*10000),2)&amp;"元整"</f>
        <v>柒仟壹佰陆拾万元整</v>
      </c>
      <c r="O58" s="2488"/>
    </row>
    <row r="59" spans="1:35" ht="24.75" thickBot="1">
      <c r="A59" s="3124" t="s">
        <v>2208</v>
      </c>
      <c r="B59" s="3125"/>
      <c r="C59" s="3125"/>
      <c r="D59" s="185" t="str">
        <f>IF(H59="非个人房产","——",IF(H59="个人住宅",0,ROUND(D45*I59,0)))</f>
        <v>——</v>
      </c>
      <c r="E59" s="186" t="str">
        <f>IF(H59="非个人房产","——","销售额×税（费）率")</f>
        <v>——</v>
      </c>
      <c r="F59" s="187" t="str">
        <f>IF(H59="非个人房产","——",IF(H59="个人住宅","免征",I59))</f>
        <v>——</v>
      </c>
      <c r="G59" s="2489" t="s">
        <v>2201</v>
      </c>
      <c r="H59" s="2483" t="s">
        <v>2209</v>
      </c>
      <c r="I59" s="188">
        <v>0.01</v>
      </c>
      <c r="J59" s="3122">
        <f>J57+1</f>
        <v>5</v>
      </c>
      <c r="K59" s="3121" t="s">
        <v>2210</v>
      </c>
      <c r="L59" s="1806" t="s">
        <v>2204</v>
      </c>
      <c r="M59" s="1756"/>
      <c r="N59" s="1757">
        <f ca="1">M49-N57</f>
        <v>44765</v>
      </c>
      <c r="O59" s="2490"/>
    </row>
    <row r="60" spans="1:35" ht="12" customHeight="1">
      <c r="A60" s="2491"/>
      <c r="B60" s="2413"/>
      <c r="C60" s="2413"/>
      <c r="D60" s="2413"/>
      <c r="E60" s="2161"/>
      <c r="F60" s="2484"/>
      <c r="G60" s="2484"/>
      <c r="H60" s="2492"/>
      <c r="I60" s="135"/>
      <c r="J60" s="3123"/>
      <c r="K60" s="3121"/>
      <c r="L60" s="2485" t="s">
        <v>2207</v>
      </c>
      <c r="M60" s="1755"/>
      <c r="N60" s="2487" t="str">
        <f ca="1">NUMBERSTRING(INT(N59*10000),2)&amp;"元整"</f>
        <v>肆亿肆仟柒佰陆拾伍万元整</v>
      </c>
      <c r="O60" s="2488"/>
    </row>
    <row r="61" spans="1:35" ht="13.5" thickBot="1">
      <c r="A61" s="3064" t="s">
        <v>2211</v>
      </c>
      <c r="B61" s="3064"/>
      <c r="C61" s="3064"/>
      <c r="D61" s="3064"/>
      <c r="E61" s="3064"/>
      <c r="F61" s="2484"/>
      <c r="G61" s="2484"/>
      <c r="H61" s="2492"/>
      <c r="I61" s="135"/>
      <c r="J61" s="1806">
        <f>J59+1</f>
        <v>6</v>
      </c>
      <c r="K61" s="3121" t="s">
        <v>2212</v>
      </c>
      <c r="L61" s="3121"/>
      <c r="M61" s="1758"/>
      <c r="N61" s="1759">
        <f ca="1">ROUND(N59*10000/'数据-汇总表'!E3,0)</f>
        <v>9726</v>
      </c>
      <c r="O61" s="2493"/>
    </row>
    <row r="62" spans="1:35" ht="12.75">
      <c r="A62" s="3080" t="s">
        <v>2213</v>
      </c>
      <c r="B62" s="3081"/>
      <c r="C62" s="1798"/>
      <c r="D62" s="1798" t="s">
        <v>2214</v>
      </c>
      <c r="E62" s="189" t="s">
        <v>2215</v>
      </c>
      <c r="F62" s="2484"/>
      <c r="G62" s="2484"/>
      <c r="H62" s="2492"/>
      <c r="I62" s="135"/>
    </row>
    <row r="63" spans="1:35" ht="12.75">
      <c r="A63" s="200" t="s">
        <v>751</v>
      </c>
      <c r="B63" s="190" t="s">
        <v>2216</v>
      </c>
      <c r="C63" s="191">
        <f ca="1">ROUND((C64+C65)/(1+'数据-取费表'!C42),0)</f>
        <v>49452</v>
      </c>
      <c r="D63" s="192"/>
      <c r="E63" s="193"/>
      <c r="F63" s="2484"/>
      <c r="G63" s="2484"/>
      <c r="H63" s="2492"/>
      <c r="I63" s="135"/>
      <c r="J63" s="3146" t="s">
        <v>2217</v>
      </c>
      <c r="K63" s="2494" t="s">
        <v>2218</v>
      </c>
      <c r="L63" s="1746">
        <f ca="1">IF(M49&gt;10000,M49*0.5%,IF(AND(M49&gt;1000,M49&lt;=10000),M49*1%,IF(AND(M49&gt;100,M49&lt;=1000),M49*3%,IF(AND(M49&gt;10,M49&lt;=100),M49*5%,M49*8%))))</f>
        <v>259.625</v>
      </c>
      <c r="M63" s="21">
        <f ca="1">ROUND(L63,1)</f>
        <v>259.60000000000002</v>
      </c>
      <c r="Z63" s="2418"/>
      <c r="AI63" s="2419"/>
    </row>
    <row r="64" spans="1:35" ht="14.25" customHeight="1">
      <c r="A64" s="194" t="s">
        <v>746</v>
      </c>
      <c r="B64" s="195" t="s">
        <v>2219</v>
      </c>
      <c r="C64" s="196">
        <f ca="1">D45</f>
        <v>51925</v>
      </c>
      <c r="D64" s="197" t="s">
        <v>29</v>
      </c>
      <c r="E64" s="198"/>
      <c r="F64" s="2484"/>
      <c r="G64" s="2484"/>
      <c r="H64" s="2492"/>
      <c r="I64" s="135"/>
      <c r="J64" s="3146"/>
      <c r="K64" s="2494" t="s">
        <v>2220</v>
      </c>
      <c r="L64" s="1746">
        <f ca="1">IF(M49&gt;2000,M49*0.5%,IF(AND(M49&gt;1000,M49&lt;=2000),M49*0.6%,IF(AND(M49&gt;500,M49&lt;=1000),M49*0.7%,IF(AND(M49&gt;200,M49&lt;=500),M49*0.8%,IF(AND(M49&gt;100,M49&lt;=200),M49*0.9%,IF(AND(M49&gt;50,M49&lt;=100),M49*1%,IF(AND(M49&gt;20,M49&lt;=50),M49*1.5%,IF(AND(M49&gt;10,M49&lt;=20),M49*2%,IF(AND(M49&gt;1,M49&lt;=10),M49*2.5%)))))))))</f>
        <v>259.625</v>
      </c>
      <c r="M64" s="21">
        <f t="shared" ref="M64:M65" ca="1" si="1">ROUND(L64,1)</f>
        <v>259.60000000000002</v>
      </c>
      <c r="N64" s="135" t="s">
        <v>2221</v>
      </c>
      <c r="Z64" s="2418"/>
      <c r="AI64" s="2419"/>
    </row>
    <row r="65" spans="1:35" ht="14.25" customHeight="1">
      <c r="A65" s="194" t="s">
        <v>747</v>
      </c>
      <c r="B65" s="195" t="s">
        <v>2222</v>
      </c>
      <c r="C65" s="199"/>
      <c r="D65" s="197"/>
      <c r="E65" s="198"/>
      <c r="F65" s="2484"/>
      <c r="G65" s="2484"/>
      <c r="H65" s="2492"/>
      <c r="I65" s="135"/>
      <c r="J65" s="3146"/>
      <c r="K65" s="2494" t="s">
        <v>2223</v>
      </c>
      <c r="L65" s="1746">
        <f ca="1">IF(M49&gt;1000,M49*0.1%,IF(AND(M49&gt;500,M49&lt;=1000),M49*0.5%,IF(AND(M49&gt;50,M49&lt;=500),M49*1%,IF(AND(M49&gt;1,M49&lt;=50),M49*1.5%))))</f>
        <v>51.925000000000004</v>
      </c>
      <c r="M65" s="21">
        <f t="shared" ca="1" si="1"/>
        <v>51.9</v>
      </c>
      <c r="N65" s="135" t="s">
        <v>2221</v>
      </c>
      <c r="Z65" s="2418"/>
      <c r="AI65" s="2419"/>
    </row>
    <row r="66" spans="1:35" ht="14.25" customHeight="1">
      <c r="A66" s="200" t="s">
        <v>748</v>
      </c>
      <c r="B66" s="201" t="s">
        <v>2224</v>
      </c>
      <c r="C66" s="202"/>
      <c r="D66" s="203" t="s">
        <v>29</v>
      </c>
      <c r="E66" s="1770" t="s">
        <v>1342</v>
      </c>
      <c r="F66" s="2484"/>
      <c r="G66" s="2484"/>
      <c r="H66" s="2492"/>
      <c r="I66" s="135"/>
      <c r="J66" s="3146"/>
      <c r="K66" s="2494" t="s">
        <v>2225</v>
      </c>
      <c r="L66" s="1746">
        <f ca="1">M49*0.5%</f>
        <v>259.625</v>
      </c>
      <c r="M66" s="21">
        <f ca="1">IF(L66&gt;0.5,0.5,ROUND(L66,0))</f>
        <v>0.5</v>
      </c>
      <c r="N66" s="135" t="s">
        <v>2226</v>
      </c>
      <c r="Z66" s="2418"/>
      <c r="AI66" s="2419"/>
    </row>
    <row r="67" spans="1:35" ht="14.25" customHeight="1">
      <c r="A67" s="200" t="s">
        <v>749</v>
      </c>
      <c r="B67" s="201" t="s">
        <v>2227</v>
      </c>
      <c r="C67" s="204">
        <f ca="1">C63-C66</f>
        <v>49452</v>
      </c>
      <c r="D67" s="197" t="s">
        <v>29</v>
      </c>
      <c r="E67" s="198"/>
      <c r="F67" s="2484"/>
      <c r="G67" s="2484"/>
      <c r="H67" s="2492"/>
      <c r="I67" s="135"/>
      <c r="J67" s="3146"/>
      <c r="K67" s="2494" t="s">
        <v>2228</v>
      </c>
      <c r="L67" s="1746">
        <f ca="1">IF(M49&gt;=10000,(8.25+(M49-10000)*0.01%),IF(AND(M49&gt;=8000,M49&lt;10000),(7.85+(M49-8000)*0.02%),IF(AND(M49&gt;=5000,M49&lt;8000),(6.65+(M49-5000)*0.04%),IF(AND(M49&gt;=2000,M49&lt;5000),(4.25+(PM49-2000)*0.08%),IF(AND(M49&gt;=1000,M49&lt;2000),(2.75+(M49-1000)*0.15%),IF(AND(M49&gt;=100,M49&lt;1000),(0.5+(M49-100)*0.25%),IF(AND(M49&gt;0,M49&lt;100),M49*0.5%)))))))</f>
        <v>12.442499999999999</v>
      </c>
      <c r="M67" s="21">
        <f ca="1">ROUND(L67*0.9,1)</f>
        <v>11.2</v>
      </c>
      <c r="Z67" s="2418"/>
      <c r="AI67" s="2419"/>
    </row>
    <row r="68" spans="1:35" ht="14.25" customHeight="1" thickBot="1">
      <c r="A68" s="205" t="s">
        <v>750</v>
      </c>
      <c r="B68" s="206" t="s">
        <v>2229</v>
      </c>
      <c r="C68" s="207">
        <f ca="1">IF(C67&lt;=0,0,ROUND(C67*D68,0))</f>
        <v>2769</v>
      </c>
      <c r="D68" s="208">
        <f>'数据-取费表'!B41</f>
        <v>5.6000000000000001E-2</v>
      </c>
      <c r="E68" s="209"/>
      <c r="F68" s="2484"/>
      <c r="G68" s="2484"/>
      <c r="H68" s="2492"/>
      <c r="I68" s="135"/>
      <c r="J68" s="3146"/>
      <c r="K68" s="2494" t="s">
        <v>2230</v>
      </c>
      <c r="L68" s="1746">
        <f ca="1">IF(M49&gt;10000,M49*0.5%,IF(AND(M49&gt;5000,M49&lt;=10000),M49*1%,IF(AND(M49&gt;1000,M49&lt;=5000),M49*2%,IF(AND(M49&gt;200,M49&lt;=1000),M49*3%,M49*5%))))</f>
        <v>259.625</v>
      </c>
      <c r="M68" s="21">
        <f ca="1">ROUND(L68,1)</f>
        <v>259.60000000000002</v>
      </c>
      <c r="Z68" s="2418"/>
      <c r="AI68" s="2419"/>
    </row>
    <row r="69" spans="1:35" s="2441" customFormat="1" ht="16.5" customHeight="1">
      <c r="A69" s="2495"/>
      <c r="B69" s="2496"/>
      <c r="C69" s="2497"/>
      <c r="D69" s="2498"/>
      <c r="E69" s="2499"/>
      <c r="F69" s="2161"/>
      <c r="G69" s="2161"/>
      <c r="H69" s="2160"/>
      <c r="I69" s="2413"/>
      <c r="J69" s="3146"/>
      <c r="K69" s="2494" t="s">
        <v>2231</v>
      </c>
      <c r="L69" s="2500"/>
      <c r="M69" s="21">
        <f ca="1">ROUND(SUM(M63:M68),0)</f>
        <v>842</v>
      </c>
      <c r="N69" s="1747">
        <f ca="1">M69/M49</f>
        <v>1.621569571497352E-2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104" t="s">
        <v>2232</v>
      </c>
      <c r="B70" s="3105"/>
      <c r="C70" s="3105"/>
      <c r="D70" s="3105"/>
      <c r="E70" s="3105"/>
      <c r="F70" s="3105"/>
      <c r="G70" s="3105"/>
      <c r="H70" s="310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0" t="s">
        <v>2213</v>
      </c>
      <c r="B71" s="3081"/>
      <c r="C71" s="1798"/>
      <c r="D71" s="1798" t="s">
        <v>2214</v>
      </c>
      <c r="E71" s="210" t="s">
        <v>2215</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0" t="s">
        <v>751</v>
      </c>
      <c r="B72" s="201" t="s">
        <v>2233</v>
      </c>
      <c r="C72" s="204">
        <f ca="1">ROUND(D45/(1+'数据-取费表'!C42),0)</f>
        <v>49452</v>
      </c>
      <c r="D72" s="197" t="s">
        <v>29</v>
      </c>
      <c r="E72" s="1797"/>
      <c r="F72" s="1791"/>
      <c r="G72" s="1791"/>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0" t="s">
        <v>748</v>
      </c>
      <c r="B73" s="170" t="s">
        <v>2234</v>
      </c>
      <c r="C73" s="204">
        <f ca="1">C74+C78</f>
        <v>297</v>
      </c>
      <c r="D73" s="197" t="s">
        <v>29</v>
      </c>
      <c r="E73" s="1797"/>
      <c r="F73" s="1791"/>
      <c r="G73" s="1791"/>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746</v>
      </c>
      <c r="B74" s="195" t="s">
        <v>2235</v>
      </c>
      <c r="C74" s="197">
        <f>ROUND(IF(G77="2016年5月1日后购买",C75/(1+'数据-取费表'!C42)+C76+C77,C75+C76+C77),0)</f>
        <v>0</v>
      </c>
      <c r="D74" s="197" t="s">
        <v>29</v>
      </c>
      <c r="E74" s="1797"/>
      <c r="F74" s="1791"/>
      <c r="G74" s="1791"/>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4" t="s">
        <v>752</v>
      </c>
      <c r="B75" s="195" t="s">
        <v>2236</v>
      </c>
      <c r="C75" s="215"/>
      <c r="D75" s="197" t="s">
        <v>29</v>
      </c>
      <c r="E75" s="216" t="s">
        <v>2237</v>
      </c>
      <c r="F75" s="2506" t="s">
        <v>2238</v>
      </c>
      <c r="G75" s="216" t="s">
        <v>2239</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753</v>
      </c>
      <c r="B76" s="218" t="s">
        <v>2240</v>
      </c>
      <c r="C76" s="197">
        <f>IF(F75="购房发票",ROUND(C75*H75*D76,0),0)</f>
        <v>0</v>
      </c>
      <c r="D76" s="219">
        <v>0.05</v>
      </c>
      <c r="E76" s="3075" t="s">
        <v>2241</v>
      </c>
      <c r="F76" s="3052"/>
      <c r="G76" s="3052"/>
      <c r="H76" s="310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754</v>
      </c>
      <c r="B77" s="195" t="s">
        <v>2242</v>
      </c>
      <c r="C77" s="197">
        <f>ROUND(IF(G77="个人住宅",0,IF(G77="2016年5月1日前购买",C75*D77,C75*D77/(1+'数据-取费表'!C42))),0)</f>
        <v>0</v>
      </c>
      <c r="D77" s="220">
        <f>'数据-取费表'!B48+'数据-取费表'!B49</f>
        <v>3.0499999999999999E-2</v>
      </c>
      <c r="E77" s="12" t="s">
        <v>2243</v>
      </c>
      <c r="F77" s="221"/>
      <c r="G77" s="2508" t="s">
        <v>2244</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747</v>
      </c>
      <c r="B78" s="195" t="s">
        <v>2245</v>
      </c>
      <c r="C78" s="222">
        <f ca="1">ROUND(D45*D78/(1+'数据-取费表'!C42),0)</f>
        <v>297</v>
      </c>
      <c r="D78" s="223">
        <f>'数据-取费表'!B43</f>
        <v>6.000000000000001E-3</v>
      </c>
      <c r="E78" s="3061" t="s">
        <v>2246</v>
      </c>
      <c r="F78" s="3062"/>
      <c r="G78" s="3062"/>
      <c r="H78" s="307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755</v>
      </c>
      <c r="B79" s="201" t="s">
        <v>2247</v>
      </c>
      <c r="C79" s="204">
        <f ca="1">C72-C73</f>
        <v>49155</v>
      </c>
      <c r="D79" s="197" t="s">
        <v>29</v>
      </c>
      <c r="E79" s="1797"/>
      <c r="F79" s="1791"/>
      <c r="G79" s="1791"/>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756</v>
      </c>
      <c r="B80" s="201" t="s">
        <v>2248</v>
      </c>
      <c r="C80" s="224">
        <f ca="1">IF(C79&lt;=0,0,C79/C73)</f>
        <v>165.50505050505049</v>
      </c>
      <c r="D80" s="197" t="s">
        <v>29</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757</v>
      </c>
      <c r="B81" s="206" t="s">
        <v>2249</v>
      </c>
      <c r="C81" s="225">
        <f ca="1">ROUND(IF(C79&lt;=0,0,IF(C80&gt;=200%,C79*60%-C73*35%,IF(C80&gt;=100%,C79*50%-C73*15%,IF(C80&gt;=50%,C79*40%-C73*5%,IF(C80&lt;50%,C79*30%,0))))),0)</f>
        <v>29389</v>
      </c>
      <c r="D81" s="226" t="s">
        <v>29</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4"/>
      <c r="D82" s="4"/>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4" t="s">
        <v>2250</v>
      </c>
      <c r="B83" s="3105"/>
      <c r="C83" s="3105"/>
      <c r="D83" s="3105"/>
      <c r="E83" s="3105"/>
      <c r="F83" s="3105"/>
      <c r="G83" s="3105"/>
      <c r="H83" s="310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0" t="s">
        <v>2213</v>
      </c>
      <c r="B84" s="3081"/>
      <c r="C84" s="1798"/>
      <c r="D84" s="1798" t="s">
        <v>2214</v>
      </c>
      <c r="E84" s="210" t="s">
        <v>2215</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0" t="s">
        <v>751</v>
      </c>
      <c r="B85" s="201" t="s">
        <v>2233</v>
      </c>
      <c r="C85" s="204">
        <f ca="1">ROUND(D45/(1+'数据-取费表'!C42),0)</f>
        <v>49452</v>
      </c>
      <c r="D85" s="197" t="s">
        <v>29</v>
      </c>
      <c r="E85" s="1797"/>
      <c r="F85" s="1791"/>
      <c r="G85" s="1791"/>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0" t="s">
        <v>748</v>
      </c>
      <c r="B86" s="170" t="s">
        <v>2234</v>
      </c>
      <c r="C86" s="204">
        <f ca="1">IF(H88="仅含出让金",C87+C90+C91+C92+C93+C94,C87+C91+C92+C93+C94)</f>
        <v>34901</v>
      </c>
      <c r="D86" s="232"/>
      <c r="E86" s="1797"/>
      <c r="F86" s="1791"/>
      <c r="G86" s="1791"/>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4" t="s">
        <v>746</v>
      </c>
      <c r="B87" s="195" t="s">
        <v>2251</v>
      </c>
      <c r="C87" s="222">
        <f>C88+C89</f>
        <v>2723</v>
      </c>
      <c r="D87" s="223"/>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4" t="s">
        <v>752</v>
      </c>
      <c r="B88" s="195" t="s">
        <v>2252</v>
      </c>
      <c r="C88" s="233">
        <f>ROUND((660*'数据-汇总表'!F19+220*'数据-汇总表'!G20)/10000,0)</f>
        <v>2642</v>
      </c>
      <c r="D88" s="223"/>
      <c r="E88" s="234" t="s">
        <v>2253</v>
      </c>
      <c r="F88" s="1794"/>
      <c r="G88" s="235" t="s">
        <v>2254</v>
      </c>
      <c r="H88" s="2512" t="s">
        <v>3099</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4" t="s">
        <v>753</v>
      </c>
      <c r="B89" s="195" t="s">
        <v>2242</v>
      </c>
      <c r="C89" s="222">
        <f>ROUND(C88*D89,0)</f>
        <v>81</v>
      </c>
      <c r="D89" s="223">
        <f>'数据-取费表'!B48+'数据-取费表'!B49</f>
        <v>3.0499999999999999E-2</v>
      </c>
      <c r="E89" s="234" t="s">
        <v>2255</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4" t="s">
        <v>747</v>
      </c>
      <c r="B90" s="195" t="s">
        <v>2256</v>
      </c>
      <c r="C90" s="2960">
        <f>Sheet1!B8</f>
        <v>11474</v>
      </c>
      <c r="D90" s="223"/>
      <c r="E90" s="234"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2257</v>
      </c>
      <c r="B91" s="195" t="s">
        <v>2258</v>
      </c>
      <c r="C91" s="222">
        <f ca="1">IF(H91="——",成本法!C33,I91)</f>
        <v>12421</v>
      </c>
      <c r="D91" s="223"/>
      <c r="E91" s="3061" t="s">
        <v>2259</v>
      </c>
      <c r="F91" s="3062"/>
      <c r="G91" s="3062"/>
      <c r="H91" s="2513" t="s">
        <v>46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2260</v>
      </c>
      <c r="B92" s="195" t="s">
        <v>2261</v>
      </c>
      <c r="C92" s="222">
        <f ca="1">ROUND((C87+C90+C91)*D92,0)</f>
        <v>2662</v>
      </c>
      <c r="D92" s="223">
        <v>0.1</v>
      </c>
      <c r="E92" s="3061" t="s">
        <v>2262</v>
      </c>
      <c r="F92" s="3062"/>
      <c r="G92" s="3062"/>
      <c r="H92" s="307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2263</v>
      </c>
      <c r="B93" s="195" t="s">
        <v>2245</v>
      </c>
      <c r="C93" s="222">
        <f ca="1">ROUND(D45*D93/(1+'数据-取费表'!C42),0)</f>
        <v>297</v>
      </c>
      <c r="D93" s="223">
        <f>'数据-取费表'!B43</f>
        <v>6.000000000000001E-3</v>
      </c>
      <c r="E93" s="3061" t="s">
        <v>2246</v>
      </c>
      <c r="F93" s="3062"/>
      <c r="G93" s="3062"/>
      <c r="H93" s="307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2264</v>
      </c>
      <c r="B94" s="195" t="s">
        <v>2265</v>
      </c>
      <c r="C94" s="233">
        <f ca="1">ROUND((C87+C90+C91)*D94,0)</f>
        <v>5324</v>
      </c>
      <c r="D94" s="223">
        <v>0.2</v>
      </c>
      <c r="E94" s="3072" t="s">
        <v>2266</v>
      </c>
      <c r="F94" s="3073"/>
      <c r="G94" s="3073"/>
      <c r="H94" s="307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755</v>
      </c>
      <c r="B95" s="201" t="s">
        <v>2247</v>
      </c>
      <c r="C95" s="204">
        <f ca="1">ROUND(C85-C86,0)</f>
        <v>14551</v>
      </c>
      <c r="D95" s="197" t="s">
        <v>29</v>
      </c>
      <c r="E95" s="1797"/>
      <c r="F95" s="1791"/>
      <c r="G95" s="1791"/>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756</v>
      </c>
      <c r="B96" s="201" t="s">
        <v>2248</v>
      </c>
      <c r="C96" s="224">
        <f ca="1">IF(C95&lt;=0,0,C95/C86)</f>
        <v>0.4169221512277585</v>
      </c>
      <c r="D96" s="197" t="s">
        <v>29</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757</v>
      </c>
      <c r="B97" s="206" t="s">
        <v>2249</v>
      </c>
      <c r="C97" s="225">
        <f ca="1">ROUND(IF(C95&lt;=0,0,IF(C96&gt;=200%,C95*60%-C86*35%,IF(C96&gt;=100%,C95*50%-C86*15%,IF(C96&gt;=50%,C95*40%-C86*5%,IF(C96&lt;50%,C95*30%,0))))),0)</f>
        <v>4365</v>
      </c>
      <c r="D97" s="226" t="s">
        <v>29</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2267</v>
      </c>
      <c r="B99" s="2413"/>
      <c r="C99" s="2413"/>
      <c r="D99" s="2413"/>
      <c r="E99" s="2161"/>
      <c r="F99" s="2161"/>
      <c r="G99" s="2161"/>
      <c r="H99" s="2160"/>
      <c r="I99" s="135"/>
    </row>
    <row r="100" spans="1:35" ht="18.75" customHeight="1">
      <c r="A100" s="3046" t="s">
        <v>2268</v>
      </c>
      <c r="B100" s="3047"/>
      <c r="C100" s="3047"/>
      <c r="D100" s="3063"/>
      <c r="E100" s="3047" t="s">
        <v>2269</v>
      </c>
      <c r="F100" s="3047"/>
      <c r="G100" s="3047"/>
      <c r="H100" s="3063"/>
      <c r="I100" s="135"/>
    </row>
    <row r="101" spans="1:35" ht="18.75" customHeight="1">
      <c r="A101" s="3129" t="s">
        <v>2270</v>
      </c>
      <c r="B101" s="3130"/>
      <c r="C101" s="733" t="str">
        <f>C4</f>
        <v>成本法</v>
      </c>
      <c r="D101" s="734" t="str">
        <f>D4</f>
        <v>假设开发法</v>
      </c>
      <c r="E101" s="3143" t="s">
        <v>2271</v>
      </c>
      <c r="F101" s="3096"/>
      <c r="G101" s="2515" t="s">
        <v>2272</v>
      </c>
      <c r="H101" s="1042">
        <f ca="1">H118</f>
        <v>51925</v>
      </c>
      <c r="I101" s="135"/>
    </row>
    <row r="102" spans="1:35" ht="18.75" customHeight="1">
      <c r="A102" s="3098" t="s">
        <v>2273</v>
      </c>
      <c r="B102" s="2515" t="s">
        <v>2272</v>
      </c>
      <c r="C102" s="733">
        <f ca="1">C19</f>
        <v>117247</v>
      </c>
      <c r="D102" s="734">
        <f ca="1">D19</f>
        <v>51925</v>
      </c>
      <c r="E102" s="3143"/>
      <c r="F102" s="3096"/>
      <c r="G102" s="2515" t="s">
        <v>2274</v>
      </c>
      <c r="H102" s="368">
        <f ca="1">I118</f>
        <v>11282</v>
      </c>
      <c r="I102" s="135"/>
    </row>
    <row r="103" spans="1:35" ht="42.75" customHeight="1">
      <c r="A103" s="3098"/>
      <c r="B103" s="2515" t="s">
        <v>2274</v>
      </c>
      <c r="C103" s="735">
        <f ca="1">C20</f>
        <v>25475</v>
      </c>
      <c r="D103" s="736">
        <f ca="1">D20</f>
        <v>11282</v>
      </c>
      <c r="E103" s="3138" t="s">
        <v>2275</v>
      </c>
      <c r="F103" s="3139"/>
      <c r="G103" s="2516" t="s">
        <v>2276</v>
      </c>
      <c r="H103" s="1042">
        <f>IF(D36="正常操作",H104+H105+H106,H105+H106)</f>
        <v>0</v>
      </c>
      <c r="I103" s="135"/>
    </row>
    <row r="104" spans="1:35" ht="18.75" customHeight="1">
      <c r="A104" s="3098" t="s">
        <v>2277</v>
      </c>
      <c r="B104" s="2517" t="s">
        <v>2272</v>
      </c>
      <c r="C104" s="737">
        <f ca="1">H118</f>
        <v>51925</v>
      </c>
      <c r="D104" s="738"/>
      <c r="E104" s="2262" t="s">
        <v>2278</v>
      </c>
      <c r="F104" s="2253"/>
      <c r="G104" s="2516" t="s">
        <v>2276</v>
      </c>
      <c r="H104" s="1043">
        <f>IF(D36="同一抵押权人同一抵押物续贷",C36&amp;"（未扣减，详见特别提示）",C36)</f>
        <v>0</v>
      </c>
      <c r="I104" s="135"/>
    </row>
    <row r="105" spans="1:35" ht="18.75" customHeight="1" thickBot="1">
      <c r="A105" s="3099"/>
      <c r="B105" s="2518" t="s">
        <v>2274</v>
      </c>
      <c r="C105" s="739">
        <f ca="1">I118</f>
        <v>11282</v>
      </c>
      <c r="D105" s="740"/>
      <c r="E105" s="2262" t="s">
        <v>2279</v>
      </c>
      <c r="F105" s="2253"/>
      <c r="G105" s="2516" t="s">
        <v>2276</v>
      </c>
      <c r="H105" s="1043">
        <f>C37</f>
        <v>0</v>
      </c>
      <c r="I105" s="135"/>
    </row>
    <row r="106" spans="1:35" ht="18.75" customHeight="1">
      <c r="A106" s="2413" t="s">
        <v>2280</v>
      </c>
      <c r="B106" s="2413"/>
      <c r="C106" s="2413"/>
      <c r="D106" s="2413"/>
      <c r="E106" s="2519" t="s">
        <v>2281</v>
      </c>
      <c r="F106" s="2253"/>
      <c r="G106" s="2516" t="s">
        <v>2276</v>
      </c>
      <c r="H106" s="1043">
        <f>C38</f>
        <v>0</v>
      </c>
      <c r="I106" s="135"/>
    </row>
    <row r="107" spans="1:35" ht="18.75" customHeight="1">
      <c r="A107" s="135"/>
      <c r="B107" s="135"/>
      <c r="C107" s="135"/>
      <c r="D107" s="135"/>
      <c r="E107" s="3095" t="str">
        <f>IF(项目基本情况!E8="已注销","——","3.房地产抵押价值")</f>
        <v>3.房地产抵押价值</v>
      </c>
      <c r="F107" s="3096"/>
      <c r="G107" s="2515" t="s">
        <v>2272</v>
      </c>
      <c r="H107" s="1042">
        <f ca="1">IF(E107="——","——",H101-H103)</f>
        <v>51925</v>
      </c>
      <c r="I107" s="135"/>
    </row>
    <row r="108" spans="1:35" ht="18.75" customHeight="1">
      <c r="A108" s="135"/>
      <c r="B108" s="135"/>
      <c r="C108" s="135"/>
      <c r="D108" s="135"/>
      <c r="E108" s="3095"/>
      <c r="F108" s="3096"/>
      <c r="G108" s="2515" t="s">
        <v>2274</v>
      </c>
      <c r="H108" s="368">
        <f ca="1">ROUND(H107*10000/'数据-汇总表'!E3,0)</f>
        <v>11282</v>
      </c>
      <c r="I108" s="135"/>
    </row>
    <row r="109" spans="1:35" ht="18.75" customHeight="1">
      <c r="A109" s="135"/>
      <c r="B109" s="135"/>
      <c r="C109" s="135"/>
      <c r="D109" s="135"/>
      <c r="E109" s="3095" t="str">
        <f>IF(项目基本情况!E8="已注销及未注销","4.抵押担保权已注销时的房地产抵押价值",IF(项目基本情况!E8="已注销","3.抵押担保权已注销时的房地产抵押价值","——"))</f>
        <v>——</v>
      </c>
      <c r="F109" s="3096"/>
      <c r="G109" s="2515" t="s">
        <v>2272</v>
      </c>
      <c r="H109" s="345" t="str">
        <f>IF(E109="——","——",H101-H105-H106)</f>
        <v>——</v>
      </c>
      <c r="I109" s="135"/>
    </row>
    <row r="110" spans="1:35" ht="18.75" customHeight="1">
      <c r="A110" s="135"/>
      <c r="B110" s="135"/>
      <c r="C110" s="135"/>
      <c r="D110" s="135"/>
      <c r="E110" s="3095"/>
      <c r="F110" s="3096"/>
      <c r="G110" s="2515" t="s">
        <v>2274</v>
      </c>
      <c r="H110" s="368" t="str">
        <f>IF(H109="——","——",ROUND(H109*10000/'数据-汇总表'!E3,0))</f>
        <v>——</v>
      </c>
      <c r="I110" s="135"/>
    </row>
    <row r="111" spans="1:35" ht="18.75" customHeight="1">
      <c r="A111" s="135"/>
      <c r="B111" s="135"/>
      <c r="C111" s="135"/>
      <c r="D111" s="135"/>
      <c r="E111" s="3131" t="str">
        <f>IF(项目基本情况!E9="抵押净值",IF(OR(项目基本情况!E8="已注销",项目基本情况!E8="房地产抵押价值"),"4.抵押净值","5.抵押净值"),"——")</f>
        <v>4.抵押净值</v>
      </c>
      <c r="F111" s="3132"/>
      <c r="G111" s="2515" t="s">
        <v>2272</v>
      </c>
      <c r="H111" s="1042">
        <f ca="1">IF(E111="——","——",N59)</f>
        <v>44765</v>
      </c>
      <c r="I111" s="135"/>
    </row>
    <row r="112" spans="1:35" ht="18.75" customHeight="1" thickBot="1">
      <c r="A112" s="135"/>
      <c r="B112" s="135"/>
      <c r="C112" s="135"/>
      <c r="D112" s="135"/>
      <c r="E112" s="3133"/>
      <c r="F112" s="3134"/>
      <c r="G112" s="2520" t="s">
        <v>2274</v>
      </c>
      <c r="H112" s="787">
        <f ca="1">IF(E111="——","——",N61)</f>
        <v>9726</v>
      </c>
      <c r="I112" s="135"/>
    </row>
    <row r="113" spans="1:11" ht="18.75" customHeight="1">
      <c r="A113" s="135"/>
      <c r="B113" s="135"/>
      <c r="C113" s="135"/>
      <c r="D113" s="135"/>
      <c r="E113" s="3100" t="s">
        <v>2280</v>
      </c>
      <c r="F113" s="3100"/>
      <c r="G113" s="3100"/>
      <c r="H113" s="3100"/>
      <c r="I113" s="135"/>
    </row>
    <row r="114" spans="1:11" ht="3.75" customHeight="1">
      <c r="A114" s="2413"/>
      <c r="B114" s="2413"/>
      <c r="C114" s="2413"/>
      <c r="D114" s="2413"/>
      <c r="E114" s="2491"/>
      <c r="F114" s="2491"/>
      <c r="G114" s="2491"/>
      <c r="H114" s="2491"/>
      <c r="I114" s="2413"/>
    </row>
    <row r="115" spans="1:11" ht="18.75" customHeight="1">
      <c r="A115" s="3113" t="s">
        <v>2282</v>
      </c>
      <c r="B115" s="3114"/>
      <c r="C115" s="3114"/>
      <c r="D115" s="3114"/>
      <c r="E115" s="3114"/>
      <c r="F115" s="3114"/>
      <c r="G115" s="3114"/>
      <c r="H115" s="3114"/>
      <c r="I115" s="3115"/>
    </row>
    <row r="116" spans="1:11" ht="27" customHeight="1">
      <c r="A116" s="3005" t="s">
        <v>2283</v>
      </c>
      <c r="B116" s="3101" t="s">
        <v>2284</v>
      </c>
      <c r="C116" s="3101" t="s">
        <v>2285</v>
      </c>
      <c r="D116" s="3118" t="s">
        <v>2286</v>
      </c>
      <c r="E116" s="3119"/>
      <c r="F116" s="3109" t="s">
        <v>2287</v>
      </c>
      <c r="G116" s="3109"/>
      <c r="H116" s="3005" t="s">
        <v>2288</v>
      </c>
      <c r="I116" s="3005"/>
    </row>
    <row r="117" spans="1:11" ht="18.75" customHeight="1">
      <c r="A117" s="3005"/>
      <c r="B117" s="3102"/>
      <c r="C117" s="3102"/>
      <c r="D117" s="1792" t="s">
        <v>2289</v>
      </c>
      <c r="E117" s="1792" t="s">
        <v>2290</v>
      </c>
      <c r="F117" s="1792" t="s">
        <v>2289</v>
      </c>
      <c r="G117" s="1792" t="s">
        <v>2291</v>
      </c>
      <c r="H117" s="1792" t="s">
        <v>2289</v>
      </c>
      <c r="I117" s="1792" t="s">
        <v>2291</v>
      </c>
    </row>
    <row r="118" spans="1:11" ht="24.75" customHeight="1">
      <c r="A118" s="2521" t="str">
        <f>项目基本情况!S2</f>
        <v>北京市出让国有建设用地使用权及在建建筑物房地产</v>
      </c>
      <c r="B118" s="1792">
        <f>M18</f>
        <v>46024.009999999995</v>
      </c>
      <c r="C118" s="1792">
        <f>M19</f>
        <v>10938.89</v>
      </c>
      <c r="D118" s="1792">
        <f ca="1">ROUND(IF(D32="总价",C34,E118*B118/10000),0)</f>
        <v>45279</v>
      </c>
      <c r="E118" s="1792">
        <f ca="1">ROUND(IF(C33="自定义",IF(D32="楼面单价",C34,D118*10000/B118),I118-G118),0)</f>
        <v>9838</v>
      </c>
      <c r="F118" s="1792">
        <f ca="1">ROUND(IF(D32="总价",C35,G118*B118/10000),0)</f>
        <v>6646</v>
      </c>
      <c r="G118" s="1792">
        <f ca="1">ROUND(IF(D32="楼面单价",C35,F118*10000/B118),0)</f>
        <v>1444</v>
      </c>
      <c r="H118" s="1792">
        <f ca="1">ROUND(IF(D32="总价",C32,I118*B118/10000),0)</f>
        <v>51925</v>
      </c>
      <c r="I118" s="1792">
        <f ca="1">ROUND(IF(D32="楼面单价",C32,H118*10000/B118),0)</f>
        <v>11282</v>
      </c>
    </row>
    <row r="119" spans="1:11" ht="18.75" customHeight="1">
      <c r="A119" s="3005" t="s">
        <v>2292</v>
      </c>
      <c r="B119" s="3005"/>
      <c r="C119" s="3005"/>
      <c r="D119" s="3106" t="str">
        <f ca="1">NUMBERSTRING(INT(D118*10000),2)&amp;"元整"</f>
        <v>肆亿伍仟贰佰柒拾玖万元整</v>
      </c>
      <c r="E119" s="3108"/>
      <c r="F119" s="3106" t="str">
        <f ca="1">NUMBERSTRING(INT(F118*10000),2)&amp;"元整"</f>
        <v>陆仟陆佰肆拾陆万元整</v>
      </c>
      <c r="G119" s="3108"/>
      <c r="H119" s="3106" t="str">
        <f ca="1">NUMBERSTRING(INT(H118*10000),2)&amp;"元整"</f>
        <v>伍亿壹仟玖佰贰拾伍万元整</v>
      </c>
      <c r="I119" s="3108"/>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10" t="s">
        <v>2292</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5">
        <f ca="1">H107</f>
        <v>51925</v>
      </c>
      <c r="E122" s="3136"/>
      <c r="F122" s="3136"/>
      <c r="G122" s="3136"/>
      <c r="H122" s="3136"/>
      <c r="I122" s="3137"/>
    </row>
    <row r="123" spans="1:11" ht="18.75" customHeight="1">
      <c r="A123" s="3005" t="s">
        <v>2292</v>
      </c>
      <c r="B123" s="3005"/>
      <c r="C123" s="3005"/>
      <c r="D123" s="3106" t="str">
        <f ca="1">NUMBERSTRING(INT(D122*10000),2)&amp;"元整"</f>
        <v>伍亿壹仟玖佰贰拾伍万元整</v>
      </c>
      <c r="E123" s="3107"/>
      <c r="F123" s="3107"/>
      <c r="G123" s="3107"/>
      <c r="H123" s="3107"/>
      <c r="I123" s="3108"/>
    </row>
    <row r="124" spans="1:11" ht="18.75" customHeight="1">
      <c r="A124" s="3097" t="str">
        <f>IF(项目基本情况!B9="房地产市场价值","",MID(E109,3,LEN(E109)-2))</f>
        <v/>
      </c>
      <c r="B124" s="3097"/>
      <c r="C124" s="3097"/>
      <c r="D124" s="3135" t="str">
        <f>H109</f>
        <v>——</v>
      </c>
      <c r="E124" s="3136"/>
      <c r="F124" s="3136"/>
      <c r="G124" s="3136"/>
      <c r="H124" s="3136"/>
      <c r="I124" s="3137"/>
    </row>
    <row r="125" spans="1:11" ht="18.75" customHeight="1">
      <c r="A125" s="3005" t="s">
        <v>2292</v>
      </c>
      <c r="B125" s="3005"/>
      <c r="C125" s="3005"/>
      <c r="D125" s="3106" t="e">
        <f>NUMBERSTRING(INT(D124*10000),2)&amp;"元整"</f>
        <v>#VALUE!</v>
      </c>
      <c r="E125" s="3107"/>
      <c r="F125" s="3107"/>
      <c r="G125" s="3107"/>
      <c r="H125" s="3107"/>
      <c r="I125" s="3108"/>
    </row>
    <row r="126" spans="1:11" ht="18.75" customHeight="1">
      <c r="A126" s="3097" t="str">
        <f>IF(项目基本情况!B9="房地产市场价值","",MID(E111,3,LEN(E111)-2))</f>
        <v>抵押净值</v>
      </c>
      <c r="B126" s="3097"/>
      <c r="C126" s="3097"/>
      <c r="D126" s="3135">
        <f ca="1">H111</f>
        <v>44765</v>
      </c>
      <c r="E126" s="3136"/>
      <c r="F126" s="3136"/>
      <c r="G126" s="3136"/>
      <c r="H126" s="3136"/>
      <c r="I126" s="3137"/>
    </row>
    <row r="127" spans="1:11" ht="18.75" customHeight="1">
      <c r="A127" s="3005" t="s">
        <v>2292</v>
      </c>
      <c r="B127" s="3005"/>
      <c r="C127" s="3005"/>
      <c r="D127" s="3106" t="str">
        <f ca="1">NUMBERSTRING(INT(D126*10000),2)&amp;"元整"</f>
        <v>肆亿肆仟柒佰陆拾伍万元整</v>
      </c>
      <c r="E127" s="3107"/>
      <c r="F127" s="3107"/>
      <c r="G127" s="3107"/>
      <c r="H127" s="3107"/>
      <c r="I127" s="3108"/>
    </row>
    <row r="128" spans="1:11" ht="21.75" customHeight="1">
      <c r="A128" s="3117" t="s">
        <v>2293</v>
      </c>
      <c r="B128" s="3117"/>
      <c r="C128" s="3117"/>
      <c r="D128" s="3117"/>
      <c r="E128" s="3117"/>
      <c r="F128" s="3117"/>
      <c r="G128" s="3117"/>
      <c r="H128" s="3117"/>
      <c r="I128" s="3117"/>
    </row>
    <row r="129" spans="1:35" ht="21.75" customHeight="1">
      <c r="A129" s="2522" t="s">
        <v>2294</v>
      </c>
      <c r="B129" s="2523"/>
      <c r="C129" s="2524" t="s">
        <v>2295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2296</v>
      </c>
      <c r="G135" s="2539"/>
      <c r="H135" s="2539"/>
      <c r="I135" s="2540" t="s">
        <v>2297</v>
      </c>
    </row>
    <row r="136" spans="1:35" ht="21.75" customHeight="1">
      <c r="A136" s="792"/>
      <c r="B136" s="2541" t="s">
        <v>2298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2299</v>
      </c>
    </row>
    <row r="139" spans="1:35" ht="21.75" customHeight="1">
      <c r="A139" s="792"/>
      <c r="B139" s="2541" t="s">
        <v>2300</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2299</v>
      </c>
    </row>
    <row r="142" spans="1:35" ht="21.75" customHeight="1">
      <c r="A142" s="792"/>
      <c r="B142" s="2541"/>
      <c r="C142" s="2542"/>
      <c r="D142" s="2543"/>
      <c r="E142" s="2543"/>
      <c r="F142" s="2336"/>
      <c r="G142" s="792"/>
      <c r="H142" s="792"/>
      <c r="I142" s="792"/>
    </row>
    <row r="143" spans="1:35" s="136"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7" sqref="C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2301</v>
      </c>
      <c r="B1" s="1933"/>
      <c r="C1" s="239"/>
      <c r="D1" s="239"/>
      <c r="E1" s="239"/>
      <c r="F1" s="239"/>
      <c r="G1" s="1376">
        <f>MATCH(B1,'数据-取费表'!A6:A16,0)+5</f>
        <v>8</v>
      </c>
    </row>
    <row r="2" spans="1:9" s="241" customFormat="1" ht="18" customHeight="1">
      <c r="A2" s="242" t="s">
        <v>2302</v>
      </c>
      <c r="B2" s="243">
        <f ca="1">IF(D2="——",C52,C52-E2)</f>
        <v>117247</v>
      </c>
      <c r="C2" s="240" t="s">
        <v>2303</v>
      </c>
      <c r="D2" s="2544" t="s">
        <v>46</v>
      </c>
      <c r="E2" s="1437" t="e">
        <f ca="1">SUMIF(INDIRECT("'"&amp;G2&amp;"'"&amp;"!A:A"),"承租人权益价值",INDIRECT("'"&amp;G2&amp;"'"&amp;"!c:c"))</f>
        <v>#REF!</v>
      </c>
      <c r="F2" s="2545" t="s">
        <v>2303</v>
      </c>
      <c r="G2" s="2546"/>
    </row>
    <row r="3" spans="1:9" s="241" customFormat="1" ht="18" customHeight="1" thickBot="1">
      <c r="A3" s="244" t="s">
        <v>2304</v>
      </c>
      <c r="B3" s="245">
        <f ca="1">ROUND(B2*10000/(IF(B1="",'数据-汇总表'!E3,INDIRECT("'数据-取费表'!k"&amp;$G$1))),0)</f>
        <v>25475</v>
      </c>
      <c r="C3" s="240" t="s">
        <v>2305</v>
      </c>
      <c r="D3" s="240"/>
      <c r="E3" s="240"/>
      <c r="F3" s="240"/>
      <c r="G3" s="240"/>
    </row>
    <row r="4" spans="1:9" s="249" customFormat="1" ht="15.75">
      <c r="A4" s="246" t="s">
        <v>2306</v>
      </c>
      <c r="B4" s="247"/>
      <c r="C4" s="247"/>
      <c r="D4" s="247"/>
      <c r="E4" s="247"/>
      <c r="F4" s="247"/>
      <c r="G4" s="248"/>
    </row>
    <row r="5" spans="1:9" s="255" customFormat="1" ht="13.5" customHeight="1">
      <c r="A5" s="296" t="s">
        <v>2307</v>
      </c>
      <c r="B5" s="251" t="s">
        <v>2308</v>
      </c>
      <c r="C5" s="252">
        <f ca="1">C6+C7+C8</f>
        <v>81061</v>
      </c>
      <c r="D5" s="252" t="s">
        <v>2309</v>
      </c>
      <c r="E5" s="253" t="s">
        <v>2310</v>
      </c>
      <c r="F5" s="253" t="s">
        <v>2311</v>
      </c>
      <c r="G5" s="254"/>
    </row>
    <row r="6" spans="1:9" s="255" customFormat="1" ht="13.5" customHeight="1">
      <c r="A6" s="946" t="s">
        <v>2312</v>
      </c>
      <c r="B6" s="256" t="s">
        <v>2313</v>
      </c>
      <c r="C6" s="257">
        <f ca="1">基准地价修正!C26</f>
        <v>77912</v>
      </c>
      <c r="D6" s="258"/>
      <c r="E6" s="259"/>
      <c r="F6" s="259"/>
      <c r="G6" s="260"/>
    </row>
    <row r="7" spans="1:9" s="255" customFormat="1" ht="13.5" customHeight="1">
      <c r="A7" s="946" t="s">
        <v>2314</v>
      </c>
      <c r="B7" s="256" t="s">
        <v>2315</v>
      </c>
      <c r="C7" s="261">
        <f ca="1">ROUND(C6*F7,0)</f>
        <v>2376</v>
      </c>
      <c r="D7" s="261"/>
      <c r="E7" s="259"/>
      <c r="F7" s="262">
        <f>IF(项目基本情况!B8="出让",0,'数据-取费表'!B48+'数据-取费表'!B49)</f>
        <v>3.0499999999999999E-2</v>
      </c>
      <c r="G7" s="260"/>
    </row>
    <row r="8" spans="1:9" s="264" customFormat="1">
      <c r="A8" s="946" t="s">
        <v>2316</v>
      </c>
      <c r="B8" s="256" t="s">
        <v>2317</v>
      </c>
      <c r="C8" s="261">
        <f ca="1">IF(G8="已包含在土地购买价格中","0",IF(B1="",'数据-取费表'!B29,IF(G9="全部缴纳",C9+C10,H9)))</f>
        <v>773</v>
      </c>
      <c r="D8" s="263"/>
      <c r="E8" s="261"/>
      <c r="F8" s="262"/>
      <c r="G8" s="2547" t="s">
        <v>3070</v>
      </c>
    </row>
    <row r="9" spans="1:9" s="255" customFormat="1" ht="13.5" customHeight="1">
      <c r="A9" s="947" t="s">
        <v>776</v>
      </c>
      <c r="B9" s="265" t="s">
        <v>2318</v>
      </c>
      <c r="C9" s="266">
        <f ca="1">ROUND(D9*E9/10000,0)</f>
        <v>593</v>
      </c>
      <c r="D9" s="1029">
        <f ca="1">IF(B1="",'数据-汇总表'!E5,IF(INDIRECT("'数据-取费表'!c"&amp;$G$1)="住宅",INDIRECT("'数据-取费表'!k"&amp;$G$1),0))</f>
        <v>37043.53</v>
      </c>
      <c r="E9" s="266">
        <f>'数据-取费表'!B27</f>
        <v>160</v>
      </c>
      <c r="F9" s="262"/>
      <c r="G9" s="2548" t="s">
        <v>3071</v>
      </c>
      <c r="H9" s="1387"/>
      <c r="I9" s="2549" t="s">
        <v>2319</v>
      </c>
    </row>
    <row r="10" spans="1:9" s="255" customFormat="1" ht="13.5" customHeight="1">
      <c r="A10" s="947" t="s">
        <v>777</v>
      </c>
      <c r="B10" s="265" t="s">
        <v>2320</v>
      </c>
      <c r="C10" s="266">
        <f ca="1">ROUND(D10*E10/10000,0)</f>
        <v>180</v>
      </c>
      <c r="D10" s="1029">
        <f ca="1">IF(B1="",'数据-汇总表'!E6,IF(INDIRECT("'数据-取费表'!c"&amp;$G$1)="住宅",INDIRECT("'数据-取费表'!s"&amp;$G$1),INDIRECT("'数据-取费表'!k"&amp;$G$1)+INDIRECT("'数据-取费表'!s"&amp;$G$1)))</f>
        <v>8980.4799999999959</v>
      </c>
      <c r="E10" s="266">
        <f>'数据-取费表'!B28</f>
        <v>200</v>
      </c>
      <c r="F10" s="262"/>
      <c r="G10" s="267"/>
    </row>
    <row r="11" spans="1:9" s="255" customFormat="1" ht="13.5" hidden="1" customHeight="1">
      <c r="A11" s="268" t="s">
        <v>4</v>
      </c>
      <c r="B11" s="256" t="s">
        <v>2321</v>
      </c>
      <c r="C11" s="252"/>
      <c r="D11" s="1031"/>
      <c r="E11" s="259"/>
      <c r="F11" s="259"/>
      <c r="G11" s="260"/>
    </row>
    <row r="12" spans="1:9" s="255" customFormat="1" ht="13.5" hidden="1" customHeight="1">
      <c r="A12" s="268" t="s">
        <v>5</v>
      </c>
      <c r="B12" s="256" t="s">
        <v>2322</v>
      </c>
      <c r="C12" s="252">
        <v>0</v>
      </c>
      <c r="D12" s="1031"/>
      <c r="E12" s="269"/>
      <c r="F12" s="262">
        <v>3.0499999999999999E-2</v>
      </c>
      <c r="G12" s="260"/>
    </row>
    <row r="13" spans="1:9" s="255" customFormat="1" ht="13.5" hidden="1" customHeight="1">
      <c r="A13" s="268" t="s">
        <v>6</v>
      </c>
      <c r="B13" s="256" t="s">
        <v>2323</v>
      </c>
      <c r="C13" s="252"/>
      <c r="D13" s="1031"/>
      <c r="E13" s="259"/>
      <c r="F13" s="259"/>
      <c r="G13" s="260"/>
    </row>
    <row r="14" spans="1:9" s="255" customFormat="1" ht="13.5" hidden="1" customHeight="1">
      <c r="A14" s="268" t="s">
        <v>7</v>
      </c>
      <c r="B14" s="256" t="s">
        <v>2324</v>
      </c>
      <c r="C14" s="252"/>
      <c r="D14" s="1031"/>
      <c r="E14" s="259"/>
      <c r="F14" s="259"/>
      <c r="G14" s="260" t="s">
        <v>2325</v>
      </c>
    </row>
    <row r="15" spans="1:9" s="255" customFormat="1" ht="13.5" hidden="1" customHeight="1">
      <c r="A15" s="268" t="s">
        <v>8</v>
      </c>
      <c r="B15" s="256" t="s">
        <v>2326</v>
      </c>
      <c r="C15" s="261"/>
      <c r="D15" s="1031"/>
      <c r="E15" s="259"/>
      <c r="F15" s="259"/>
      <c r="G15" s="260" t="s">
        <v>2327</v>
      </c>
    </row>
    <row r="16" spans="1:9" s="255" customFormat="1" ht="13.5" hidden="1" customHeight="1">
      <c r="A16" s="268" t="s">
        <v>9</v>
      </c>
      <c r="B16" s="256" t="s">
        <v>2324</v>
      </c>
      <c r="C16" s="261"/>
      <c r="D16" s="1031"/>
      <c r="E16" s="259"/>
      <c r="F16" s="259"/>
      <c r="G16" s="260"/>
    </row>
    <row r="17" spans="1:7" s="255" customFormat="1" ht="13.5" hidden="1" customHeight="1">
      <c r="A17" s="268" t="s">
        <v>10</v>
      </c>
      <c r="B17" s="256" t="s">
        <v>2328</v>
      </c>
      <c r="C17" s="270"/>
      <c r="D17" s="1032"/>
      <c r="E17" s="270"/>
      <c r="F17" s="270"/>
      <c r="G17" s="260" t="s">
        <v>2327</v>
      </c>
    </row>
    <row r="18" spans="1:7" s="255" customFormat="1" ht="13.5" hidden="1" customHeight="1">
      <c r="A18" s="268" t="s">
        <v>11</v>
      </c>
      <c r="B18" s="256" t="s">
        <v>2329</v>
      </c>
      <c r="C18" s="261">
        <v>0</v>
      </c>
      <c r="D18" s="1031"/>
      <c r="E18" s="259"/>
      <c r="F18" s="262">
        <v>3.0499999999999999E-2</v>
      </c>
      <c r="G18" s="260" t="s">
        <v>2330</v>
      </c>
    </row>
    <row r="19" spans="1:7" s="264" customFormat="1" ht="13.5" customHeight="1">
      <c r="A19" s="296" t="s">
        <v>2331</v>
      </c>
      <c r="B19" s="251" t="s">
        <v>2332</v>
      </c>
      <c r="C19" s="252" t="str">
        <f>IF(G19="已包含在土地取得成本中","0",ROUND(D19*E19/10000,0))</f>
        <v>0</v>
      </c>
      <c r="D19" s="1033">
        <f ca="1">D9+D10</f>
        <v>46024.009999999995</v>
      </c>
      <c r="E19" s="252">
        <f>'数据-取费表'!B31</f>
        <v>200</v>
      </c>
      <c r="F19" s="272"/>
      <c r="G19" s="2547" t="s">
        <v>3069</v>
      </c>
    </row>
    <row r="20" spans="1:7" s="255" customFormat="1" ht="13.5" customHeight="1">
      <c r="A20" s="296" t="s">
        <v>2333</v>
      </c>
      <c r="B20" s="251" t="s">
        <v>2334</v>
      </c>
      <c r="C20" s="273">
        <f ca="1">ROUND((C5+C19)*F20,0)</f>
        <v>2432</v>
      </c>
      <c r="D20" s="273"/>
      <c r="E20" s="273"/>
      <c r="F20" s="274">
        <f>'数据-取费表'!B37</f>
        <v>0.03</v>
      </c>
      <c r="G20" s="275" t="s">
        <v>2335</v>
      </c>
    </row>
    <row r="21" spans="1:7" s="255" customFormat="1" ht="13.5" customHeight="1">
      <c r="A21" s="296" t="s">
        <v>2336</v>
      </c>
      <c r="B21" s="251" t="s">
        <v>2337</v>
      </c>
      <c r="C21" s="276">
        <f>F21</f>
        <v>0.03</v>
      </c>
      <c r="D21" s="277" t="s">
        <v>2338</v>
      </c>
      <c r="E21" s="273"/>
      <c r="F21" s="274">
        <f>'数据-取费表'!B38</f>
        <v>0.03</v>
      </c>
      <c r="G21" s="275" t="s">
        <v>2339</v>
      </c>
    </row>
    <row r="22" spans="1:7" s="255" customFormat="1" ht="13.5" customHeight="1">
      <c r="A22" s="296" t="s">
        <v>2340</v>
      </c>
      <c r="B22" s="251" t="s">
        <v>2341</v>
      </c>
      <c r="C22" s="1351">
        <f ca="1">ROUND(SUM(C23:C25),0)</f>
        <v>7582</v>
      </c>
      <c r="D22" s="276">
        <f ca="1">C26</f>
        <v>1.4E-3</v>
      </c>
      <c r="E22" s="277" t="s">
        <v>2338</v>
      </c>
      <c r="F22" s="278">
        <f ca="1">'数据-取费表'!B40</f>
        <v>4.7500000000000001E-2</v>
      </c>
      <c r="G22" s="275" t="str">
        <f>IF('数据-取费表'!B22&lt;=1,"单利计息","复利计息")</f>
        <v>复利计息</v>
      </c>
    </row>
    <row r="23" spans="1:7" s="255" customFormat="1" ht="13.5" customHeight="1">
      <c r="A23" s="948" t="s">
        <v>2342</v>
      </c>
      <c r="B23" s="256" t="s">
        <v>2343</v>
      </c>
      <c r="C23" s="1352">
        <f ca="1">ROUND(IF('数据-取费表'!B22&lt;=1,C5*F22*'数据-取费表'!B23,C5*(POWER((1+F22),'数据-取费表'!B23)-1)),0)</f>
        <v>7472</v>
      </c>
      <c r="D23" s="279"/>
      <c r="E23" s="279"/>
      <c r="F23" s="280"/>
      <c r="G23" s="281" t="s">
        <v>2344</v>
      </c>
    </row>
    <row r="24" spans="1:7" s="255" customFormat="1" ht="13.5" customHeight="1">
      <c r="A24" s="948" t="s">
        <v>2345</v>
      </c>
      <c r="B24" s="256" t="s">
        <v>2346</v>
      </c>
      <c r="C24" s="1352">
        <f ca="1">ROUND(IF('数据-取费表'!B22&lt;=1,C19*F22*('数据-取费表'!B19/2+'数据-取费表'!B21),C19*(POWER((1+F22),('数据-取费表'!B19/2+'数据-取费表'!B21))-1)),0)</f>
        <v>0</v>
      </c>
      <c r="D24" s="279"/>
      <c r="E24" s="279"/>
      <c r="F24" s="280"/>
      <c r="G24" s="281" t="s">
        <v>2347</v>
      </c>
    </row>
    <row r="25" spans="1:7" s="255" customFormat="1" ht="24">
      <c r="A25" s="948" t="s">
        <v>2348</v>
      </c>
      <c r="B25" s="256" t="s">
        <v>2349</v>
      </c>
      <c r="C25" s="1352">
        <f ca="1">ROUND(IF('数据-取费表'!B22&lt;=1,C20*F22*'数据-取费表'!B23/2,C20*(POWER((1+F22),'数据-取费表'!B23/2)-1)),0)</f>
        <v>110</v>
      </c>
      <c r="D25" s="279"/>
      <c r="E25" s="282"/>
      <c r="F25" s="280"/>
      <c r="G25" s="283" t="s">
        <v>2350</v>
      </c>
    </row>
    <row r="26" spans="1:7" s="255" customFormat="1">
      <c r="A26" s="948" t="s">
        <v>771</v>
      </c>
      <c r="B26" s="256" t="s">
        <v>2351</v>
      </c>
      <c r="C26" s="279">
        <f ca="1">ROUND(IF('数据-取费表'!B22&lt;=1,F21*F22*'数据-取费表'!B23/2,F21*(POWER((1+F22),'数据-取费表'!B23/2)-1)),4)</f>
        <v>1.4E-3</v>
      </c>
      <c r="D26" s="279"/>
      <c r="E26" s="282"/>
      <c r="F26" s="280"/>
      <c r="G26" s="284"/>
    </row>
    <row r="27" spans="1:7" s="255" customFormat="1" ht="24.75">
      <c r="A27" s="296" t="s">
        <v>2352</v>
      </c>
      <c r="B27" s="285" t="s">
        <v>2353</v>
      </c>
      <c r="C27" s="286">
        <f ca="1">C28</f>
        <v>2380</v>
      </c>
      <c r="D27" s="276">
        <f ca="1">C29</f>
        <v>8.9999999999999998E-4</v>
      </c>
      <c r="E27" s="277" t="s">
        <v>2354</v>
      </c>
      <c r="F27" s="287">
        <f ca="1">IF(B1="",'数据-取费表'!Q16,INDIRECT("'数据-取费表'!q"&amp;$G$1))</f>
        <v>0.03</v>
      </c>
      <c r="G27" s="288" t="s">
        <v>2355</v>
      </c>
    </row>
    <row r="28" spans="1:7" s="255" customFormat="1" ht="13.5" customHeight="1">
      <c r="A28" s="948" t="s">
        <v>767</v>
      </c>
      <c r="B28" s="289" t="s">
        <v>2356</v>
      </c>
      <c r="C28" s="290">
        <f ca="1">ROUND((C5+C19+C20)*F27*'数据-取费表'!B21/'数据-取费表'!B20,0)</f>
        <v>2380</v>
      </c>
      <c r="D28" s="276"/>
      <c r="E28" s="277"/>
      <c r="F28" s="287"/>
      <c r="G28" s="288"/>
    </row>
    <row r="29" spans="1:7" s="255" customFormat="1" ht="13.5" customHeight="1">
      <c r="A29" s="948" t="s">
        <v>768</v>
      </c>
      <c r="B29" s="289" t="s">
        <v>2357</v>
      </c>
      <c r="C29" s="279">
        <f ca="1">ROUND(C21*F27*'数据-取费表'!B21/'数据-取费表'!B20,4)</f>
        <v>8.9999999999999998E-4</v>
      </c>
      <c r="D29" s="276"/>
      <c r="E29" s="277"/>
      <c r="F29" s="287"/>
      <c r="G29" s="288"/>
    </row>
    <row r="30" spans="1:7" s="255" customFormat="1" ht="13.5" customHeight="1">
      <c r="A30" s="296" t="s">
        <v>2358</v>
      </c>
      <c r="B30" s="251" t="s">
        <v>2359</v>
      </c>
      <c r="C30" s="276">
        <f>ROUND(F30/(1+'数据-取费表'!C42),4)</f>
        <v>5.33E-2</v>
      </c>
      <c r="D30" s="277" t="s">
        <v>2354</v>
      </c>
      <c r="E30" s="282"/>
      <c r="F30" s="278">
        <f>'数据-取费表'!B41</f>
        <v>5.6000000000000001E-2</v>
      </c>
      <c r="G30" s="275" t="s">
        <v>2360</v>
      </c>
    </row>
    <row r="31" spans="1:7" ht="16.5" customHeight="1">
      <c r="A31" s="250">
        <v>1</v>
      </c>
      <c r="B31" s="251" t="s">
        <v>2361</v>
      </c>
      <c r="C31" s="252">
        <f ca="1">ROUND((C5+C19+C20+C22+C27)/(1-C21-D22-D27-C30),0)</f>
        <v>102204</v>
      </c>
      <c r="D31" s="271"/>
      <c r="E31" s="252"/>
      <c r="F31" s="291"/>
      <c r="G31" s="275" t="s">
        <v>2362</v>
      </c>
    </row>
    <row r="32" spans="1:7" s="249" customFormat="1" ht="15.75">
      <c r="A32" s="293" t="s">
        <v>2363</v>
      </c>
      <c r="B32" s="294"/>
      <c r="C32" s="294"/>
      <c r="D32" s="294"/>
      <c r="E32" s="294"/>
      <c r="F32" s="294"/>
      <c r="G32" s="295"/>
    </row>
    <row r="33" spans="1:7" s="255" customFormat="1" ht="13.5" customHeight="1">
      <c r="A33" s="296" t="s">
        <v>758</v>
      </c>
      <c r="B33" s="251" t="s">
        <v>2364</v>
      </c>
      <c r="C33" s="297">
        <f ca="1">SUM(C34:C38)</f>
        <v>12421</v>
      </c>
      <c r="D33" s="273"/>
      <c r="E33" s="253"/>
      <c r="F33" s="282"/>
      <c r="G33" s="275"/>
    </row>
    <row r="34" spans="1:7" s="299" customFormat="1" ht="13.5" customHeight="1">
      <c r="A34" s="948" t="s">
        <v>767</v>
      </c>
      <c r="B34" s="256" t="s">
        <v>2365</v>
      </c>
      <c r="C34" s="261">
        <f ca="1">IF(B1="",IF(F34=100%,'数据-取费表'!M16,'数据-取费表'!O16),IF(F34=100%,INDIRECT("'数据-取费表'!m"&amp;$G$1)+INDIRECT("'数据-取费表'!t"&amp;$G$1),INDIRECT("'数据-取费表'!o"&amp;$G$1)+INDIRECT("'数据-取费表'!aq"&amp;$G$1)))</f>
        <v>10615</v>
      </c>
      <c r="D34" s="258"/>
      <c r="E34" s="261"/>
      <c r="F34" s="298">
        <f ca="1">IF('数据-取费表'!B24=0,1,IF(B1="",'数据-取费表'!N16,INDIRECT("'数据-取费表'!n"&amp;$G$1)))</f>
        <v>0.96</v>
      </c>
      <c r="G34" s="260" t="s">
        <v>2366</v>
      </c>
    </row>
    <row r="35" spans="1:7" ht="13.5" customHeight="1">
      <c r="A35" s="948" t="s">
        <v>772</v>
      </c>
      <c r="B35" s="256" t="s">
        <v>2367</v>
      </c>
      <c r="C35" s="261">
        <f ca="1">ROUND(C34*F35,0)</f>
        <v>318</v>
      </c>
      <c r="D35" s="261"/>
      <c r="E35" s="261"/>
      <c r="F35" s="300">
        <f>'数据-取费表'!B33</f>
        <v>0.03</v>
      </c>
      <c r="G35" s="260" t="s">
        <v>2368</v>
      </c>
    </row>
    <row r="36" spans="1:7" ht="24">
      <c r="A36" s="948" t="s">
        <v>773</v>
      </c>
      <c r="B36" s="256" t="s">
        <v>2369</v>
      </c>
      <c r="C36" s="261">
        <f ca="1">ROUND(IF(B1="",SUMIF('数据-取费表'!C:C,"住宅",IF(F34=100%,'数据-取费表'!M:M,'数据-取费表'!O:O))*F36,IF(INDIRECT("'数据-取费表'!c"&amp;$G$1)="住宅",IF(F34=100%,INDIRECT("'数据-取费表'!m"&amp;$G$1)*F36,INDIRECT("'数据-取费表'!o"&amp;$G$1)*F36),0)),0)</f>
        <v>445</v>
      </c>
      <c r="D36" s="261"/>
      <c r="E36" s="261"/>
      <c r="F36" s="300">
        <f>'数据-取费表'!B34</f>
        <v>0.05</v>
      </c>
      <c r="G36" s="301" t="s">
        <v>2370</v>
      </c>
    </row>
    <row r="37" spans="1:7" s="299" customFormat="1" ht="13.5" customHeight="1">
      <c r="A37" s="948" t="s">
        <v>774</v>
      </c>
      <c r="B37" s="256" t="s">
        <v>2371</v>
      </c>
      <c r="C37" s="290">
        <f ca="1">ROUND(E37*D37*F34/10000,0)</f>
        <v>884</v>
      </c>
      <c r="D37" s="258">
        <f ca="1">D19</f>
        <v>46024.009999999995</v>
      </c>
      <c r="E37" s="290">
        <f>'数据-取费表'!B35</f>
        <v>200</v>
      </c>
      <c r="F37" s="300"/>
      <c r="G37" s="302" t="s">
        <v>2372</v>
      </c>
    </row>
    <row r="38" spans="1:7" ht="13.5" customHeight="1">
      <c r="A38" s="948" t="s">
        <v>775</v>
      </c>
      <c r="B38" s="256" t="s">
        <v>2373</v>
      </c>
      <c r="C38" s="261">
        <f ca="1">ROUND(C34*F38,0)</f>
        <v>159</v>
      </c>
      <c r="D38" s="261"/>
      <c r="E38" s="261"/>
      <c r="F38" s="300">
        <f>'数据-取费表'!B36</f>
        <v>1.4999999999999999E-2</v>
      </c>
      <c r="G38" s="260" t="s">
        <v>2368</v>
      </c>
    </row>
    <row r="39" spans="1:7" s="255" customFormat="1" ht="13.5" customHeight="1">
      <c r="A39" s="296" t="s">
        <v>2374</v>
      </c>
      <c r="B39" s="251" t="s">
        <v>2375</v>
      </c>
      <c r="C39" s="273">
        <f ca="1">ROUND(C33*F20,0)</f>
        <v>373</v>
      </c>
      <c r="D39" s="273"/>
      <c r="E39" s="273"/>
      <c r="F39" s="274"/>
      <c r="G39" s="275" t="s">
        <v>2376</v>
      </c>
    </row>
    <row r="40" spans="1:7" s="255" customFormat="1" ht="13.5" customHeight="1">
      <c r="A40" s="296" t="s">
        <v>2377</v>
      </c>
      <c r="B40" s="251" t="s">
        <v>2378</v>
      </c>
      <c r="C40" s="1725">
        <f>F21</f>
        <v>0.03</v>
      </c>
      <c r="D40" s="277" t="s">
        <v>2379</v>
      </c>
      <c r="E40" s="273"/>
      <c r="F40" s="274"/>
      <c r="G40" s="275" t="s">
        <v>2380</v>
      </c>
    </row>
    <row r="41" spans="1:7" s="255" customFormat="1" ht="13.5" customHeight="1">
      <c r="A41" s="296" t="s">
        <v>2381</v>
      </c>
      <c r="B41" s="251" t="s">
        <v>2382</v>
      </c>
      <c r="C41" s="273">
        <f ca="1">ROUND(SUM(C42:C43),0)</f>
        <v>577</v>
      </c>
      <c r="D41" s="276">
        <f ca="1">C44</f>
        <v>1.4E-3</v>
      </c>
      <c r="E41" s="277" t="s">
        <v>2379</v>
      </c>
      <c r="F41" s="278"/>
      <c r="G41" s="275" t="str">
        <f>IF('数据-取费表'!B22&lt;=1,"单利计息","复利计息")</f>
        <v>复利计息</v>
      </c>
    </row>
    <row r="42" spans="1:7" ht="13.5" customHeight="1">
      <c r="A42" s="948" t="s">
        <v>767</v>
      </c>
      <c r="B42" s="256" t="s">
        <v>2383</v>
      </c>
      <c r="C42" s="279">
        <f ca="1">ROUND(IF('数据-取费表'!B22&lt;=1,C33*F22*'数据-取费表'!B21/2,C33*(POWER((1+F22),'数据-取费表'!B21/2)-1)),0)</f>
        <v>560</v>
      </c>
      <c r="D42" s="279"/>
      <c r="E42" s="279"/>
      <c r="F42" s="280"/>
      <c r="G42" s="3149" t="s">
        <v>2384</v>
      </c>
    </row>
    <row r="43" spans="1:7" ht="13.5" customHeight="1">
      <c r="A43" s="948" t="s">
        <v>768</v>
      </c>
      <c r="B43" s="256" t="s">
        <v>2385</v>
      </c>
      <c r="C43" s="279">
        <f ca="1">ROUND(IF('数据-取费表'!B22&lt;=1,C39*F22*'数据-取费表'!B21/2,C39*(POWER((1+F22),'数据-取费表'!B21/2)-1)),0)</f>
        <v>17</v>
      </c>
      <c r="D43" s="279"/>
      <c r="E43" s="279"/>
      <c r="F43" s="280"/>
      <c r="G43" s="3150"/>
    </row>
    <row r="44" spans="1:7" ht="13.5" customHeight="1">
      <c r="A44" s="948" t="s">
        <v>769</v>
      </c>
      <c r="B44" s="256" t="s">
        <v>2386</v>
      </c>
      <c r="C44" s="279">
        <f ca="1">ROUND(IF('数据-取费表'!B22&lt;=1,C40*F22*'数据-取费表'!B21/2,C40*(POWER((1+F22),'数据-取费表'!B21/2)-1)),4)</f>
        <v>1.4E-3</v>
      </c>
      <c r="D44" s="279"/>
      <c r="E44" s="279"/>
      <c r="F44" s="280"/>
      <c r="G44" s="3151"/>
    </row>
    <row r="45" spans="1:7" s="255" customFormat="1" ht="13.5" customHeight="1">
      <c r="A45" s="296" t="s">
        <v>2387</v>
      </c>
      <c r="B45" s="285" t="s">
        <v>2353</v>
      </c>
      <c r="C45" s="286">
        <f ca="1">C46</f>
        <v>384</v>
      </c>
      <c r="D45" s="276">
        <f ca="1">C47</f>
        <v>8.9999999999999998E-4</v>
      </c>
      <c r="E45" s="277" t="s">
        <v>2379</v>
      </c>
      <c r="F45" s="287"/>
      <c r="G45" s="288" t="s">
        <v>2388</v>
      </c>
    </row>
    <row r="46" spans="1:7" s="255" customFormat="1" ht="13.5" customHeight="1">
      <c r="A46" s="948" t="s">
        <v>767</v>
      </c>
      <c r="B46" s="289" t="s">
        <v>2389</v>
      </c>
      <c r="C46" s="290">
        <f ca="1">ROUND((C33+C39)*F27,0)</f>
        <v>384</v>
      </c>
      <c r="D46" s="304"/>
      <c r="E46" s="277"/>
      <c r="F46" s="287"/>
      <c r="G46" s="288"/>
    </row>
    <row r="47" spans="1:7" s="255" customFormat="1" ht="13.5" customHeight="1">
      <c r="A47" s="948" t="s">
        <v>768</v>
      </c>
      <c r="B47" s="289" t="s">
        <v>2390</v>
      </c>
      <c r="C47" s="279">
        <f ca="1">ROUND(C40*F27,4)</f>
        <v>8.9999999999999998E-4</v>
      </c>
      <c r="D47" s="304"/>
      <c r="E47" s="277"/>
      <c r="F47" s="287"/>
      <c r="G47" s="288"/>
    </row>
    <row r="48" spans="1:7" s="255" customFormat="1" ht="13.5" customHeight="1">
      <c r="A48" s="296" t="s">
        <v>2352</v>
      </c>
      <c r="B48" s="251" t="s">
        <v>2391</v>
      </c>
      <c r="C48" s="1725">
        <f>ROUND(F30/(1+'数据-取费表'!C42),4)</f>
        <v>5.33E-2</v>
      </c>
      <c r="D48" s="277" t="s">
        <v>2379</v>
      </c>
      <c r="E48" s="273"/>
      <c r="F48" s="278"/>
      <c r="G48" s="275" t="s">
        <v>2392</v>
      </c>
    </row>
    <row r="49" spans="1:7" ht="16.5" customHeight="1">
      <c r="A49" s="296" t="s">
        <v>2358</v>
      </c>
      <c r="B49" s="251" t="s">
        <v>2393</v>
      </c>
      <c r="C49" s="273">
        <f ca="1">ROUND((C33+C39+C41+C45)/(1-C40-D41-D45-C48),0)</f>
        <v>15043</v>
      </c>
      <c r="D49" s="273"/>
      <c r="E49" s="273"/>
      <c r="F49" s="305"/>
      <c r="G49" s="275" t="s">
        <v>2394</v>
      </c>
    </row>
    <row r="50" spans="1:7" s="299" customFormat="1" ht="24">
      <c r="A50" s="296" t="s">
        <v>2395</v>
      </c>
      <c r="B50" s="251" t="s">
        <v>2396</v>
      </c>
      <c r="C50" s="273"/>
      <c r="D50" s="273"/>
      <c r="E50" s="273"/>
      <c r="F50" s="305">
        <f>IF('数据-取费表'!B24=0,'数据-取费表'!N16,1)</f>
        <v>1</v>
      </c>
      <c r="G50" s="288" t="s">
        <v>2397</v>
      </c>
    </row>
    <row r="51" spans="1:7" ht="16.5" customHeight="1">
      <c r="A51" s="296" t="s">
        <v>2398</v>
      </c>
      <c r="B51" s="251" t="s">
        <v>2399</v>
      </c>
      <c r="C51" s="273">
        <f ca="1">ROUND(C49*F50,0)</f>
        <v>15043</v>
      </c>
      <c r="D51" s="273"/>
      <c r="E51" s="273"/>
      <c r="F51" s="305"/>
      <c r="G51" s="275" t="s">
        <v>2400</v>
      </c>
    </row>
    <row r="52" spans="1:7" s="249" customFormat="1" ht="16.5" thickBot="1">
      <c r="A52" s="306" t="s">
        <v>2401</v>
      </c>
      <c r="B52" s="307"/>
      <c r="C52" s="308">
        <f ca="1">C31+C51</f>
        <v>117247</v>
      </c>
      <c r="D52" s="307"/>
      <c r="E52" s="307"/>
      <c r="F52" s="307"/>
      <c r="G52" s="309"/>
    </row>
    <row r="55" spans="1:7" ht="15">
      <c r="B55" s="311" t="s">
        <v>2402</v>
      </c>
      <c r="C55" s="312"/>
    </row>
    <row r="56" spans="1:7">
      <c r="B56" s="314" t="s">
        <v>1483</v>
      </c>
      <c r="C56" s="316">
        <f ca="1">1-C57</f>
        <v>0.872</v>
      </c>
    </row>
    <row r="57" spans="1:7">
      <c r="B57" s="314" t="s">
        <v>1484</v>
      </c>
      <c r="C57" s="315">
        <f ca="1">ROUND(C51/C52,3)</f>
        <v>0.128</v>
      </c>
    </row>
  </sheetData>
  <sheetProtection password="C66D"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2301</v>
      </c>
      <c r="B1" s="1933"/>
      <c r="C1" s="2550" t="s">
        <v>2403</v>
      </c>
      <c r="D1" s="239"/>
      <c r="E1" s="239"/>
      <c r="F1" s="239"/>
      <c r="G1" s="1376">
        <f>MATCH(B1,'数据-取费表'!A6:A16,0)+5</f>
        <v>8</v>
      </c>
      <c r="H1" s="1279" t="str">
        <f>IF(ISERROR(FIND("住宅",B1)),"非住宅","住宅")</f>
        <v>非住宅</v>
      </c>
    </row>
    <row r="2" spans="1:8" s="241" customFormat="1" ht="18" customHeight="1">
      <c r="A2" s="242" t="s">
        <v>2302</v>
      </c>
      <c r="B2" s="243">
        <f ca="1">ROUND(IF(D2="——",C52/10000,C52/10000-E2),0)</f>
        <v>17850</v>
      </c>
      <c r="C2" s="240" t="s">
        <v>2303</v>
      </c>
      <c r="D2" s="2544" t="s">
        <v>46</v>
      </c>
      <c r="E2" s="1437" t="e">
        <f ca="1">SUMIF(INDIRECT("'"&amp;G2&amp;"'"&amp;"!A:A"),"承租人权益价值",INDIRECT("'"&amp;G2&amp;"'"&amp;"!c:c"))</f>
        <v>#REF!</v>
      </c>
      <c r="F2" s="2545" t="s">
        <v>2303</v>
      </c>
      <c r="G2" s="2546"/>
    </row>
    <row r="3" spans="1:8" s="241" customFormat="1" ht="18" customHeight="1" thickBot="1">
      <c r="A3" s="244" t="s">
        <v>2304</v>
      </c>
      <c r="B3" s="245">
        <f ca="1">ROUND(B2*10000/(IF(B1="",'数据-汇总表'!E3,INDIRECT("'数据-取费表'!k"&amp;$G$1))),0)</f>
        <v>3878</v>
      </c>
      <c r="C3" s="240" t="s">
        <v>2305</v>
      </c>
      <c r="D3" s="240"/>
      <c r="E3" s="240"/>
      <c r="F3" s="240"/>
      <c r="G3" s="240"/>
    </row>
    <row r="4" spans="1:8" s="249" customFormat="1" ht="15.75">
      <c r="A4" s="246" t="s">
        <v>2306</v>
      </c>
      <c r="B4" s="247"/>
      <c r="C4" s="247"/>
      <c r="D4" s="247"/>
      <c r="E4" s="247"/>
      <c r="F4" s="247"/>
      <c r="G4" s="248"/>
    </row>
    <row r="5" spans="1:8" s="255" customFormat="1" ht="13.5" customHeight="1">
      <c r="A5" s="296" t="s">
        <v>2307</v>
      </c>
      <c r="B5" s="251" t="s">
        <v>2308</v>
      </c>
      <c r="C5" s="252">
        <f ca="1">C6+C7+C8</f>
        <v>7723061</v>
      </c>
      <c r="D5" s="252" t="s">
        <v>2309</v>
      </c>
      <c r="E5" s="253" t="s">
        <v>2310</v>
      </c>
      <c r="F5" s="253" t="s">
        <v>2311</v>
      </c>
      <c r="G5" s="254"/>
    </row>
    <row r="6" spans="1:8" s="255" customFormat="1" ht="13.5" customHeight="1">
      <c r="A6" s="946" t="s">
        <v>2312</v>
      </c>
      <c r="B6" s="256" t="s">
        <v>2313</v>
      </c>
      <c r="C6" s="257"/>
      <c r="D6" s="258"/>
      <c r="E6" s="259"/>
      <c r="F6" s="259"/>
      <c r="G6" s="260"/>
    </row>
    <row r="7" spans="1:8" s="255" customFormat="1" ht="13.5" customHeight="1">
      <c r="A7" s="946" t="s">
        <v>2314</v>
      </c>
      <c r="B7" s="256" t="s">
        <v>2315</v>
      </c>
      <c r="C7" s="261">
        <f>ROUND(C6*F7,0)</f>
        <v>0</v>
      </c>
      <c r="D7" s="261"/>
      <c r="E7" s="259"/>
      <c r="F7" s="262">
        <f>IF(项目基本情况!B8="出让",0,'数据-取费表'!B48+'数据-取费表'!B49)</f>
        <v>3.0499999999999999E-2</v>
      </c>
      <c r="G7" s="260"/>
    </row>
    <row r="8" spans="1:8" s="264" customFormat="1">
      <c r="A8" s="946" t="s">
        <v>2316</v>
      </c>
      <c r="B8" s="256" t="s">
        <v>2317</v>
      </c>
      <c r="C8" s="261">
        <f ca="1">IF(G8="已包含在土地购买价格中",0,C9+C10)</f>
        <v>7723061</v>
      </c>
      <c r="D8" s="263"/>
      <c r="E8" s="261"/>
      <c r="F8" s="262"/>
      <c r="G8" s="2547"/>
    </row>
    <row r="9" spans="1:8" s="255" customFormat="1" ht="13.5" customHeight="1">
      <c r="A9" s="947" t="s">
        <v>776</v>
      </c>
      <c r="B9" s="265" t="s">
        <v>2318</v>
      </c>
      <c r="C9" s="266">
        <f ca="1">ROUND(D9*E9,0)</f>
        <v>5926965</v>
      </c>
      <c r="D9" s="1029">
        <f ca="1">IF(B1="",'数据-汇总表'!E5,IF(INDIRECT("'数据-取费表'!c"&amp;$G$1)="住宅",INDIRECT("'数据-取费表'!k"&amp;$G$1),0))</f>
        <v>37043.53</v>
      </c>
      <c r="E9" s="266">
        <f>'数据-取费表'!B27</f>
        <v>160</v>
      </c>
      <c r="F9" s="262"/>
      <c r="G9" s="267"/>
    </row>
    <row r="10" spans="1:8" s="255" customFormat="1" ht="13.5" customHeight="1">
      <c r="A10" s="947" t="s">
        <v>777</v>
      </c>
      <c r="B10" s="265" t="s">
        <v>2320</v>
      </c>
      <c r="C10" s="266">
        <f ca="1">ROUND(D10*E10,0)</f>
        <v>1796096</v>
      </c>
      <c r="D10" s="1029">
        <f ca="1">IF(B1="",'数据-汇总表'!E6,IF(INDIRECT("'数据-取费表'!c"&amp;$G$1)="住宅",INDIRECT("'数据-取费表'!s"&amp;$G$1),INDIRECT("'数据-取费表'!k"&amp;$G$1)+INDIRECT("'数据-取费表'!s"&amp;$G$1)))</f>
        <v>8980.4799999999959</v>
      </c>
      <c r="E10" s="266">
        <f>'数据-取费表'!B28</f>
        <v>200</v>
      </c>
      <c r="F10" s="262"/>
      <c r="G10" s="267"/>
    </row>
    <row r="11" spans="1:8" s="255" customFormat="1" ht="13.5" hidden="1" customHeight="1">
      <c r="A11" s="268" t="s">
        <v>4</v>
      </c>
      <c r="B11" s="256" t="s">
        <v>2321</v>
      </c>
      <c r="C11" s="252"/>
      <c r="D11" s="1031"/>
      <c r="E11" s="259"/>
      <c r="F11" s="259"/>
      <c r="G11" s="260"/>
    </row>
    <row r="12" spans="1:8" s="255" customFormat="1" ht="13.5" hidden="1" customHeight="1">
      <c r="A12" s="268" t="s">
        <v>5</v>
      </c>
      <c r="B12" s="256" t="s">
        <v>2404</v>
      </c>
      <c r="C12" s="252">
        <v>0</v>
      </c>
      <c r="D12" s="1031"/>
      <c r="E12" s="269"/>
      <c r="F12" s="262">
        <v>3.0499999999999999E-2</v>
      </c>
      <c r="G12" s="260"/>
    </row>
    <row r="13" spans="1:8" s="255" customFormat="1" ht="13.5" hidden="1" customHeight="1">
      <c r="A13" s="268" t="s">
        <v>6</v>
      </c>
      <c r="B13" s="256" t="s">
        <v>2405</v>
      </c>
      <c r="C13" s="252"/>
      <c r="D13" s="1031"/>
      <c r="E13" s="259"/>
      <c r="F13" s="259"/>
      <c r="G13" s="260"/>
    </row>
    <row r="14" spans="1:8" s="255" customFormat="1" ht="13.5" hidden="1" customHeight="1">
      <c r="A14" s="268" t="s">
        <v>7</v>
      </c>
      <c r="B14" s="256" t="s">
        <v>2317</v>
      </c>
      <c r="C14" s="252"/>
      <c r="D14" s="1031"/>
      <c r="E14" s="259"/>
      <c r="F14" s="259"/>
      <c r="G14" s="260" t="s">
        <v>2406</v>
      </c>
    </row>
    <row r="15" spans="1:8" s="255" customFormat="1" ht="13.5" hidden="1" customHeight="1">
      <c r="A15" s="268" t="s">
        <v>8</v>
      </c>
      <c r="B15" s="256" t="s">
        <v>2407</v>
      </c>
      <c r="C15" s="261"/>
      <c r="D15" s="1031"/>
      <c r="E15" s="259"/>
      <c r="F15" s="259"/>
      <c r="G15" s="260" t="s">
        <v>2408</v>
      </c>
    </row>
    <row r="16" spans="1:8" s="255" customFormat="1" ht="13.5" hidden="1" customHeight="1">
      <c r="A16" s="268" t="s">
        <v>9</v>
      </c>
      <c r="B16" s="256" t="s">
        <v>2317</v>
      </c>
      <c r="C16" s="261"/>
      <c r="D16" s="1031"/>
      <c r="E16" s="259"/>
      <c r="F16" s="259"/>
      <c r="G16" s="260"/>
    </row>
    <row r="17" spans="1:7" s="255" customFormat="1" ht="13.5" hidden="1" customHeight="1">
      <c r="A17" s="268" t="s">
        <v>10</v>
      </c>
      <c r="B17" s="256" t="s">
        <v>2409</v>
      </c>
      <c r="C17" s="270"/>
      <c r="D17" s="1032"/>
      <c r="E17" s="270"/>
      <c r="F17" s="270"/>
      <c r="G17" s="260" t="s">
        <v>2408</v>
      </c>
    </row>
    <row r="18" spans="1:7" s="255" customFormat="1" ht="13.5" hidden="1" customHeight="1">
      <c r="A18" s="268" t="s">
        <v>11</v>
      </c>
      <c r="B18" s="256" t="s">
        <v>2410</v>
      </c>
      <c r="C18" s="261">
        <v>0</v>
      </c>
      <c r="D18" s="1031"/>
      <c r="E18" s="259"/>
      <c r="F18" s="262">
        <v>3.0499999999999999E-2</v>
      </c>
      <c r="G18" s="260" t="s">
        <v>2411</v>
      </c>
    </row>
    <row r="19" spans="1:7" s="264" customFormat="1" ht="13.5" customHeight="1">
      <c r="A19" s="296" t="s">
        <v>2412</v>
      </c>
      <c r="B19" s="251" t="s">
        <v>2413</v>
      </c>
      <c r="C19" s="252">
        <f ca="1">IF(G19="已包含在土地取得成本中","0",ROUND(D19*E19,0))</f>
        <v>9204802</v>
      </c>
      <c r="D19" s="1033">
        <f ca="1">D9+D10</f>
        <v>46024.009999999995</v>
      </c>
      <c r="E19" s="252">
        <f>'数据-取费表'!B31</f>
        <v>200</v>
      </c>
      <c r="F19" s="272"/>
      <c r="G19" s="2547"/>
    </row>
    <row r="20" spans="1:7" s="255" customFormat="1" ht="13.5" customHeight="1">
      <c r="A20" s="296" t="s">
        <v>2414</v>
      </c>
      <c r="B20" s="251" t="s">
        <v>2415</v>
      </c>
      <c r="C20" s="273">
        <f ca="1">ROUND((C5+C19)*F20,0)</f>
        <v>507836</v>
      </c>
      <c r="D20" s="273"/>
      <c r="E20" s="273"/>
      <c r="F20" s="274">
        <f>'数据-取费表'!B37</f>
        <v>0.03</v>
      </c>
      <c r="G20" s="275" t="s">
        <v>2416</v>
      </c>
    </row>
    <row r="21" spans="1:7" s="255" customFormat="1" ht="13.5" customHeight="1">
      <c r="A21" s="296" t="s">
        <v>2417</v>
      </c>
      <c r="B21" s="251" t="s">
        <v>2418</v>
      </c>
      <c r="C21" s="276">
        <f>F21</f>
        <v>0.03</v>
      </c>
      <c r="D21" s="277" t="s">
        <v>2419</v>
      </c>
      <c r="E21" s="273"/>
      <c r="F21" s="274">
        <f>'数据-取费表'!B38</f>
        <v>0.03</v>
      </c>
      <c r="G21" s="275" t="s">
        <v>2420</v>
      </c>
    </row>
    <row r="22" spans="1:7" s="255" customFormat="1" ht="13.5" customHeight="1">
      <c r="A22" s="296" t="s">
        <v>2421</v>
      </c>
      <c r="B22" s="251" t="s">
        <v>2422</v>
      </c>
      <c r="C22" s="1377">
        <f ca="1">ROUND(SUM(C23:C25),0)</f>
        <v>1670463</v>
      </c>
      <c r="D22" s="276">
        <f ca="1">C26</f>
        <v>1.4E-3</v>
      </c>
      <c r="E22" s="277" t="s">
        <v>2419</v>
      </c>
      <c r="F22" s="278">
        <f ca="1">'数据-取费表'!B40</f>
        <v>4.7500000000000001E-2</v>
      </c>
      <c r="G22" s="275" t="str">
        <f>IF('数据-取费表'!B22&lt;=1,"单利计息","复利计息")</f>
        <v>复利计息</v>
      </c>
    </row>
    <row r="23" spans="1:7" s="255" customFormat="1" ht="13.5" customHeight="1">
      <c r="A23" s="948" t="s">
        <v>2312</v>
      </c>
      <c r="B23" s="256" t="s">
        <v>2423</v>
      </c>
      <c r="C23" s="1378">
        <f ca="1">ROUND(IF('数据-取费表'!B22&lt;=1,C5*F22*'数据-取费表'!B22,C5*(POWER((1+F22),'数据-取费表'!B22)-1)),0)</f>
        <v>751116</v>
      </c>
      <c r="D23" s="279"/>
      <c r="E23" s="279"/>
      <c r="F23" s="280"/>
      <c r="G23" s="281" t="s">
        <v>2424</v>
      </c>
    </row>
    <row r="24" spans="1:7" s="255" customFormat="1" ht="13.5" customHeight="1">
      <c r="A24" s="948" t="s">
        <v>2314</v>
      </c>
      <c r="B24" s="256" t="s">
        <v>2425</v>
      </c>
      <c r="C24" s="1378">
        <f ca="1">ROUND(IF('数据-取费表'!B22&lt;=1,C19*F22*('数据-取费表'!B19/2+'数据-取费表'!B20),C19*(POWER((1+F22),('数据-取费表'!B19/2+'数据-取费表'!B20))-1)),0)</f>
        <v>895225</v>
      </c>
      <c r="D24" s="279"/>
      <c r="E24" s="279"/>
      <c r="F24" s="280"/>
      <c r="G24" s="281" t="s">
        <v>2426</v>
      </c>
    </row>
    <row r="25" spans="1:7" s="255" customFormat="1" ht="24">
      <c r="A25" s="948" t="s">
        <v>2316</v>
      </c>
      <c r="B25" s="256" t="s">
        <v>2427</v>
      </c>
      <c r="C25" s="1378">
        <f ca="1">ROUND(IF('数据-取费表'!B22&lt;=1,C20*F22*'数据-取费表'!B22/2,C20*(POWER((1+F22),'数据-取费表'!B22/2)-1)),0)</f>
        <v>24122</v>
      </c>
      <c r="D25" s="279"/>
      <c r="E25" s="282"/>
      <c r="F25" s="280"/>
      <c r="G25" s="283" t="s">
        <v>2428</v>
      </c>
    </row>
    <row r="26" spans="1:7" s="255" customFormat="1">
      <c r="A26" s="948" t="s">
        <v>771</v>
      </c>
      <c r="B26" s="256" t="s">
        <v>2351</v>
      </c>
      <c r="C26" s="279">
        <f ca="1">ROUND(IF('数据-取费表'!B22&lt;=1,F21*F22*'数据-取费表'!B22/2,F21*(POWER((1+F22),'数据-取费表'!B22/2)-1)),4)</f>
        <v>1.4E-3</v>
      </c>
      <c r="D26" s="279"/>
      <c r="E26" s="282"/>
      <c r="F26" s="280"/>
      <c r="G26" s="284"/>
    </row>
    <row r="27" spans="1:7" s="255" customFormat="1" ht="24.75">
      <c r="A27" s="296" t="s">
        <v>2352</v>
      </c>
      <c r="B27" s="285" t="s">
        <v>2353</v>
      </c>
      <c r="C27" s="286">
        <f ca="1">C28</f>
        <v>523071</v>
      </c>
      <c r="D27" s="276">
        <f ca="1">C29</f>
        <v>8.9999999999999998E-4</v>
      </c>
      <c r="E27" s="277" t="s">
        <v>2354</v>
      </c>
      <c r="F27" s="287">
        <f ca="1">IF(B1="",'数据-取费表'!Q16,INDIRECT("'数据-取费表'!q"&amp;$G$1))</f>
        <v>0.03</v>
      </c>
      <c r="G27" s="288" t="s">
        <v>2355</v>
      </c>
    </row>
    <row r="28" spans="1:7" s="255" customFormat="1" ht="13.5" customHeight="1">
      <c r="A28" s="948" t="s">
        <v>767</v>
      </c>
      <c r="B28" s="289" t="s">
        <v>2356</v>
      </c>
      <c r="C28" s="290">
        <f ca="1">ROUND((C5+C19+C20)*F27,0)</f>
        <v>523071</v>
      </c>
      <c r="D28" s="276"/>
      <c r="E28" s="277"/>
      <c r="F28" s="287"/>
      <c r="G28" s="288"/>
    </row>
    <row r="29" spans="1:7" s="255" customFormat="1" ht="13.5" customHeight="1">
      <c r="A29" s="948" t="s">
        <v>768</v>
      </c>
      <c r="B29" s="289" t="s">
        <v>2357</v>
      </c>
      <c r="C29" s="279">
        <f ca="1">ROUND(C21*F27,4)</f>
        <v>8.9999999999999998E-4</v>
      </c>
      <c r="D29" s="276"/>
      <c r="E29" s="277"/>
      <c r="F29" s="287"/>
      <c r="G29" s="288"/>
    </row>
    <row r="30" spans="1:7" s="255" customFormat="1" ht="13.5" customHeight="1">
      <c r="A30" s="296" t="s">
        <v>2358</v>
      </c>
      <c r="B30" s="251" t="s">
        <v>2359</v>
      </c>
      <c r="C30" s="276">
        <f>ROUND(F30/(1+'数据-取费表'!C42),4)</f>
        <v>5.33E-2</v>
      </c>
      <c r="D30" s="277" t="s">
        <v>2354</v>
      </c>
      <c r="E30" s="282"/>
      <c r="F30" s="278">
        <f>'数据-取费表'!B41</f>
        <v>5.6000000000000001E-2</v>
      </c>
      <c r="G30" s="275" t="s">
        <v>2360</v>
      </c>
    </row>
    <row r="31" spans="1:7" ht="16.5" customHeight="1">
      <c r="A31" s="250">
        <v>1</v>
      </c>
      <c r="B31" s="251" t="s">
        <v>2361</v>
      </c>
      <c r="C31" s="252">
        <f ca="1">ROUND((C5+C19+C20+C22+C27)/(1-C21-D22-D27-C30),0)</f>
        <v>21466790</v>
      </c>
      <c r="D31" s="271"/>
      <c r="E31" s="252"/>
      <c r="F31" s="291"/>
      <c r="G31" s="275" t="s">
        <v>2362</v>
      </c>
    </row>
    <row r="32" spans="1:7" s="249" customFormat="1" ht="15.75">
      <c r="A32" s="293" t="s">
        <v>2429</v>
      </c>
      <c r="B32" s="294"/>
      <c r="C32" s="294"/>
      <c r="D32" s="294"/>
      <c r="E32" s="294"/>
      <c r="F32" s="294"/>
      <c r="G32" s="295"/>
    </row>
    <row r="33" spans="1:7" s="255" customFormat="1" ht="13.5" customHeight="1">
      <c r="A33" s="296" t="s">
        <v>758</v>
      </c>
      <c r="B33" s="251" t="s">
        <v>2430</v>
      </c>
      <c r="C33" s="297">
        <f ca="1">SUM(C34:C38)</f>
        <v>129380669</v>
      </c>
      <c r="D33" s="273"/>
      <c r="E33" s="253"/>
      <c r="F33" s="282"/>
      <c r="G33" s="275"/>
    </row>
    <row r="34" spans="1:7" s="299" customFormat="1" ht="13.5" customHeight="1">
      <c r="A34" s="948" t="s">
        <v>767</v>
      </c>
      <c r="B34" s="256" t="s">
        <v>2365</v>
      </c>
      <c r="C34" s="261">
        <f ca="1">ROUND(IF(B1="",SUMPRODUCT('数据-取费表'!K6:K14,'数据-取费表'!L6:L14),INDIRECT("'数据-取费表'!l"&amp;$G$1)*INDIRECT("'数据-取费表'!k"&amp;$G$1)+'数据-取费表'!L14*INDIRECT("'数据-取费表'!S"&amp;$G$1)),0)</f>
        <v>110569785</v>
      </c>
      <c r="D34" s="258"/>
      <c r="E34" s="261"/>
      <c r="F34" s="298"/>
      <c r="G34" s="260"/>
    </row>
    <row r="35" spans="1:7" ht="13.5" customHeight="1">
      <c r="A35" s="948" t="s">
        <v>772</v>
      </c>
      <c r="B35" s="256" t="s">
        <v>2367</v>
      </c>
      <c r="C35" s="261">
        <f ca="1">ROUND(C34*F35,0)</f>
        <v>3317094</v>
      </c>
      <c r="D35" s="261"/>
      <c r="E35" s="261"/>
      <c r="F35" s="300">
        <f>'数据-取费表'!B33</f>
        <v>0.03</v>
      </c>
      <c r="G35" s="260" t="s">
        <v>2368</v>
      </c>
    </row>
    <row r="36" spans="1:7" ht="24">
      <c r="A36" s="948" t="s">
        <v>773</v>
      </c>
      <c r="B36" s="256" t="s">
        <v>2369</v>
      </c>
      <c r="C36" s="261">
        <f ca="1">ROUND(IF(B1="",SUM('数据-取费表'!AP6:AP13)*F36,IF(INDIRECT("'数据-取费表'!c"&amp;$G$1)="住宅",INDIRECT("'数据-取费表'!k"&amp;$G$1)*INDIRECT("'数据-取费表'!l"&amp;$G$1)*F36,0)),0)</f>
        <v>4630441</v>
      </c>
      <c r="D36" s="261"/>
      <c r="E36" s="261"/>
      <c r="F36" s="300">
        <f>'数据-取费表'!B34</f>
        <v>0.05</v>
      </c>
      <c r="G36" s="301" t="s">
        <v>2370</v>
      </c>
    </row>
    <row r="37" spans="1:7" s="299" customFormat="1" ht="13.5" customHeight="1">
      <c r="A37" s="948" t="s">
        <v>774</v>
      </c>
      <c r="B37" s="256" t="s">
        <v>2371</v>
      </c>
      <c r="C37" s="290">
        <f ca="1">ROUND(E37*D37,0)</f>
        <v>9204802</v>
      </c>
      <c r="D37" s="258">
        <f ca="1">D19</f>
        <v>46024.009999999995</v>
      </c>
      <c r="E37" s="290">
        <f>'数据-取费表'!B35</f>
        <v>200</v>
      </c>
      <c r="F37" s="300"/>
      <c r="G37" s="302"/>
    </row>
    <row r="38" spans="1:7" ht="13.5" customHeight="1">
      <c r="A38" s="948" t="s">
        <v>775</v>
      </c>
      <c r="B38" s="256" t="s">
        <v>2373</v>
      </c>
      <c r="C38" s="261">
        <f ca="1">ROUND(C34*F38,0)</f>
        <v>1658547</v>
      </c>
      <c r="D38" s="261"/>
      <c r="E38" s="261"/>
      <c r="F38" s="300">
        <f>'数据-取费表'!B36</f>
        <v>1.4999999999999999E-2</v>
      </c>
      <c r="G38" s="260" t="s">
        <v>2368</v>
      </c>
    </row>
    <row r="39" spans="1:7" s="255" customFormat="1" ht="13.5" customHeight="1">
      <c r="A39" s="296" t="s">
        <v>2374</v>
      </c>
      <c r="B39" s="251" t="s">
        <v>2375</v>
      </c>
      <c r="C39" s="273">
        <f ca="1">ROUND(C33*F20,0)</f>
        <v>3881420</v>
      </c>
      <c r="D39" s="273"/>
      <c r="E39" s="273"/>
      <c r="F39" s="274"/>
      <c r="G39" s="275" t="s">
        <v>2376</v>
      </c>
    </row>
    <row r="40" spans="1:7" s="255" customFormat="1" ht="13.5" customHeight="1">
      <c r="A40" s="296" t="s">
        <v>2377</v>
      </c>
      <c r="B40" s="251" t="s">
        <v>2378</v>
      </c>
      <c r="C40" s="1725">
        <f>F21</f>
        <v>0.03</v>
      </c>
      <c r="D40" s="277" t="s">
        <v>2379</v>
      </c>
      <c r="E40" s="273"/>
      <c r="F40" s="274"/>
      <c r="G40" s="275" t="s">
        <v>2380</v>
      </c>
    </row>
    <row r="41" spans="1:7" s="255" customFormat="1" ht="13.5" customHeight="1">
      <c r="A41" s="296" t="s">
        <v>2381</v>
      </c>
      <c r="B41" s="251" t="s">
        <v>2382</v>
      </c>
      <c r="C41" s="273">
        <f ca="1">ROUND(SUM(C42:C43),0)</f>
        <v>6329949</v>
      </c>
      <c r="D41" s="276">
        <f ca="1">C44</f>
        <v>1.4E-3</v>
      </c>
      <c r="E41" s="277" t="s">
        <v>2379</v>
      </c>
      <c r="F41" s="278"/>
      <c r="G41" s="275" t="str">
        <f>IF('数据-取费表'!B22&lt;=1,"单利计息","复利计息")</f>
        <v>复利计息</v>
      </c>
    </row>
    <row r="42" spans="1:7" ht="13.5" customHeight="1">
      <c r="A42" s="948" t="s">
        <v>767</v>
      </c>
      <c r="B42" s="256" t="s">
        <v>2383</v>
      </c>
      <c r="C42" s="279">
        <f ca="1">ROUND(IF('数据-取费表'!B22&lt;=1,C33*F22*'数据-取费表'!B20/2,C33*(POWER((1+F22),'数据-取费表'!B20/2)-1)),0)</f>
        <v>6145582</v>
      </c>
      <c r="D42" s="279"/>
      <c r="E42" s="279"/>
      <c r="F42" s="280"/>
      <c r="G42" s="3149" t="s">
        <v>2431</v>
      </c>
    </row>
    <row r="43" spans="1:7" ht="13.5" customHeight="1">
      <c r="A43" s="948" t="s">
        <v>768</v>
      </c>
      <c r="B43" s="256" t="s">
        <v>2385</v>
      </c>
      <c r="C43" s="279">
        <f ca="1">ROUND(IF('数据-取费表'!B22&lt;=1,C39*F22*'数据-取费表'!B20/2,C39*(POWER((1+F22),'数据-取费表'!B20/2)-1)),0)</f>
        <v>184367</v>
      </c>
      <c r="D43" s="279"/>
      <c r="E43" s="279"/>
      <c r="F43" s="280"/>
      <c r="G43" s="3150"/>
    </row>
    <row r="44" spans="1:7" ht="13.5" customHeight="1">
      <c r="A44" s="948" t="s">
        <v>769</v>
      </c>
      <c r="B44" s="256" t="s">
        <v>2386</v>
      </c>
      <c r="C44" s="279">
        <f ca="1">ROUND(IF('数据-取费表'!B22&lt;=1,C40*F22*'数据-取费表'!B20/2,C40*(POWER((1+F22),'数据-取费表'!B20/2)-1)),4)</f>
        <v>1.4E-3</v>
      </c>
      <c r="D44" s="279"/>
      <c r="E44" s="279"/>
      <c r="F44" s="280"/>
      <c r="G44" s="3151"/>
    </row>
    <row r="45" spans="1:7" s="255" customFormat="1" ht="13.5" customHeight="1">
      <c r="A45" s="296" t="s">
        <v>2387</v>
      </c>
      <c r="B45" s="285" t="s">
        <v>2353</v>
      </c>
      <c r="C45" s="286">
        <f ca="1">C46</f>
        <v>3997863</v>
      </c>
      <c r="D45" s="276">
        <f ca="1">C47</f>
        <v>8.9999999999999998E-4</v>
      </c>
      <c r="E45" s="277" t="s">
        <v>2379</v>
      </c>
      <c r="F45" s="287"/>
      <c r="G45" s="288" t="s">
        <v>2388</v>
      </c>
    </row>
    <row r="46" spans="1:7" s="255" customFormat="1" ht="13.5" customHeight="1">
      <c r="A46" s="948" t="s">
        <v>767</v>
      </c>
      <c r="B46" s="289" t="s">
        <v>2389</v>
      </c>
      <c r="C46" s="290">
        <f ca="1">ROUND((C33+C39)*F27,0)</f>
        <v>3997863</v>
      </c>
      <c r="D46" s="304"/>
      <c r="E46" s="277"/>
      <c r="F46" s="287"/>
      <c r="G46" s="288"/>
    </row>
    <row r="47" spans="1:7" s="255" customFormat="1" ht="13.5" customHeight="1">
      <c r="A47" s="948" t="s">
        <v>768</v>
      </c>
      <c r="B47" s="289" t="s">
        <v>2390</v>
      </c>
      <c r="C47" s="279">
        <f ca="1">ROUND(C40*F27,4)</f>
        <v>8.9999999999999998E-4</v>
      </c>
      <c r="D47" s="304"/>
      <c r="E47" s="277"/>
      <c r="F47" s="287"/>
      <c r="G47" s="288"/>
    </row>
    <row r="48" spans="1:7" s="255" customFormat="1" ht="13.5" customHeight="1">
      <c r="A48" s="296" t="s">
        <v>2352</v>
      </c>
      <c r="B48" s="251" t="s">
        <v>2391</v>
      </c>
      <c r="C48" s="303">
        <f>ROUND(F30/(1+'数据-取费表'!C42),4)</f>
        <v>5.33E-2</v>
      </c>
      <c r="D48" s="277" t="s">
        <v>2379</v>
      </c>
      <c r="E48" s="273"/>
      <c r="F48" s="278"/>
      <c r="G48" s="275" t="s">
        <v>2392</v>
      </c>
    </row>
    <row r="49" spans="1:7" ht="16.5" customHeight="1">
      <c r="A49" s="296" t="s">
        <v>2358</v>
      </c>
      <c r="B49" s="251" t="s">
        <v>2432</v>
      </c>
      <c r="C49" s="273">
        <f ca="1">ROUND((C33+C39+C41+C45)/(1-C40-D41-D45-C48),0)</f>
        <v>157031825</v>
      </c>
      <c r="D49" s="273"/>
      <c r="E49" s="273"/>
      <c r="F49" s="305"/>
      <c r="G49" s="275" t="s">
        <v>2394</v>
      </c>
    </row>
    <row r="50" spans="1:7" s="299" customFormat="1">
      <c r="A50" s="296" t="s">
        <v>2395</v>
      </c>
      <c r="B50" s="251" t="s">
        <v>2396</v>
      </c>
      <c r="C50" s="273"/>
      <c r="D50" s="273"/>
      <c r="E50" s="273"/>
      <c r="F50" s="305">
        <f>IF('数据-取费表'!B24=0,'数据-取费表'!N16,1)</f>
        <v>1</v>
      </c>
      <c r="G50" s="288"/>
    </row>
    <row r="51" spans="1:7" ht="16.5" customHeight="1">
      <c r="A51" s="296" t="s">
        <v>2398</v>
      </c>
      <c r="B51" s="251" t="s">
        <v>2433</v>
      </c>
      <c r="C51" s="273">
        <f ca="1">ROUND(C49*F50,0)</f>
        <v>157031825</v>
      </c>
      <c r="D51" s="273"/>
      <c r="E51" s="273"/>
      <c r="F51" s="305"/>
      <c r="G51" s="275" t="s">
        <v>2400</v>
      </c>
    </row>
    <row r="52" spans="1:7" s="249" customFormat="1" ht="16.5" thickBot="1">
      <c r="A52" s="306" t="s">
        <v>2401</v>
      </c>
      <c r="B52" s="307"/>
      <c r="C52" s="308">
        <f ca="1">C31+C51</f>
        <v>178498615</v>
      </c>
      <c r="D52" s="307"/>
      <c r="E52" s="307"/>
      <c r="F52" s="307"/>
      <c r="G52" s="309"/>
    </row>
    <row r="55" spans="1:7" ht="15">
      <c r="B55" s="311" t="s">
        <v>2402</v>
      </c>
      <c r="C55" s="312"/>
    </row>
    <row r="56" spans="1:7">
      <c r="B56" s="314" t="s">
        <v>1483</v>
      </c>
      <c r="C56" s="316">
        <f ca="1">1-C57</f>
        <v>0.12</v>
      </c>
    </row>
    <row r="57" spans="1:7">
      <c r="B57" s="314" t="s">
        <v>1484</v>
      </c>
      <c r="C57" s="315">
        <f ca="1">ROUND(C51/C52,3)</f>
        <v>0.88</v>
      </c>
    </row>
  </sheetData>
  <sheetProtection password="C66D"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2" customWidth="1"/>
    <col min="2" max="9" width="10" style="1012" customWidth="1"/>
    <col min="10" max="16384" width="9" style="1012"/>
  </cols>
  <sheetData>
    <row r="36" spans="1:9">
      <c r="A36" s="1011" t="s">
        <v>794</v>
      </c>
      <c r="B36" s="1011" t="s">
        <v>795</v>
      </c>
    </row>
    <row r="37" spans="1:9" ht="27.75" customHeight="1">
      <c r="A37" s="1011"/>
      <c r="B37" s="2961" t="str">
        <f>项目基本情况!B1</f>
        <v>北京市出让国有建设用地使用权及在建建筑物房地产抵押价值预评估</v>
      </c>
      <c r="C37" s="2961"/>
      <c r="D37" s="2961"/>
      <c r="E37" s="2961"/>
      <c r="F37" s="2961"/>
      <c r="G37" s="2961"/>
      <c r="H37" s="2961"/>
      <c r="I37" s="2961"/>
    </row>
    <row r="38" spans="1:9">
      <c r="A38" s="1013"/>
      <c r="B38" s="1013"/>
    </row>
    <row r="39" spans="1:9">
      <c r="A39" s="1011" t="s">
        <v>794</v>
      </c>
      <c r="B39" s="1011" t="s">
        <v>796</v>
      </c>
    </row>
    <row r="40" spans="1:9">
      <c r="A40" s="1011"/>
      <c r="B40" s="1938" t="str">
        <f>项目基本情况!B5</f>
        <v>北京国隆置业有限公司</v>
      </c>
    </row>
    <row r="41" spans="1:9">
      <c r="A41" s="1011"/>
      <c r="B41" s="1011"/>
    </row>
    <row r="42" spans="1:9">
      <c r="A42" s="1011" t="s">
        <v>794</v>
      </c>
      <c r="B42" s="1011" t="s">
        <v>797</v>
      </c>
    </row>
    <row r="43" spans="1:9">
      <c r="A43" s="1011"/>
      <c r="B43" s="1938" t="s">
        <v>798</v>
      </c>
    </row>
    <row r="44" spans="1:9">
      <c r="A44" s="1011"/>
      <c r="B44" s="1011"/>
    </row>
    <row r="45" spans="1:9">
      <c r="A45" s="1011" t="s">
        <v>794</v>
      </c>
      <c r="B45" s="1011" t="s">
        <v>799</v>
      </c>
    </row>
    <row r="46" spans="1:9" s="1011" customFormat="1" ht="12.75">
      <c r="B46" s="1938" t="str">
        <f ca="1">项目基本情况!K4</f>
        <v>吴薇（注册号：1419970001)、郑燚（注册号：1120070131)</v>
      </c>
    </row>
    <row r="47" spans="1:9">
      <c r="A47" s="1011"/>
      <c r="B47" s="1011" t="str">
        <f>项目基本情况!K5</f>
        <v/>
      </c>
    </row>
    <row r="48" spans="1:9">
      <c r="A48" s="1011" t="s">
        <v>794</v>
      </c>
      <c r="B48" s="1011" t="s">
        <v>800</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8" sqref="E3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9" customWidth="1"/>
    <col min="33" max="36" width="9.375" style="2785" customWidth="1"/>
    <col min="37" max="38" width="9.375" style="2717" customWidth="1"/>
    <col min="39" max="16384" width="12" style="2717"/>
  </cols>
  <sheetData>
    <row r="1" spans="1:36" ht="28.5">
      <c r="A1" s="237" t="s">
        <v>2776</v>
      </c>
      <c r="B1" s="238"/>
      <c r="C1" s="242" t="s">
        <v>2777</v>
      </c>
      <c r="D1" s="385">
        <f>SUM(D29:D30,D33:D39)</f>
        <v>46024.009999999995</v>
      </c>
      <c r="E1" s="2714"/>
      <c r="F1" s="2714"/>
      <c r="G1" s="2714"/>
      <c r="H1" s="2714"/>
      <c r="I1" s="2714"/>
      <c r="J1" s="2714"/>
      <c r="K1" s="1367"/>
      <c r="L1" s="2715" t="s">
        <v>2778</v>
      </c>
      <c r="M1" s="1077">
        <f>SUMPRODUCT((区片价!B5:B9=I2)*(区片价!C3:F3=E2)*(区片价!C5:F9))</f>
        <v>0</v>
      </c>
      <c r="N1" s="1080">
        <f>SUMPRODUCT((因素修正幅度!B5:B9=I2)*(因素修正幅度!C3:F3=E2)*(因素修正幅度!C5:F9))</f>
        <v>0</v>
      </c>
      <c r="O1" s="2716"/>
      <c r="P1" s="2716"/>
      <c r="Q1" s="1367"/>
      <c r="R1" s="1599" t="s">
        <v>2779</v>
      </c>
      <c r="S1" s="1599" t="s">
        <v>2780</v>
      </c>
      <c r="T1" s="1599" t="s">
        <v>2781</v>
      </c>
      <c r="U1" s="1599" t="s">
        <v>2782</v>
      </c>
      <c r="V1" s="1599" t="s">
        <v>2783</v>
      </c>
      <c r="W1" s="1603"/>
      <c r="X1" s="1603"/>
      <c r="Y1" s="1603"/>
      <c r="Z1" s="1603"/>
      <c r="AA1" s="1603"/>
      <c r="AB1" s="1603"/>
      <c r="AC1" s="1604"/>
      <c r="AD1" s="1605"/>
      <c r="AE1" s="1605"/>
      <c r="AF1" s="1605"/>
      <c r="AG1" s="1605"/>
      <c r="AH1" s="1605"/>
      <c r="AI1" s="1605"/>
      <c r="AJ1" s="1606"/>
    </row>
    <row r="2" spans="1:36" ht="15.75">
      <c r="A2" s="242" t="s">
        <v>2784</v>
      </c>
      <c r="B2" s="245">
        <f ca="1">C26</f>
        <v>77912</v>
      </c>
      <c r="C2" s="2718" t="s">
        <v>2785</v>
      </c>
      <c r="D2" s="2719" t="s">
        <v>2786</v>
      </c>
      <c r="E2" s="2720" t="s">
        <v>3048</v>
      </c>
      <c r="F2" s="2719" t="s">
        <v>2787</v>
      </c>
      <c r="G2" s="2721" t="str">
        <f>IF(E2="商业",项目基本情况!B37,IF(E2="办公",项目基本情况!C37,IF(E2="住宅",项目基本情况!D37,项目基本情况!E37)))</f>
        <v>六级</v>
      </c>
      <c r="H2" s="2719" t="s">
        <v>2788</v>
      </c>
      <c r="I2" s="2721" t="str">
        <f>IF(E2="商业",项目基本情况!B38,IF(E2="办公",项目基本情况!C38,IF(E2="住宅",项目基本情况!D38,项目基本情况!E38)))</f>
        <v>Ⅵ-20</v>
      </c>
      <c r="J2" s="2722"/>
      <c r="K2" s="1367"/>
      <c r="L2" s="2723" t="s">
        <v>2789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40267</v>
      </c>
      <c r="U2" s="1600"/>
      <c r="V2" s="1599">
        <f ca="1">ROUND(T2*U2/10000,0)</f>
        <v>0</v>
      </c>
      <c r="W2" s="1603"/>
      <c r="X2" s="1603"/>
      <c r="Y2" s="1603"/>
      <c r="Z2" s="1603"/>
      <c r="AA2" s="1603"/>
      <c r="AB2" s="1603"/>
      <c r="AC2" s="1604"/>
      <c r="AD2" s="1605"/>
      <c r="AE2" s="1605"/>
      <c r="AF2" s="1605"/>
      <c r="AG2" s="1605"/>
      <c r="AH2" s="1605"/>
      <c r="AI2" s="1605"/>
      <c r="AJ2" s="1606"/>
    </row>
    <row r="3" spans="1:36" ht="25.5">
      <c r="A3" s="244" t="s">
        <v>2790</v>
      </c>
      <c r="B3" s="245">
        <f ca="1">ROUND(B2*10000/D1,0)</f>
        <v>16929</v>
      </c>
      <c r="C3" s="2718" t="s">
        <v>2791</v>
      </c>
      <c r="D3" s="2719" t="s">
        <v>2792</v>
      </c>
      <c r="E3" s="2724" t="s">
        <v>3072</v>
      </c>
      <c r="F3" s="2725" t="s">
        <v>2793</v>
      </c>
      <c r="G3" s="913">
        <f>IF(F3="宗地容积率",'数据-汇总表'!I4,IF(F3="估价对象容积率",'数据-汇总表'!I6,'数据-汇总表'!I7))</f>
        <v>3.39</v>
      </c>
      <c r="H3" s="195" t="s">
        <v>2794</v>
      </c>
      <c r="I3" s="941"/>
      <c r="J3" s="2722" t="s">
        <v>2795</v>
      </c>
      <c r="K3" s="1367"/>
      <c r="L3" s="2723" t="s">
        <v>2796</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28904</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55"/>
      <c r="B4" s="3156"/>
      <c r="C4" s="3156"/>
      <c r="D4" s="3157"/>
      <c r="E4" s="3157"/>
      <c r="F4" s="3157"/>
      <c r="G4" s="3157"/>
      <c r="H4" s="3157"/>
      <c r="I4" s="3157"/>
      <c r="J4" s="3158"/>
      <c r="K4" s="1367"/>
      <c r="L4" s="2723" t="s">
        <v>2797</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23319</v>
      </c>
      <c r="U4" s="1600"/>
      <c r="V4" s="1599">
        <f t="shared" ca="1" si="1"/>
        <v>0</v>
      </c>
      <c r="W4" s="1603"/>
      <c r="X4" s="1603"/>
      <c r="Y4" s="1603"/>
      <c r="Z4" s="1603"/>
      <c r="AA4" s="1603"/>
      <c r="AB4" s="1603"/>
      <c r="AC4" s="1604"/>
      <c r="AD4" s="1605"/>
      <c r="AE4" s="1605"/>
      <c r="AF4" s="1605"/>
      <c r="AG4" s="1605"/>
      <c r="AH4" s="1605"/>
      <c r="AI4" s="1605"/>
      <c r="AJ4" s="1606"/>
    </row>
    <row r="5" spans="1:36" s="2735" customFormat="1" ht="15.75" thickBot="1">
      <c r="A5" s="2726" t="s">
        <v>783</v>
      </c>
      <c r="B5" s="2727" t="s">
        <v>2798</v>
      </c>
      <c r="C5" s="914">
        <f>ROUND(IF(E2="商业",C6*C7+C16,(IF(E2="住宅",C6*C12+C16,C6+C16))),0)</f>
        <v>12802</v>
      </c>
      <c r="D5" s="1784">
        <f>ROUND(C6+C16,0)</f>
        <v>10580</v>
      </c>
      <c r="E5" s="1784"/>
      <c r="F5" s="2728"/>
      <c r="G5" s="2729"/>
      <c r="H5" s="2729"/>
      <c r="I5" s="2729"/>
      <c r="J5" s="2730"/>
      <c r="K5" s="2731"/>
      <c r="L5" s="2723" t="s">
        <v>2799</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18710</v>
      </c>
      <c r="U5" s="1600"/>
      <c r="V5" s="1599">
        <f t="shared" ca="1" si="1"/>
        <v>0</v>
      </c>
      <c r="W5" s="1603"/>
      <c r="X5" s="1603"/>
      <c r="Y5" s="1603"/>
      <c r="Z5" s="1603"/>
      <c r="AA5" s="1603"/>
      <c r="AB5" s="1603"/>
      <c r="AC5" s="2732"/>
      <c r="AD5" s="2733"/>
      <c r="AE5" s="2733"/>
      <c r="AF5" s="2733"/>
      <c r="AG5" s="2733"/>
      <c r="AH5" s="2733"/>
      <c r="AI5" s="2733"/>
      <c r="AJ5" s="2734"/>
    </row>
    <row r="6" spans="1:36" ht="15.75" thickBot="1">
      <c r="A6" s="2736" t="s">
        <v>2800</v>
      </c>
      <c r="B6" s="2737" t="s">
        <v>2801</v>
      </c>
      <c r="C6" s="915">
        <f>SUMIF(L1:L12,G2,M1:M12)</f>
        <v>10580</v>
      </c>
      <c r="D6" s="2738" t="s">
        <v>2802</v>
      </c>
      <c r="E6" s="2739"/>
      <c r="F6" s="2739"/>
      <c r="G6" s="2740"/>
      <c r="H6" s="2740"/>
      <c r="I6" s="2740"/>
      <c r="J6" s="2741"/>
      <c r="K6" s="1839"/>
      <c r="L6" s="2723" t="s">
        <v>2803</v>
      </c>
      <c r="M6" s="1078">
        <f>SUMPRODUCT((区片价!B110:B157=I2)*(区片价!C3:F3=E2)*(区片价!C110:F157))</f>
        <v>10580</v>
      </c>
      <c r="N6" s="1080">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15933</v>
      </c>
      <c r="U6" s="1600"/>
      <c r="V6" s="1599">
        <f t="shared" ca="1" si="1"/>
        <v>0</v>
      </c>
      <c r="W6" s="1603"/>
      <c r="X6" s="1603"/>
      <c r="Y6" s="1603"/>
      <c r="Z6" s="1603"/>
      <c r="AA6" s="1603"/>
      <c r="AB6" s="1603"/>
      <c r="AC6" s="2732"/>
      <c r="AD6" s="2733"/>
      <c r="AE6" s="2733"/>
      <c r="AF6" s="2733"/>
      <c r="AG6" s="2733"/>
      <c r="AH6" s="2733"/>
      <c r="AI6" s="2733"/>
      <c r="AJ6" s="2734"/>
    </row>
    <row r="7" spans="1:36" ht="24">
      <c r="A7" s="3159" t="str">
        <f>IF(E2="商业",IF(C8="不临58条商业街","",2),"")</f>
        <v/>
      </c>
      <c r="B7" s="2742" t="s">
        <v>2804</v>
      </c>
      <c r="C7" s="916">
        <f>IF(C8="不临58条商业街",1,ROUND(1+(1.6*E8+1.2*E9+0.8*E10+0.4*E11)*C9,4))</f>
        <v>1</v>
      </c>
      <c r="D7" s="2743" t="s">
        <v>2805</v>
      </c>
      <c r="E7" s="942"/>
      <c r="F7" s="2744"/>
      <c r="G7" s="2745"/>
      <c r="H7" s="2745"/>
      <c r="I7" s="2745"/>
      <c r="J7" s="2746"/>
      <c r="K7" s="1839"/>
      <c r="L7" s="2723" t="s">
        <v>2806</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14011</v>
      </c>
      <c r="U7" s="1600"/>
      <c r="V7" s="1599">
        <f t="shared" ca="1" si="1"/>
        <v>0</v>
      </c>
      <c r="W7" s="1813" t="s">
        <v>2807</v>
      </c>
      <c r="X7" s="1601" t="str">
        <f>G2</f>
        <v>六级</v>
      </c>
      <c r="Y7" s="1601" t="s">
        <v>2808</v>
      </c>
      <c r="Z7" s="1602">
        <f>G3</f>
        <v>3.39</v>
      </c>
      <c r="AA7" s="1603"/>
      <c r="AB7" s="1603"/>
      <c r="AC7" s="1604"/>
      <c r="AD7" s="1605"/>
      <c r="AE7" s="1605"/>
      <c r="AF7" s="1605"/>
      <c r="AG7" s="1605"/>
      <c r="AH7" s="1605"/>
      <c r="AI7" s="1605"/>
      <c r="AJ7" s="1606"/>
    </row>
    <row r="8" spans="1:36" ht="25.5">
      <c r="A8" s="3160"/>
      <c r="B8" s="195" t="s">
        <v>2809</v>
      </c>
      <c r="C8" s="2747" t="s">
        <v>3073</v>
      </c>
      <c r="D8" s="917" t="s">
        <v>115</v>
      </c>
      <c r="E8" s="918" t="e">
        <f>ROUND(C11/E7,4)</f>
        <v>#DIV/0!</v>
      </c>
      <c r="F8" s="2748" t="s">
        <v>2810</v>
      </c>
      <c r="G8" s="2749"/>
      <c r="H8" s="2749"/>
      <c r="I8" s="2749"/>
      <c r="J8" s="2750"/>
      <c r="K8" s="1367"/>
      <c r="L8" s="2723" t="s">
        <v>2811</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52" t="s">
        <v>2812</v>
      </c>
      <c r="X8" s="3153"/>
      <c r="Y8" s="1607" t="s">
        <v>2813</v>
      </c>
      <c r="Z8" s="1607" t="s">
        <v>2814</v>
      </c>
      <c r="AA8" s="1607" t="s">
        <v>2815</v>
      </c>
      <c r="AB8" s="1607" t="s">
        <v>2816</v>
      </c>
      <c r="AC8" s="1607" t="s">
        <v>2817</v>
      </c>
      <c r="AD8" s="1607" t="s">
        <v>2818</v>
      </c>
      <c r="AE8" s="1607" t="s">
        <v>2819</v>
      </c>
      <c r="AF8" s="1607" t="s">
        <v>2820</v>
      </c>
      <c r="AG8" s="1607" t="s">
        <v>2821</v>
      </c>
      <c r="AH8" s="1607" t="s">
        <v>2822</v>
      </c>
      <c r="AI8" s="1607" t="s">
        <v>2823</v>
      </c>
      <c r="AJ8" s="1607" t="s">
        <v>2824</v>
      </c>
    </row>
    <row r="9" spans="1:36" ht="15">
      <c r="A9" s="3160"/>
      <c r="B9" s="195" t="s">
        <v>2825</v>
      </c>
      <c r="C9" s="919">
        <f>SUMIF(修正!C59:C119,C8,修正!E59:E119)</f>
        <v>0</v>
      </c>
      <c r="D9" s="197" t="s">
        <v>116</v>
      </c>
      <c r="E9" s="197" t="e">
        <f>ROUND(C11/E7,4)</f>
        <v>#DIV/0!</v>
      </c>
      <c r="F9" s="2748" t="s">
        <v>2826</v>
      </c>
      <c r="G9" s="2749"/>
      <c r="H9" s="2749"/>
      <c r="I9" s="2749"/>
      <c r="J9" s="2750"/>
      <c r="K9" s="1367"/>
      <c r="L9" s="2723" t="s">
        <v>2827</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54" t="s">
        <v>2828</v>
      </c>
      <c r="X9" s="1608" t="s">
        <v>2829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60"/>
      <c r="B10" s="195" t="s">
        <v>2830</v>
      </c>
      <c r="C10" s="197">
        <f>SUMIF(修正!C59:C119,C8,修正!F59:F119)</f>
        <v>0</v>
      </c>
      <c r="D10" s="197" t="s">
        <v>117</v>
      </c>
      <c r="E10" s="197" t="e">
        <f>ROUND(C11/E7,4)</f>
        <v>#DIV/0!</v>
      </c>
      <c r="F10" s="2748" t="s">
        <v>2831</v>
      </c>
      <c r="G10" s="2749"/>
      <c r="H10" s="2749"/>
      <c r="I10" s="2749"/>
      <c r="J10" s="2750"/>
      <c r="K10" s="1367"/>
      <c r="L10" s="2723" t="s">
        <v>2832</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5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60"/>
      <c r="B11" s="2751" t="s">
        <v>2833</v>
      </c>
      <c r="C11" s="920">
        <f>C10/4</f>
        <v>0</v>
      </c>
      <c r="D11" s="920" t="s">
        <v>118</v>
      </c>
      <c r="E11" s="920" t="e">
        <f>ROUND(C11/E7,4)</f>
        <v>#DIV/0!</v>
      </c>
      <c r="F11" s="2752" t="s">
        <v>2834</v>
      </c>
      <c r="G11" s="2753"/>
      <c r="H11" s="2753"/>
      <c r="I11" s="2753"/>
      <c r="J11" s="2754"/>
      <c r="K11" s="1367"/>
      <c r="L11" s="2723" t="s">
        <v>2835</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54" t="s">
        <v>2836</v>
      </c>
      <c r="X11" s="1611" t="s">
        <v>2837</v>
      </c>
      <c r="Y11" s="1612">
        <f>$G$3</f>
        <v>3.39</v>
      </c>
      <c r="Z11" s="1612">
        <f t="shared" ref="Z11:AJ11" si="3">$G$3</f>
        <v>3.39</v>
      </c>
      <c r="AA11" s="1612">
        <f t="shared" si="3"/>
        <v>3.39</v>
      </c>
      <c r="AB11" s="1612">
        <f t="shared" si="3"/>
        <v>3.39</v>
      </c>
      <c r="AC11" s="1612">
        <f t="shared" si="3"/>
        <v>3.39</v>
      </c>
      <c r="AD11" s="1612">
        <f t="shared" si="3"/>
        <v>3.39</v>
      </c>
      <c r="AE11" s="1612">
        <f t="shared" si="3"/>
        <v>3.39</v>
      </c>
      <c r="AF11" s="1612">
        <f t="shared" si="3"/>
        <v>3.39</v>
      </c>
      <c r="AG11" s="1612">
        <f t="shared" si="3"/>
        <v>3.39</v>
      </c>
      <c r="AH11" s="1612">
        <f t="shared" si="3"/>
        <v>3.39</v>
      </c>
      <c r="AI11" s="1612">
        <f t="shared" si="3"/>
        <v>3.39</v>
      </c>
      <c r="AJ11" s="1612">
        <f t="shared" si="3"/>
        <v>3.39</v>
      </c>
    </row>
    <row r="12" spans="1:36" ht="25.5" thickBot="1">
      <c r="A12" s="3159" t="s">
        <v>2838</v>
      </c>
      <c r="B12" s="2755" t="s">
        <v>2839</v>
      </c>
      <c r="C12" s="916">
        <f>ROUND(C15*D15*E15*F15*G15*H15*I15*J15,4)</f>
        <v>1.21</v>
      </c>
      <c r="D12" s="2756" t="s">
        <v>2840</v>
      </c>
      <c r="E12" s="2757"/>
      <c r="F12" s="2757"/>
      <c r="G12" s="2758"/>
      <c r="H12" s="2758"/>
      <c r="I12" s="2758"/>
      <c r="J12" s="2759"/>
      <c r="K12" s="1367"/>
      <c r="L12" s="2760" t="s">
        <v>2841</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54"/>
      <c r="X12" s="1613" t="s">
        <v>2842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61"/>
      <c r="B13" s="2761" t="s">
        <v>2843</v>
      </c>
      <c r="C13" s="2762" t="s">
        <v>2844</v>
      </c>
      <c r="D13" s="1805" t="s">
        <v>2845</v>
      </c>
      <c r="E13" s="1805" t="s">
        <v>2846</v>
      </c>
      <c r="F13" s="27" t="s">
        <v>2847</v>
      </c>
      <c r="G13" s="2763" t="s">
        <v>2848</v>
      </c>
      <c r="H13" s="2763" t="s">
        <v>2848</v>
      </c>
      <c r="I13" s="2763" t="s">
        <v>2848</v>
      </c>
      <c r="J13" s="2764" t="s">
        <v>2848</v>
      </c>
      <c r="K13" s="1367"/>
      <c r="L13" s="1367"/>
      <c r="M13" s="1367"/>
      <c r="N13" s="1367"/>
      <c r="O13" s="1367"/>
      <c r="P13" s="1367"/>
      <c r="Q13" s="1367"/>
      <c r="R13" s="1599">
        <v>12</v>
      </c>
      <c r="S13" s="1600"/>
      <c r="T13" s="1599">
        <f t="shared" ca="1" si="0"/>
        <v>0</v>
      </c>
      <c r="U13" s="1600"/>
      <c r="V13" s="1599">
        <f t="shared" ca="1" si="1"/>
        <v>0</v>
      </c>
      <c r="W13" s="3154"/>
      <c r="X13" s="1613"/>
      <c r="Y13" s="1610">
        <f>(-0.163*(Y12^2)-0.59*Y12+7617)*(10^(-4))/Y11</f>
        <v>0.22469026548672566</v>
      </c>
      <c r="Z13" s="1610">
        <f t="shared" ref="Z13:AJ13" si="5">(-0.163*(Z12^2)-0.59*Z12+7617)*(10^(-4))/Z11</f>
        <v>0.22469026548672566</v>
      </c>
      <c r="AA13" s="1610">
        <f t="shared" si="5"/>
        <v>0.22469026548672566</v>
      </c>
      <c r="AB13" s="1610">
        <f t="shared" si="5"/>
        <v>0.22469026548672566</v>
      </c>
      <c r="AC13" s="1610">
        <f t="shared" si="5"/>
        <v>0.22469026548672566</v>
      </c>
      <c r="AD13" s="1610">
        <f t="shared" si="5"/>
        <v>0.22469026548672566</v>
      </c>
      <c r="AE13" s="1610">
        <f t="shared" si="5"/>
        <v>0.22469026548672566</v>
      </c>
      <c r="AF13" s="1610">
        <f t="shared" si="5"/>
        <v>0.22469026548672566</v>
      </c>
      <c r="AG13" s="1610">
        <f t="shared" si="5"/>
        <v>0.22469026548672566</v>
      </c>
      <c r="AH13" s="1610">
        <f t="shared" si="5"/>
        <v>0.22469026548672566</v>
      </c>
      <c r="AI13" s="1610">
        <f t="shared" si="5"/>
        <v>0.22469026548672566</v>
      </c>
      <c r="AJ13" s="1610">
        <f t="shared" si="5"/>
        <v>0.22469026548672566</v>
      </c>
    </row>
    <row r="14" spans="1:36" ht="15">
      <c r="A14" s="3161"/>
      <c r="B14" s="2765"/>
      <c r="C14" s="2766" t="s">
        <v>3037</v>
      </c>
      <c r="D14" s="2767" t="s">
        <v>3074</v>
      </c>
      <c r="E14" s="2767" t="s">
        <v>3037</v>
      </c>
      <c r="F14" s="2768" t="s">
        <v>3075</v>
      </c>
      <c r="G14" s="2769" t="s">
        <v>2849</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62"/>
      <c r="B15" s="2773" t="s">
        <v>2850</v>
      </c>
      <c r="C15" s="226">
        <f>IF(C14="有",1.1,1)</f>
        <v>1</v>
      </c>
      <c r="D15" s="226">
        <f>IF(D14="有",1.1,1)</f>
        <v>1.1000000000000001</v>
      </c>
      <c r="E15" s="226">
        <f>IF(E14="有",1.1,1)</f>
        <v>1</v>
      </c>
      <c r="F15" s="226">
        <f>IF(F14="500米范围内",1.2,IF(F14="500-1000米",1.1,1))</f>
        <v>1.1000000000000001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59" t="s">
        <v>2855</v>
      </c>
      <c r="B16" s="2742" t="s">
        <v>2856</v>
      </c>
      <c r="C16" s="2929">
        <f>ROUND(IF(F17="与级别开发程度一致",0,(G17-E17)/C17),0)</f>
        <v>0</v>
      </c>
      <c r="D16" s="3173" t="s">
        <v>2860</v>
      </c>
      <c r="E16" s="3174"/>
      <c r="F16" s="3173" t="s">
        <v>2857</v>
      </c>
      <c r="G16" s="3174"/>
      <c r="H16" s="2776" t="s">
        <v>3040</v>
      </c>
      <c r="I16" s="2776" t="s">
        <v>3041</v>
      </c>
      <c r="J16" s="2933" t="s">
        <v>3042</v>
      </c>
      <c r="K16" s="2776" t="s">
        <v>3043</v>
      </c>
      <c r="L16" s="2776" t="s">
        <v>3044</v>
      </c>
      <c r="M16" s="2776" t="s">
        <v>3046</v>
      </c>
      <c r="N16" s="2776" t="s">
        <v>3045</v>
      </c>
      <c r="O16" s="2777" t="s">
        <v>3076</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63"/>
      <c r="B17" s="2940" t="s">
        <v>2859</v>
      </c>
      <c r="C17" s="2941">
        <f>SUMPRODUCT((修正!A2:A5=E2)*(修正!B1:M1=G2)*(修正!B2:M5))</f>
        <v>2.5</v>
      </c>
      <c r="D17" s="226" t="str">
        <f>IF(OR(G2="八级",G2="九级",G2="十级",G2="十一级",G2="十二级"),"五通一平","七通一平")</f>
        <v>七通一平</v>
      </c>
      <c r="E17" s="2930">
        <f>SUMPRODUCT((修正!B1:M1=G2)*(修正!B15:M15))</f>
        <v>300</v>
      </c>
      <c r="F17" s="2931" t="s">
        <v>3077</v>
      </c>
      <c r="G17" s="2932">
        <f>SUM(H17:O17)</f>
        <v>300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50</v>
      </c>
      <c r="N17" s="2941">
        <f>SUMPRODUCT((七通一平=N16)*(修正!B1:M1=G2)*(修正!B6:M14))</f>
        <v>40</v>
      </c>
      <c r="O17" s="2943">
        <f>SUMPRODUCT((七通一平=O16)*(修正!B1:M1=G2)*(修正!B6:M14))</f>
        <v>15</v>
      </c>
      <c r="Q17" s="1367"/>
      <c r="R17" s="1367"/>
      <c r="S17" s="1367"/>
      <c r="T17" s="1367"/>
      <c r="U17" s="1367"/>
      <c r="V17" s="1367"/>
      <c r="W17" s="1367"/>
      <c r="X17" s="1367"/>
      <c r="Y17" s="1367"/>
      <c r="Z17" s="1368"/>
      <c r="AE17" s="2780"/>
      <c r="AF17" s="2780"/>
      <c r="AG17" s="2717"/>
      <c r="AH17" s="2717"/>
      <c r="AI17" s="2717"/>
      <c r="AJ17" s="2717"/>
    </row>
    <row r="18" spans="1:37" s="2735" customFormat="1" ht="15.75" thickBot="1">
      <c r="A18" s="2934" t="s">
        <v>784</v>
      </c>
      <c r="B18" s="2935" t="s">
        <v>2862</v>
      </c>
      <c r="C18" s="2936">
        <f>SUMIF(修正!C18:C39,E3,修正!E18:E39)</f>
        <v>1</v>
      </c>
      <c r="D18" s="2937"/>
      <c r="E18" s="2938"/>
      <c r="F18" s="2938"/>
      <c r="G18" s="2938"/>
      <c r="H18" s="2938"/>
      <c r="I18" s="2938"/>
      <c r="J18" s="2939"/>
      <c r="K18" s="1374"/>
      <c r="O18" s="1372"/>
      <c r="P18" s="1372"/>
      <c r="Q18" s="1373"/>
      <c r="R18" s="1373"/>
      <c r="S18" s="1373"/>
      <c r="T18" s="1368"/>
      <c r="U18" s="1368"/>
      <c r="V18" s="1368"/>
      <c r="W18" s="1367"/>
      <c r="X18" s="1367"/>
      <c r="Y18" s="1367"/>
      <c r="Z18" s="1374"/>
      <c r="AA18" s="1375"/>
      <c r="AB18" s="1375"/>
      <c r="AC18" s="1375"/>
      <c r="AD18" s="1375"/>
      <c r="AE18" s="1369"/>
      <c r="AF18" s="1369"/>
      <c r="AG18" s="2785"/>
      <c r="AH18" s="2785"/>
      <c r="AI18" s="2785"/>
    </row>
    <row r="19" spans="1:37" s="2735" customFormat="1" ht="29.25" thickBot="1">
      <c r="A19" s="2781" t="s">
        <v>785</v>
      </c>
      <c r="B19" s="2782" t="s">
        <v>2863</v>
      </c>
      <c r="C19" s="921">
        <f>ROUND(IF(H19="按公示增长率计算",SUMPRODUCT((地价!A3:A29=YEAR(G19)&amp;"-"&amp;ROUNDUP(MONTH(G19)/3,0))*(地价!X2:AB2=E2)*(地价!X3:AB29)),IF(H19="地价指数",M20/M19,(1+I19)^O19)),4)</f>
        <v>1.6133999999999999</v>
      </c>
      <c r="D19" s="2786" t="s">
        <v>2864</v>
      </c>
      <c r="E19" s="922">
        <v>41640</v>
      </c>
      <c r="F19" s="2786" t="s">
        <v>2865</v>
      </c>
      <c r="G19" s="923">
        <f>'数据-取费表'!B2</f>
        <v>43832</v>
      </c>
      <c r="H19" s="2787" t="s">
        <v>3078</v>
      </c>
      <c r="I19" s="924" t="str">
        <f>IF(H19="季度增幅（自定义）",SUMIF(N21:N24,E2,O21:O24),"")</f>
        <v/>
      </c>
      <c r="J19" s="2784"/>
      <c r="K19" s="1374"/>
      <c r="L19" s="2788" t="s">
        <v>2866</v>
      </c>
      <c r="M19" s="1731">
        <f>ROUND(SUMIF(地价!B2:F2,E2,地价!B29:F29),0)</f>
        <v>423</v>
      </c>
      <c r="N19" s="2789" t="s">
        <v>2867</v>
      </c>
      <c r="O19" s="925">
        <f>ROUNDDOWN(DATEDIF(E19,G19,"M")/3,0)</f>
        <v>24</v>
      </c>
      <c r="P19" s="1371"/>
      <c r="Q19" s="1373"/>
      <c r="R19" s="1373"/>
      <c r="S19" s="1373"/>
      <c r="T19" s="1368"/>
      <c r="U19" s="1368"/>
      <c r="V19" s="1368"/>
      <c r="W19" s="1367"/>
      <c r="X19" s="1367"/>
      <c r="Y19" s="1367"/>
      <c r="Z19" s="1374"/>
      <c r="AA19" s="1375"/>
      <c r="AB19" s="1375"/>
      <c r="AC19" s="1375"/>
      <c r="AD19" s="1375"/>
      <c r="AE19" s="1375"/>
      <c r="AF19" s="2790"/>
      <c r="AG19" s="2791"/>
      <c r="AH19" s="2785"/>
      <c r="AI19" s="2792"/>
      <c r="AJ19" s="2792"/>
      <c r="AK19" s="2792"/>
    </row>
    <row r="20" spans="1:37" s="2735" customFormat="1" ht="27.75" thickBot="1">
      <c r="A20" s="2793" t="s">
        <v>786</v>
      </c>
      <c r="B20" s="2794" t="s">
        <v>2868</v>
      </c>
      <c r="C20" s="926">
        <f ca="1">ROUND(POWER(1+G20,J20-I20)*(POWER(1+G20,I20)-1)/(POWER(1+G20,J20)-1),4)</f>
        <v>0.9819</v>
      </c>
      <c r="D20" s="2795" t="s">
        <v>2869</v>
      </c>
      <c r="E20" s="1765">
        <f ca="1">存贷款利率!D4/100</f>
        <v>4.3499999999999997E-2</v>
      </c>
      <c r="F20" s="2795" t="s">
        <v>2861</v>
      </c>
      <c r="G20" s="931">
        <f ca="1">SUMIF(M26:P26,E2,M28:P28)</f>
        <v>0.05</v>
      </c>
      <c r="H20" s="2795" t="s">
        <v>2870</v>
      </c>
      <c r="I20" s="932">
        <f>SUMIF('数据-取费表'!C6:C15,E2,'数据-取费表'!F6:F15)/COUNTIF('数据-取费表'!C6:C15,E2)</f>
        <v>61.26</v>
      </c>
      <c r="J20" s="933">
        <f>IF(E2="住宅",70,IF(E2="商业",40,50))</f>
        <v>70</v>
      </c>
      <c r="K20" s="1374"/>
      <c r="L20" s="2796" t="s">
        <v>2871</v>
      </c>
      <c r="M20" s="1732">
        <f>ROUND(SUMPRODUCT((地价!A4:A29=YEAR(G19)&amp;"-"&amp;ROUNDUP(MONTH(G19)/3,0))*(地价!B2:F2=E2)*(地价!B4:F29)),0)</f>
        <v>682</v>
      </c>
      <c r="N20" s="2797" t="s">
        <v>2872</v>
      </c>
      <c r="O20" s="2798" t="s">
        <v>2873</v>
      </c>
      <c r="P20" s="2799" t="s">
        <v>2874</v>
      </c>
      <c r="R20" s="1373"/>
      <c r="S20" s="1373"/>
      <c r="T20" s="1368"/>
      <c r="U20" s="1368"/>
      <c r="V20" s="1368"/>
      <c r="W20" s="1367"/>
      <c r="X20" s="1367"/>
      <c r="Y20" s="1367"/>
      <c r="Z20" s="1374"/>
      <c r="AA20" s="1375"/>
      <c r="AB20" s="1375"/>
      <c r="AC20" s="1375"/>
      <c r="AD20" s="1375"/>
      <c r="AE20" s="1375"/>
      <c r="AF20" s="1375"/>
    </row>
    <row r="21" spans="1:37" s="2735" customFormat="1" ht="15">
      <c r="A21" s="2800" t="s">
        <v>787</v>
      </c>
      <c r="B21" s="2801" t="s">
        <v>3079</v>
      </c>
      <c r="C21" s="934">
        <f>IF(B21="容积率修正",IF(G3&lt;=10,D22,J22),C23)</f>
        <v>0.92459999999999998</v>
      </c>
      <c r="D21" s="2802"/>
      <c r="E21" s="2802"/>
      <c r="F21" s="2802"/>
      <c r="G21" s="2802"/>
      <c r="H21" s="2802"/>
      <c r="I21" s="2802"/>
      <c r="J21" s="2803"/>
      <c r="K21" s="1374"/>
      <c r="N21" s="2804" t="s">
        <v>2875</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5" customFormat="1" ht="14.25">
      <c r="A22" s="2661" t="s">
        <v>2876</v>
      </c>
      <c r="B22" s="2805" t="s">
        <v>2877</v>
      </c>
      <c r="C22" s="1807" t="s">
        <v>2878</v>
      </c>
      <c r="D22" s="1807">
        <f>IF(E22=G22,F22,IF(G3&lt;=10,ROUND(F22+(H22-F22)*(G3-E22)/(G22-E22),4),"——"))</f>
        <v>0.92459999999999998</v>
      </c>
      <c r="E22" s="913">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0.93069999999999997</v>
      </c>
      <c r="G22" s="913">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0.92390000000000005</v>
      </c>
      <c r="I22" s="1807" t="s">
        <v>131</v>
      </c>
      <c r="J22" s="935" t="str">
        <f>IF(G3&gt;10,D113,"——")</f>
        <v>——</v>
      </c>
      <c r="K22" s="1374"/>
      <c r="N22" s="2804" t="s">
        <v>2879</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7.75" thickBot="1">
      <c r="A23" s="2661" t="s">
        <v>2880</v>
      </c>
      <c r="B23" s="2806" t="s">
        <v>2881</v>
      </c>
      <c r="C23" s="1010">
        <f>ROUND(IF(G3&gt;1,IF(I3&lt;7,SUMPRODUCT((B93:B98=I3)*(C92:N92=G2)*(C93:N98)),SUMIF(C92:N92,G2,C100:N100)),IF(I3&lt;7,SUMPRODUCT((B102:B107=I3)*(C92:N92=G2)*(C102:N107)),SUMIF(C92:N92,G2,C109:N109))),4)</f>
        <v>0</v>
      </c>
      <c r="D23" s="2770"/>
      <c r="E23" s="2770"/>
      <c r="F23" s="2807"/>
      <c r="G23" s="2808"/>
      <c r="H23" s="2809"/>
      <c r="I23" s="2810"/>
      <c r="J23" s="2811"/>
      <c r="K23" s="1367"/>
      <c r="N23" s="2804" t="s">
        <v>2882</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5"/>
    </row>
    <row r="24" spans="1:37" s="2735" customFormat="1" ht="15.75" thickBot="1">
      <c r="A24" s="2793" t="s">
        <v>788</v>
      </c>
      <c r="B24" s="2782" t="s">
        <v>2883</v>
      </c>
      <c r="C24" s="921">
        <f>SUMIF(A45:A88,E2,B45:B88)</f>
        <v>1.0658000000000001</v>
      </c>
      <c r="D24" s="2783"/>
      <c r="E24" s="2812"/>
      <c r="F24" s="2812"/>
      <c r="G24" s="2812"/>
      <c r="H24" s="2812"/>
      <c r="I24" s="2812"/>
      <c r="J24" s="2813"/>
      <c r="K24" s="1374"/>
      <c r="N24" s="2814" t="s">
        <v>2884</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75" thickBot="1">
      <c r="A25" s="2793" t="s">
        <v>789</v>
      </c>
      <c r="B25" s="2815" t="s">
        <v>2885</v>
      </c>
      <c r="C25" s="927"/>
      <c r="D25" s="2745"/>
      <c r="E25" s="2745"/>
      <c r="F25" s="2816"/>
      <c r="G25" s="2745"/>
      <c r="H25" s="2745"/>
      <c r="I25" s="2745"/>
      <c r="J25" s="2746"/>
      <c r="K25" s="1367"/>
      <c r="N25" s="2817" t="s">
        <v>2886</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5">
      <c r="A26" s="2818"/>
      <c r="B26" s="2805" t="s">
        <v>2887</v>
      </c>
      <c r="C26" s="203">
        <f ca="1">E29+SUM(E33:E39)</f>
        <v>77912</v>
      </c>
      <c r="D26" s="2819"/>
      <c r="E26" s="2770"/>
      <c r="F26" s="2820"/>
      <c r="G26" s="2770"/>
      <c r="H26" s="2770"/>
      <c r="I26" s="2770"/>
      <c r="J26" s="2821"/>
      <c r="K26" s="1367"/>
      <c r="L26" s="2774" t="s">
        <v>2786</v>
      </c>
      <c r="M26" s="917" t="s">
        <v>2851</v>
      </c>
      <c r="N26" s="917" t="s">
        <v>2852</v>
      </c>
      <c r="O26" s="917" t="s">
        <v>2853</v>
      </c>
      <c r="P26" s="2775" t="s">
        <v>2854</v>
      </c>
      <c r="R26" s="1373"/>
      <c r="S26" s="1373"/>
      <c r="T26" s="1368"/>
      <c r="U26" s="1368"/>
      <c r="V26" s="1368"/>
      <c r="W26" s="1367"/>
      <c r="X26" s="1367"/>
      <c r="Y26" s="1367"/>
      <c r="Z26" s="1374"/>
      <c r="AA26" s="1375"/>
      <c r="AB26" s="1375"/>
      <c r="AC26" s="1375"/>
      <c r="AD26" s="1375"/>
    </row>
    <row r="27" spans="1:37" ht="15.75" thickBot="1">
      <c r="A27" s="2818"/>
      <c r="B27" s="2822" t="s">
        <v>2888</v>
      </c>
      <c r="C27" s="928">
        <f ca="1">E30+SUM(I33:I39)</f>
        <v>969</v>
      </c>
      <c r="D27" s="2823"/>
      <c r="E27" s="2824"/>
      <c r="F27" s="2825"/>
      <c r="G27" s="2824"/>
      <c r="H27" s="2824"/>
      <c r="I27" s="2824"/>
      <c r="J27" s="2826"/>
      <c r="K27" s="1367"/>
      <c r="L27" s="2778" t="s">
        <v>2858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7"/>
      <c r="B28" s="2828" t="s">
        <v>2889</v>
      </c>
      <c r="C28" s="2829" t="s">
        <v>2890</v>
      </c>
      <c r="D28" s="2829" t="s">
        <v>2891</v>
      </c>
      <c r="E28" s="2830" t="s">
        <v>2892</v>
      </c>
      <c r="F28" s="2831"/>
      <c r="G28" s="2758"/>
      <c r="H28" s="2758"/>
      <c r="I28" s="2758"/>
      <c r="J28" s="2759"/>
      <c r="K28" s="1367"/>
      <c r="L28" s="2779" t="s">
        <v>2861</v>
      </c>
      <c r="M28" s="208">
        <f ca="1">ROUND($E$20*(1+M27),3)</f>
        <v>5.3999999999999999E-2</v>
      </c>
      <c r="N28" s="208">
        <f ca="1">ROUND($E$20*(1+N27),3)</f>
        <v>5.1999999999999998E-2</v>
      </c>
      <c r="O28" s="208">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2"/>
      <c r="B29" s="2833" t="s">
        <v>2893</v>
      </c>
      <c r="C29" s="203">
        <f ca="1">ROUND(C5*C18*C19*C20*C21*C24,0)</f>
        <v>19986</v>
      </c>
      <c r="D29" s="2834">
        <f>'数据-汇总表'!F19</f>
        <v>37043.53</v>
      </c>
      <c r="E29" s="939">
        <f ca="1">ROUND(C29*D29/10000,0)</f>
        <v>74035</v>
      </c>
      <c r="F29" s="2835" t="s">
        <v>2894</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7"/>
      <c r="AH29" s="2717"/>
      <c r="AI29" s="2717"/>
      <c r="AJ29" s="2717"/>
    </row>
    <row r="30" spans="1:37" ht="25.5" thickBot="1">
      <c r="A30" s="2838"/>
      <c r="B30" s="2839" t="s">
        <v>2895</v>
      </c>
      <c r="C30" s="226">
        <f ca="1">ROUND(IF(E2="工业",C29*M39,C29*M38),0)</f>
        <v>4997</v>
      </c>
      <c r="D30" s="2840"/>
      <c r="E30" s="939">
        <f ca="1">ROUND(C30*D30/10000,0)</f>
        <v>0</v>
      </c>
      <c r="F30" s="2841" t="s">
        <v>2896</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7"/>
      <c r="AH30" s="2717"/>
      <c r="AI30" s="2717"/>
      <c r="AJ30" s="2717"/>
    </row>
    <row r="31" spans="1:37" ht="14.25">
      <c r="A31" s="2844"/>
      <c r="B31" s="2845" t="s">
        <v>2897</v>
      </c>
      <c r="C31" s="2846" t="s">
        <v>2898</v>
      </c>
      <c r="D31" s="2758"/>
      <c r="E31" s="2846"/>
      <c r="F31" s="2846"/>
      <c r="G31" s="2756" t="s">
        <v>2899</v>
      </c>
      <c r="H31" s="2758"/>
      <c r="I31" s="2847"/>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7"/>
      <c r="AH31" s="2717"/>
      <c r="AI31" s="2717"/>
      <c r="AJ31" s="2717"/>
    </row>
    <row r="32" spans="1:37" ht="24">
      <c r="A32" s="2832"/>
      <c r="B32" s="2848"/>
      <c r="C32" s="498" t="s">
        <v>2890</v>
      </c>
      <c r="D32" s="495" t="s">
        <v>2891</v>
      </c>
      <c r="E32" s="495" t="s">
        <v>2892</v>
      </c>
      <c r="F32" s="385" t="s">
        <v>2900</v>
      </c>
      <c r="G32" s="2849" t="s">
        <v>2890</v>
      </c>
      <c r="H32" s="2849" t="s">
        <v>2891</v>
      </c>
      <c r="I32" s="2849" t="s">
        <v>2892</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7"/>
      <c r="AH32" s="2717"/>
      <c r="AI32" s="2717"/>
      <c r="AJ32" s="2717"/>
    </row>
    <row r="33" spans="1:37" ht="36" customHeight="1">
      <c r="A33" s="3170" t="s">
        <v>2901</v>
      </c>
      <c r="B33" s="2850" t="s">
        <v>2902</v>
      </c>
      <c r="C33" s="203">
        <f ca="1">ROUND(D5*C19*C20*C24*F33,0)</f>
        <v>12505</v>
      </c>
      <c r="D33" s="2834"/>
      <c r="E33" s="197">
        <f ca="1">ROUND(C33*D33/10000,0)</f>
        <v>0</v>
      </c>
      <c r="F33" s="197">
        <f>SUMIF(修正!A45:A56,G2,修正!B45:B56)</f>
        <v>0.7</v>
      </c>
      <c r="G33" s="197">
        <f t="shared" ref="G33" ca="1" si="6">ROUND(IF(E2="工业",C33*$M$39,C33*$M$38),0)</f>
        <v>3126</v>
      </c>
      <c r="H33" s="197">
        <f>D33</f>
        <v>0</v>
      </c>
      <c r="I33" s="197">
        <f ca="1">ROUND(G33*H33/10000,0)</f>
        <v>0</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71"/>
      <c r="B34" s="2762" t="s">
        <v>2903</v>
      </c>
      <c r="C34" s="203">
        <f ca="1">ROUND(D5*C19*C20*C24*F34,0)</f>
        <v>7145</v>
      </c>
      <c r="D34" s="2834"/>
      <c r="E34" s="197">
        <f t="shared" ref="E34:E39" ca="1" si="7">ROUND(C34*D34/10000,0)</f>
        <v>0</v>
      </c>
      <c r="F34" s="197">
        <f>SUMIF(修正!A45:A56,G2,修正!C45:C56)</f>
        <v>0.4</v>
      </c>
      <c r="G34" s="197">
        <f ca="1">ROUND(IF(E2="工业",C34*$M$39,C34*$M$38),0)</f>
        <v>1786</v>
      </c>
      <c r="H34" s="197">
        <f t="shared" ref="H34:H39" si="8">D34</f>
        <v>0</v>
      </c>
      <c r="I34" s="197">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71"/>
      <c r="B35" s="2762" t="s">
        <v>2904</v>
      </c>
      <c r="C35" s="203">
        <f ca="1">ROUND(D5*C19*C20*C24*F35,0)</f>
        <v>5002</v>
      </c>
      <c r="D35" s="2834"/>
      <c r="E35" s="197">
        <f t="shared" ca="1" si="7"/>
        <v>0</v>
      </c>
      <c r="F35" s="197">
        <f>SUMIF(修正!A45:A56,G2,修正!D45:D56)</f>
        <v>0.28000000000000003</v>
      </c>
      <c r="G35" s="197">
        <f ca="1">ROUND(IF(E2="工业",C35*$M$39,C35*$M$38),0)</f>
        <v>1251</v>
      </c>
      <c r="H35" s="197">
        <f t="shared" si="8"/>
        <v>0</v>
      </c>
      <c r="I35" s="197">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72"/>
      <c r="B36" s="2762" t="s">
        <v>2905</v>
      </c>
      <c r="C36" s="203">
        <f ca="1">ROUND(D5*C19*C20*C24*F36,0)</f>
        <v>4466</v>
      </c>
      <c r="D36" s="2834"/>
      <c r="E36" s="197">
        <f t="shared" ca="1" si="7"/>
        <v>0</v>
      </c>
      <c r="F36" s="197">
        <f>SUMIF(修正!A45:A56,G2,修正!E45:E56)</f>
        <v>0.25</v>
      </c>
      <c r="G36" s="197">
        <f ca="1">ROUND(IF(E2="工业",C36*$M$39,C36*$M$38),0)</f>
        <v>1117</v>
      </c>
      <c r="H36" s="197">
        <f t="shared" si="8"/>
        <v>0</v>
      </c>
      <c r="I36" s="197">
        <f t="shared" ca="1" si="9"/>
        <v>0</v>
      </c>
      <c r="J36" s="2851"/>
      <c r="K36" s="1367"/>
      <c r="L36" s="2716"/>
      <c r="M36" s="2716"/>
      <c r="N36" s="1367"/>
      <c r="O36" s="1367"/>
      <c r="P36" s="1367"/>
      <c r="Q36" s="1367"/>
      <c r="R36" s="1367"/>
      <c r="S36" s="1367"/>
      <c r="T36" s="1367"/>
      <c r="U36" s="1367"/>
      <c r="V36" s="1367"/>
      <c r="W36" s="1367"/>
      <c r="X36" s="1367"/>
      <c r="Y36" s="1367"/>
      <c r="Z36" s="1368"/>
    </row>
    <row r="37" spans="1:37">
      <c r="A37" s="2852"/>
      <c r="B37" s="2762" t="s">
        <v>2906</v>
      </c>
      <c r="C37" s="197">
        <f ca="1">ROUND(D5*C19*C20*C24*F37,0)</f>
        <v>4466</v>
      </c>
      <c r="D37" s="2834"/>
      <c r="E37" s="197">
        <f t="shared" ca="1" si="7"/>
        <v>0</v>
      </c>
      <c r="F37" s="203">
        <f>SUMIF(修正!A45:A56,G2,修正!F45:F56)</f>
        <v>0.25</v>
      </c>
      <c r="G37" s="197">
        <f ca="1">ROUND(IF(E2="工业",C37*$M$39,C37*$M$38),0)</f>
        <v>1117</v>
      </c>
      <c r="H37" s="197">
        <f t="shared" si="8"/>
        <v>0</v>
      </c>
      <c r="I37" s="197">
        <f t="shared" ca="1" si="9"/>
        <v>0</v>
      </c>
      <c r="J37" s="2851"/>
      <c r="K37" s="1367"/>
      <c r="L37" s="2853" t="s">
        <v>2907</v>
      </c>
      <c r="M37" s="2854"/>
      <c r="N37" s="1367"/>
      <c r="O37" s="1367"/>
      <c r="P37" s="1367"/>
      <c r="Q37" s="1367"/>
      <c r="R37" s="1367"/>
      <c r="S37" s="1367"/>
      <c r="T37" s="1367"/>
      <c r="U37" s="1367"/>
      <c r="V37" s="1367"/>
      <c r="W37" s="1367"/>
      <c r="X37" s="1367"/>
      <c r="Y37" s="1367"/>
      <c r="Z37" s="1368"/>
    </row>
    <row r="38" spans="1:37">
      <c r="A38" s="2852"/>
      <c r="B38" s="2762" t="s">
        <v>2908</v>
      </c>
      <c r="C38" s="197">
        <f ca="1">ROUND(D5*C19*C41*C24*F38,0)</f>
        <v>4317</v>
      </c>
      <c r="D38" s="2834">
        <f>'数据-汇总表'!G20</f>
        <v>8980.48</v>
      </c>
      <c r="E38" s="197">
        <f t="shared" ca="1" si="7"/>
        <v>3877</v>
      </c>
      <c r="F38" s="203">
        <f>SUMIF(修正!A45:A56,G2,修正!G45:G56)</f>
        <v>0.25</v>
      </c>
      <c r="G38" s="197">
        <f ca="1">ROUND(IF(E2="工业",C38*$M$39,C38*$M$38),0)</f>
        <v>1079</v>
      </c>
      <c r="H38" s="197">
        <f t="shared" si="8"/>
        <v>8980.48</v>
      </c>
      <c r="I38" s="197">
        <f t="shared" ca="1" si="9"/>
        <v>969</v>
      </c>
      <c r="J38" s="2851"/>
      <c r="K38" s="1367"/>
      <c r="L38" s="1884" t="s">
        <v>2909</v>
      </c>
      <c r="M38" s="2855">
        <v>0.25</v>
      </c>
      <c r="N38" s="1367"/>
      <c r="O38" s="1367"/>
      <c r="P38" s="1367"/>
      <c r="Q38" s="1367"/>
      <c r="R38" s="1367"/>
      <c r="S38" s="1367"/>
      <c r="T38" s="1367"/>
      <c r="U38" s="1367"/>
      <c r="V38" s="1367"/>
      <c r="W38" s="1367"/>
      <c r="X38" s="1367"/>
      <c r="Y38" s="1367"/>
      <c r="Z38" s="1368"/>
    </row>
    <row r="39" spans="1:37" ht="13.5" thickBot="1">
      <c r="A39" s="2838"/>
      <c r="B39" s="2856" t="s">
        <v>2910</v>
      </c>
      <c r="C39" s="226">
        <f ca="1">ROUND(D5*C19*C41*C24*F39,0)</f>
        <v>3453</v>
      </c>
      <c r="D39" s="2840"/>
      <c r="E39" s="226">
        <f t="shared" ca="1" si="7"/>
        <v>0</v>
      </c>
      <c r="F39" s="929">
        <f>SUMIF(修正!A45:A56,G2,修正!H45:H56)</f>
        <v>0.2</v>
      </c>
      <c r="G39" s="226">
        <f ca="1">ROUND(IF(E2="工业",C39*$M$39,C39*$M$38),0)</f>
        <v>863</v>
      </c>
      <c r="H39" s="226">
        <f t="shared" si="8"/>
        <v>0</v>
      </c>
      <c r="I39" s="226">
        <f t="shared" ca="1" si="9"/>
        <v>0</v>
      </c>
      <c r="J39" s="2857"/>
      <c r="K39" s="1367"/>
      <c r="L39" s="2858" t="s">
        <v>2854</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7" t="s">
        <v>3018</v>
      </c>
      <c r="C41" s="385">
        <f ca="1">ROUND(POWER(1+E41,H41-G41)*(POWER(1+E41,G41)-1)/(POWER(1+E41,H41)-1),4)</f>
        <v>0.94910000000000005</v>
      </c>
      <c r="D41" s="197" t="s">
        <v>2861</v>
      </c>
      <c r="E41" s="2926">
        <f ca="1">G20</f>
        <v>0.05</v>
      </c>
      <c r="F41" s="197" t="s">
        <v>2870</v>
      </c>
      <c r="G41" s="215">
        <f>项目基本情况!H15</f>
        <v>41.25</v>
      </c>
      <c r="H41" s="197">
        <v>50</v>
      </c>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2911</v>
      </c>
      <c r="B45" s="2862"/>
      <c r="C45" s="4"/>
      <c r="D45" s="4"/>
      <c r="E45" s="4"/>
      <c r="F45" s="3"/>
      <c r="G45" s="3"/>
      <c r="H45" s="3"/>
      <c r="I45" s="4"/>
      <c r="J45" s="4"/>
      <c r="K45" s="4"/>
      <c r="L45" s="4"/>
      <c r="M45" s="4"/>
      <c r="N45" s="2780"/>
      <c r="Z45" s="1368"/>
      <c r="AA45" s="1368"/>
      <c r="AB45" s="1368"/>
      <c r="AC45" s="1368"/>
      <c r="AD45" s="1368"/>
      <c r="AE45" s="1368"/>
      <c r="AF45" s="1368"/>
      <c r="AG45" s="1368"/>
      <c r="AH45" s="1368"/>
      <c r="AI45" s="1368"/>
      <c r="AJ45" s="1368"/>
    </row>
    <row r="46" spans="1:37" s="1367" customFormat="1" ht="15" hidden="1">
      <c r="A46" s="2863" t="s">
        <v>2912</v>
      </c>
      <c r="B46" s="2864">
        <f>1+E48</f>
        <v>1</v>
      </c>
      <c r="C46" s="2865"/>
      <c r="D46" s="811"/>
      <c r="E46" s="812"/>
      <c r="F46" s="2866"/>
      <c r="G46" s="3"/>
      <c r="H46" s="4"/>
      <c r="I46" s="4"/>
      <c r="J46" s="4"/>
      <c r="K46" s="4"/>
      <c r="L46" s="4"/>
      <c r="M46" s="4"/>
      <c r="N46" s="2780"/>
      <c r="Z46" s="1368"/>
      <c r="AA46" s="1368"/>
      <c r="AB46" s="1368"/>
      <c r="AC46" s="1368"/>
      <c r="AD46" s="1368"/>
      <c r="AE46" s="1368"/>
      <c r="AF46" s="1368"/>
      <c r="AG46" s="1368"/>
      <c r="AH46" s="1368"/>
      <c r="AI46" s="1368"/>
      <c r="AJ46" s="1368"/>
    </row>
    <row r="47" spans="1:37" s="1367" customFormat="1" ht="24.75" hidden="1">
      <c r="A47" s="2867" t="s">
        <v>2913</v>
      </c>
      <c r="B47" s="1806" t="s">
        <v>2914</v>
      </c>
      <c r="C47" s="1806" t="s">
        <v>2915</v>
      </c>
      <c r="D47" s="1806" t="s">
        <v>2916</v>
      </c>
      <c r="E47" s="816" t="s">
        <v>2917</v>
      </c>
      <c r="F47" s="2868" t="s">
        <v>2918</v>
      </c>
      <c r="G47" s="1806" t="s">
        <v>730</v>
      </c>
      <c r="H47" s="2869" t="s">
        <v>2919</v>
      </c>
      <c r="I47" s="1806" t="s">
        <v>2920</v>
      </c>
      <c r="J47" s="600" t="s">
        <v>2569</v>
      </c>
      <c r="K47" s="600" t="s">
        <v>2570</v>
      </c>
      <c r="L47" s="600" t="s">
        <v>2571</v>
      </c>
      <c r="M47" s="600" t="s">
        <v>2572</v>
      </c>
      <c r="N47" s="600" t="s">
        <v>2573</v>
      </c>
      <c r="AA47" s="1368"/>
      <c r="AB47" s="1368"/>
      <c r="AC47" s="1368"/>
      <c r="AD47" s="1368"/>
      <c r="AE47" s="1368"/>
      <c r="AF47" s="1368"/>
      <c r="AG47" s="1368"/>
      <c r="AH47" s="1368"/>
      <c r="AI47" s="1368"/>
      <c r="AJ47" s="1368"/>
      <c r="AK47" s="1368"/>
    </row>
    <row r="48" spans="1:37" s="1367" customFormat="1" ht="38.25" hidden="1">
      <c r="A48" s="2867" t="s">
        <v>2921</v>
      </c>
      <c r="B48" s="2870" t="str">
        <f>估价对象房地状况!C4</f>
        <v>估价对象位于XX商圈，周边商业氛围成熟，人流量大，商业繁华度好</v>
      </c>
      <c r="C48" s="2767"/>
      <c r="D48" s="1283">
        <f t="shared" ref="D48:D56" si="10">SUMIF($J$47:$N$47,C48,J48:N48)</f>
        <v>0</v>
      </c>
      <c r="E48" s="818">
        <f>ROUND(SUM(D48:D56),4)</f>
        <v>0</v>
      </c>
      <c r="F48" s="249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67" t="s">
        <v>2922</v>
      </c>
      <c r="B49" s="2871" t="str">
        <f>估价对象房地状况!C18</f>
        <v>估价对象周边道路状况、公共交通通达情况、停车便捷程度，综合评价交通便捷度较好</v>
      </c>
      <c r="C49" s="2767"/>
      <c r="D49" s="1283">
        <f t="shared" si="10"/>
        <v>0</v>
      </c>
      <c r="E49" s="819"/>
      <c r="F49" s="249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67" t="s">
        <v>2923</v>
      </c>
      <c r="B50" s="2871">
        <f>估价对象房地状况!C19</f>
        <v>0</v>
      </c>
      <c r="C50" s="2767"/>
      <c r="D50" s="1283">
        <f t="shared" si="10"/>
        <v>0</v>
      </c>
      <c r="E50" s="819"/>
      <c r="F50" s="249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67" t="s">
        <v>2924</v>
      </c>
      <c r="B51" s="2872" t="s">
        <v>2925</v>
      </c>
      <c r="C51" s="2767"/>
      <c r="D51" s="1283">
        <f t="shared" si="10"/>
        <v>0</v>
      </c>
      <c r="E51" s="819"/>
      <c r="F51" s="249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67" t="s">
        <v>2926</v>
      </c>
      <c r="B52" s="2871">
        <f>估价对象房地状况!C24</f>
        <v>0</v>
      </c>
      <c r="C52" s="2767"/>
      <c r="D52" s="1283">
        <f t="shared" si="10"/>
        <v>0</v>
      </c>
      <c r="E52" s="819"/>
      <c r="F52" s="249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67" t="s">
        <v>2927</v>
      </c>
      <c r="B53" s="2873" t="s">
        <v>2928</v>
      </c>
      <c r="C53" s="2767"/>
      <c r="D53" s="1283">
        <f t="shared" si="10"/>
        <v>0</v>
      </c>
      <c r="E53" s="819"/>
      <c r="F53" s="249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74" t="s">
        <v>2929</v>
      </c>
      <c r="B54" s="1722" t="str">
        <f>估价对象房地状况!C21</f>
        <v>估价对象所在区域公共配套设施齐备情况</v>
      </c>
      <c r="C54" s="2767"/>
      <c r="D54" s="1283">
        <f t="shared" si="10"/>
        <v>0</v>
      </c>
      <c r="E54" s="819"/>
      <c r="F54" s="249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74" t="s">
        <v>2930</v>
      </c>
      <c r="B55" s="2871" t="str">
        <f>估价对象房地状况!C22</f>
        <v>估价对象所在区域基础设施水平</v>
      </c>
      <c r="C55" s="2767"/>
      <c r="D55" s="1283">
        <f t="shared" si="10"/>
        <v>0</v>
      </c>
      <c r="E55" s="819"/>
      <c r="F55" s="249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75" t="s">
        <v>2931</v>
      </c>
      <c r="B56" s="2876" t="str">
        <f>估价对象房地状况!C20</f>
        <v>区域自然环境：；人文环境；综合评价环境状况一般</v>
      </c>
      <c r="C56" s="2767"/>
      <c r="D56" s="1283">
        <f t="shared" si="10"/>
        <v>0</v>
      </c>
      <c r="E56" s="822"/>
      <c r="F56" s="249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63" t="s">
        <v>2932</v>
      </c>
      <c r="B57" s="2864">
        <f>1+E59</f>
        <v>1</v>
      </c>
      <c r="C57" s="811"/>
      <c r="D57" s="811"/>
      <c r="E57" s="812"/>
      <c r="F57" s="2866"/>
      <c r="G57" s="3"/>
      <c r="H57" s="3"/>
      <c r="I57" s="3"/>
      <c r="J57" s="4"/>
      <c r="K57" s="4"/>
      <c r="L57" s="4"/>
      <c r="M57" s="4"/>
      <c r="N57" s="4"/>
      <c r="AA57" s="1368"/>
      <c r="AB57" s="1368"/>
      <c r="AC57" s="1368"/>
      <c r="AD57" s="1368"/>
      <c r="AE57" s="1368"/>
      <c r="AF57" s="1368"/>
      <c r="AG57" s="1368"/>
      <c r="AH57" s="1368"/>
      <c r="AI57" s="1368"/>
      <c r="AJ57" s="1368"/>
      <c r="AK57" s="1368"/>
    </row>
    <row r="58" spans="1:37" s="1367" customFormat="1" ht="24.75" hidden="1">
      <c r="A58" s="2867" t="s">
        <v>2913</v>
      </c>
      <c r="B58" s="1806"/>
      <c r="C58" s="1806" t="s">
        <v>2915</v>
      </c>
      <c r="D58" s="1806" t="s">
        <v>2916</v>
      </c>
      <c r="E58" s="816" t="s">
        <v>2917</v>
      </c>
      <c r="F58" s="2868" t="s">
        <v>2933</v>
      </c>
      <c r="G58" s="1806" t="s">
        <v>730</v>
      </c>
      <c r="H58" s="2869" t="s">
        <v>2919</v>
      </c>
      <c r="I58" s="1806" t="s">
        <v>2920</v>
      </c>
      <c r="J58" s="600" t="s">
        <v>2569</v>
      </c>
      <c r="K58" s="600" t="s">
        <v>2570</v>
      </c>
      <c r="L58" s="600" t="s">
        <v>2571</v>
      </c>
      <c r="M58" s="600" t="s">
        <v>2572</v>
      </c>
      <c r="N58" s="600" t="s">
        <v>2573</v>
      </c>
      <c r="AA58" s="1368"/>
      <c r="AB58" s="1368"/>
      <c r="AC58" s="1368"/>
      <c r="AD58" s="1368"/>
      <c r="AE58" s="1368"/>
      <c r="AF58" s="1368"/>
      <c r="AG58" s="1368"/>
      <c r="AH58" s="1368"/>
      <c r="AI58" s="1368"/>
      <c r="AJ58" s="1368"/>
      <c r="AK58" s="1368"/>
    </row>
    <row r="59" spans="1:37" s="1367" customFormat="1" ht="38.25" hidden="1">
      <c r="A59" s="2867" t="s">
        <v>2934</v>
      </c>
      <c r="B59" s="2870" t="str">
        <f>估价对象房地状况!C17</f>
        <v>估价对象位于XX商圈，周边办公楼项目较多，入驻率高，办公集聚程度较好</v>
      </c>
      <c r="C59" s="2767"/>
      <c r="D59" s="1283">
        <f t="shared" ref="D59:D67" si="15">SUMIF($J$58:$N$58,C59,J59:N59)</f>
        <v>0</v>
      </c>
      <c r="E59" s="818">
        <f>ROUND(SUM(D59:D67),4)</f>
        <v>0</v>
      </c>
      <c r="F59" s="249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67" t="s">
        <v>2922</v>
      </c>
      <c r="B60" s="2871" t="str">
        <f>估价对象房地状况!C18</f>
        <v>估价对象周边道路状况、公共交通通达情况、停车便捷程度，综合评价交通便捷度较好</v>
      </c>
      <c r="C60" s="2767"/>
      <c r="D60" s="1283">
        <f t="shared" si="15"/>
        <v>0</v>
      </c>
      <c r="E60" s="819"/>
      <c r="F60" s="249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67" t="s">
        <v>2923</v>
      </c>
      <c r="B61" s="2871">
        <f>估价对象房地状况!C19</f>
        <v>0</v>
      </c>
      <c r="C61" s="2767"/>
      <c r="D61" s="1283">
        <f t="shared" si="15"/>
        <v>0</v>
      </c>
      <c r="E61" s="819"/>
      <c r="F61" s="249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67" t="s">
        <v>2924</v>
      </c>
      <c r="B62" s="2872" t="s">
        <v>2925</v>
      </c>
      <c r="C62" s="2767"/>
      <c r="D62" s="1283">
        <f t="shared" si="15"/>
        <v>0</v>
      </c>
      <c r="E62" s="819"/>
      <c r="F62" s="249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67" t="s">
        <v>2926</v>
      </c>
      <c r="B63" s="2871">
        <f>估价对象房地状况!C24</f>
        <v>0</v>
      </c>
      <c r="C63" s="2767"/>
      <c r="D63" s="1283">
        <f t="shared" si="15"/>
        <v>0</v>
      </c>
      <c r="E63" s="819"/>
      <c r="F63" s="249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67" t="s">
        <v>2927</v>
      </c>
      <c r="B64" s="2873" t="s">
        <v>2928</v>
      </c>
      <c r="C64" s="2767"/>
      <c r="D64" s="1283">
        <f t="shared" si="15"/>
        <v>0</v>
      </c>
      <c r="E64" s="819"/>
      <c r="F64" s="249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67" t="s">
        <v>2929</v>
      </c>
      <c r="B65" s="1722" t="str">
        <f>估价对象房地状况!C21</f>
        <v>估价对象所在区域公共配套设施齐备情况</v>
      </c>
      <c r="C65" s="2767"/>
      <c r="D65" s="1283">
        <f t="shared" si="15"/>
        <v>0</v>
      </c>
      <c r="E65" s="819"/>
      <c r="F65" s="249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67" t="s">
        <v>2930</v>
      </c>
      <c r="B66" s="1722" t="str">
        <f>估价对象房地状况!C22</f>
        <v>估价对象所在区域基础设施水平</v>
      </c>
      <c r="C66" s="2767"/>
      <c r="D66" s="1283">
        <f t="shared" si="15"/>
        <v>0</v>
      </c>
      <c r="E66" s="819"/>
      <c r="F66" s="249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75" t="s">
        <v>2931</v>
      </c>
      <c r="B67" s="2877" t="str">
        <f>估价对象房地状况!C20</f>
        <v>区域自然环境：；人文环境；综合评价环境状况一般</v>
      </c>
      <c r="C67" s="2767"/>
      <c r="D67" s="1283">
        <f t="shared" si="15"/>
        <v>0</v>
      </c>
      <c r="E67" s="822"/>
      <c r="F67" s="249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2935</v>
      </c>
      <c r="B68" s="2864">
        <f>1+E70</f>
        <v>1.0658000000000001</v>
      </c>
      <c r="C68" s="811"/>
      <c r="D68" s="811"/>
      <c r="E68" s="812"/>
      <c r="F68" s="2866"/>
      <c r="G68" s="3"/>
      <c r="H68" s="3"/>
      <c r="I68" s="3"/>
      <c r="J68" s="4"/>
      <c r="K68" s="4"/>
      <c r="L68" s="4"/>
      <c r="M68" s="4"/>
      <c r="N68" s="4"/>
      <c r="AA68" s="1368"/>
      <c r="AB68" s="1368"/>
      <c r="AC68" s="1368"/>
      <c r="AD68" s="1368"/>
      <c r="AE68" s="1368"/>
      <c r="AF68" s="1368"/>
      <c r="AG68" s="1368"/>
      <c r="AH68" s="1368"/>
      <c r="AI68" s="1368"/>
      <c r="AJ68" s="1368"/>
      <c r="AK68" s="1368"/>
    </row>
    <row r="69" spans="1:37" s="1367" customFormat="1" ht="24.75">
      <c r="A69" s="2867" t="s">
        <v>2913</v>
      </c>
      <c r="B69" s="1806"/>
      <c r="C69" s="1806" t="s">
        <v>2915</v>
      </c>
      <c r="D69" s="1806" t="s">
        <v>2916</v>
      </c>
      <c r="E69" s="816" t="s">
        <v>2917</v>
      </c>
      <c r="F69" s="2868" t="s">
        <v>2933</v>
      </c>
      <c r="G69" s="1806" t="s">
        <v>730</v>
      </c>
      <c r="H69" s="2869" t="s">
        <v>2919</v>
      </c>
      <c r="I69" s="1806" t="s">
        <v>2920</v>
      </c>
      <c r="J69" s="600" t="s">
        <v>2569</v>
      </c>
      <c r="K69" s="600" t="s">
        <v>2570</v>
      </c>
      <c r="L69" s="600" t="s">
        <v>2571</v>
      </c>
      <c r="M69" s="600" t="s">
        <v>2572</v>
      </c>
      <c r="N69" s="600" t="s">
        <v>2573</v>
      </c>
      <c r="AA69" s="1368"/>
      <c r="AB69" s="1368"/>
      <c r="AC69" s="1368"/>
      <c r="AD69" s="1368"/>
      <c r="AE69" s="1368"/>
      <c r="AF69" s="1368"/>
      <c r="AG69" s="1368"/>
      <c r="AH69" s="1368"/>
      <c r="AI69" s="1368"/>
      <c r="AJ69" s="1368"/>
      <c r="AK69" s="1368"/>
    </row>
    <row r="70" spans="1:37" s="1367" customFormat="1" ht="51">
      <c r="A70" s="2867" t="s">
        <v>2936</v>
      </c>
      <c r="B70" s="2870" t="str">
        <f>估价对象房地状况!C15</f>
        <v>估价对象周边居住用地比例、居住小区规模和社区发展完善程度，综合评价居住社区成熟度一般</v>
      </c>
      <c r="C70" s="2767" t="s">
        <v>3080</v>
      </c>
      <c r="D70" s="1283">
        <f t="shared" ref="D70:D78" si="20">SUMIF($J$69:$N$69,C70,J70:N70)</f>
        <v>8.8000000000000005E-3</v>
      </c>
      <c r="E70" s="818">
        <f>ROUND(SUM(D70:D78),4)</f>
        <v>6.5799999999999997E-2</v>
      </c>
      <c r="F70" s="2498">
        <f>IF(E2="住宅",SUMIF(L1:L12,G2,N1:N12),"——")</f>
        <v>0.126</v>
      </c>
      <c r="G70" s="1281">
        <v>8.8000000000000005E-3</v>
      </c>
      <c r="H70" s="1285">
        <f t="shared" ref="H70:H78" si="21">IFERROR(ROUNDDOWN($F$70*I70/2,4),"——")</f>
        <v>8.8000000000000005E-3</v>
      </c>
      <c r="I70" s="817">
        <v>0.14000000000000001</v>
      </c>
      <c r="J70" s="1282">
        <f t="shared" ref="J70:J78" si="22">K70+$G70</f>
        <v>1.7600000000000001E-2</v>
      </c>
      <c r="K70" s="1282">
        <f t="shared" ref="K70:K78" si="23">$L70+$G70</f>
        <v>8.8000000000000005E-3</v>
      </c>
      <c r="L70" s="1282">
        <v>0</v>
      </c>
      <c r="M70" s="1282">
        <f t="shared" ref="M70:N78" si="24">L70-$G70</f>
        <v>-8.8000000000000005E-3</v>
      </c>
      <c r="N70" s="1282">
        <f t="shared" si="24"/>
        <v>-1.7600000000000001E-2</v>
      </c>
      <c r="AA70" s="1368"/>
      <c r="AB70" s="1368"/>
      <c r="AC70" s="1368"/>
      <c r="AD70" s="1368"/>
      <c r="AE70" s="1368"/>
      <c r="AF70" s="1368"/>
      <c r="AG70" s="1368"/>
      <c r="AH70" s="1368"/>
      <c r="AI70" s="1368"/>
      <c r="AJ70" s="1368"/>
      <c r="AK70" s="1368"/>
    </row>
    <row r="71" spans="1:37" s="1367" customFormat="1" ht="51">
      <c r="A71" s="2867" t="s">
        <v>2922</v>
      </c>
      <c r="B71" s="2871" t="str">
        <f>估价对象房地状况!C18</f>
        <v>估价对象周边道路状况、公共交通通达情况、停车便捷程度，综合评价交通便捷度较好</v>
      </c>
      <c r="C71" s="2767" t="s">
        <v>3080</v>
      </c>
      <c r="D71" s="1283">
        <f t="shared" si="20"/>
        <v>1.89E-2</v>
      </c>
      <c r="E71" s="823"/>
      <c r="F71" s="2498"/>
      <c r="G71" s="1281">
        <v>1.89E-2</v>
      </c>
      <c r="H71" s="1285">
        <f t="shared" si="21"/>
        <v>1.89E-2</v>
      </c>
      <c r="I71" s="817">
        <v>0.3</v>
      </c>
      <c r="J71" s="1282">
        <f t="shared" si="22"/>
        <v>3.78E-2</v>
      </c>
      <c r="K71" s="1282">
        <f t="shared" si="23"/>
        <v>1.89E-2</v>
      </c>
      <c r="L71" s="1282">
        <v>0</v>
      </c>
      <c r="M71" s="1282">
        <f t="shared" si="24"/>
        <v>-1.89E-2</v>
      </c>
      <c r="N71" s="1282">
        <f t="shared" si="24"/>
        <v>-3.78E-2</v>
      </c>
      <c r="AA71" s="1368"/>
      <c r="AB71" s="1368"/>
      <c r="AC71" s="1368"/>
      <c r="AD71" s="1368"/>
      <c r="AE71" s="1368"/>
      <c r="AF71" s="1368"/>
      <c r="AG71" s="1368"/>
      <c r="AH71" s="1368"/>
      <c r="AI71" s="1368"/>
      <c r="AJ71" s="1368"/>
      <c r="AK71" s="1368"/>
    </row>
    <row r="72" spans="1:37" s="1367" customFormat="1" ht="24">
      <c r="A72" s="2867" t="s">
        <v>2923</v>
      </c>
      <c r="B72" s="2871">
        <f>估价对象房地状况!C19</f>
        <v>0</v>
      </c>
      <c r="C72" s="2767" t="s">
        <v>3080</v>
      </c>
      <c r="D72" s="1283">
        <f t="shared" si="20"/>
        <v>5.0000000000000001E-3</v>
      </c>
      <c r="E72" s="823"/>
      <c r="F72" s="2498"/>
      <c r="G72" s="1281">
        <v>5.0000000000000001E-3</v>
      </c>
      <c r="H72" s="1285">
        <f t="shared" si="21"/>
        <v>5.0000000000000001E-3</v>
      </c>
      <c r="I72" s="817">
        <v>0.08</v>
      </c>
      <c r="J72" s="1282">
        <f t="shared" si="22"/>
        <v>0.01</v>
      </c>
      <c r="K72" s="1282">
        <f t="shared" si="23"/>
        <v>5.0000000000000001E-3</v>
      </c>
      <c r="L72" s="1282">
        <v>0</v>
      </c>
      <c r="M72" s="1282">
        <f t="shared" si="24"/>
        <v>-5.0000000000000001E-3</v>
      </c>
      <c r="N72" s="1282">
        <f t="shared" si="24"/>
        <v>-0.01</v>
      </c>
      <c r="AA72" s="1368"/>
      <c r="AB72" s="1368"/>
      <c r="AC72" s="1368"/>
      <c r="AD72" s="1368"/>
      <c r="AE72" s="1368"/>
      <c r="AF72" s="1368"/>
      <c r="AG72" s="1368"/>
      <c r="AH72" s="1368"/>
      <c r="AI72" s="1368"/>
      <c r="AJ72" s="1368"/>
      <c r="AK72" s="1368"/>
    </row>
    <row r="73" spans="1:37" s="1367" customFormat="1" ht="14.25">
      <c r="A73" s="2867" t="s">
        <v>2937</v>
      </c>
      <c r="B73" s="2871">
        <f>估价对象房地状况!C24</f>
        <v>0</v>
      </c>
      <c r="C73" s="2767" t="s">
        <v>3082</v>
      </c>
      <c r="D73" s="1283">
        <f t="shared" si="20"/>
        <v>5.0000000000000001E-3</v>
      </c>
      <c r="E73" s="823"/>
      <c r="F73" s="2498"/>
      <c r="G73" s="1281">
        <v>2.5000000000000001E-3</v>
      </c>
      <c r="H73" s="1285">
        <f t="shared" si="21"/>
        <v>2.5000000000000001E-3</v>
      </c>
      <c r="I73" s="817">
        <v>0.04</v>
      </c>
      <c r="J73" s="1282">
        <f t="shared" si="22"/>
        <v>5.0000000000000001E-3</v>
      </c>
      <c r="K73" s="1282">
        <f t="shared" si="23"/>
        <v>2.5000000000000001E-3</v>
      </c>
      <c r="L73" s="1282">
        <v>0</v>
      </c>
      <c r="M73" s="1282">
        <f t="shared" si="24"/>
        <v>-2.5000000000000001E-3</v>
      </c>
      <c r="N73" s="1282">
        <f t="shared" si="24"/>
        <v>-5.0000000000000001E-3</v>
      </c>
      <c r="AA73" s="1368"/>
      <c r="AB73" s="1368"/>
      <c r="AC73" s="1368"/>
      <c r="AD73" s="1368"/>
      <c r="AE73" s="1368"/>
      <c r="AF73" s="1368"/>
      <c r="AG73" s="1368"/>
      <c r="AH73" s="1368"/>
      <c r="AI73" s="1368"/>
      <c r="AJ73" s="1368"/>
      <c r="AK73" s="1368"/>
    </row>
    <row r="74" spans="1:37" s="1367" customFormat="1" ht="25.5">
      <c r="A74" s="2867" t="s">
        <v>2929</v>
      </c>
      <c r="B74" s="1722" t="str">
        <f>估价对象房地状况!C21</f>
        <v>估价对象所在区域公共配套设施齐备情况</v>
      </c>
      <c r="C74" s="2767" t="s">
        <v>3080</v>
      </c>
      <c r="D74" s="1283">
        <f t="shared" si="20"/>
        <v>5.0000000000000001E-3</v>
      </c>
      <c r="E74" s="823"/>
      <c r="F74" s="2498"/>
      <c r="G74" s="1281">
        <v>5.0000000000000001E-3</v>
      </c>
      <c r="H74" s="1285">
        <f t="shared" si="21"/>
        <v>5.0000000000000001E-3</v>
      </c>
      <c r="I74" s="817">
        <v>0.08</v>
      </c>
      <c r="J74" s="1282">
        <f t="shared" si="22"/>
        <v>0.01</v>
      </c>
      <c r="K74" s="1282">
        <f t="shared" si="23"/>
        <v>5.0000000000000001E-3</v>
      </c>
      <c r="L74" s="1282">
        <v>0</v>
      </c>
      <c r="M74" s="1282">
        <f t="shared" si="24"/>
        <v>-5.0000000000000001E-3</v>
      </c>
      <c r="N74" s="1282">
        <f t="shared" si="24"/>
        <v>-0.01</v>
      </c>
      <c r="AA74" s="1368"/>
      <c r="AB74" s="1368"/>
      <c r="AC74" s="1368"/>
      <c r="AD74" s="1368"/>
      <c r="AE74" s="1368"/>
      <c r="AF74" s="1368"/>
      <c r="AG74" s="1368"/>
      <c r="AH74" s="1368"/>
      <c r="AI74" s="1368"/>
      <c r="AJ74" s="1368"/>
      <c r="AK74" s="1368"/>
    </row>
    <row r="75" spans="1:37" s="1367" customFormat="1" ht="25.5">
      <c r="A75" s="2867" t="s">
        <v>2930</v>
      </c>
      <c r="B75" s="1722" t="str">
        <f>估价对象房地状况!C22</f>
        <v>估价对象所在区域基础设施水平</v>
      </c>
      <c r="C75" s="2767" t="s">
        <v>3080</v>
      </c>
      <c r="D75" s="1283">
        <f t="shared" si="20"/>
        <v>7.4999999999999997E-3</v>
      </c>
      <c r="E75" s="823"/>
      <c r="F75" s="2498"/>
      <c r="G75" s="1281">
        <v>7.4999999999999997E-3</v>
      </c>
      <c r="H75" s="1285">
        <f t="shared" si="21"/>
        <v>7.4999999999999997E-3</v>
      </c>
      <c r="I75" s="817">
        <v>0.12</v>
      </c>
      <c r="J75" s="1282">
        <f t="shared" si="22"/>
        <v>1.4999999999999999E-2</v>
      </c>
      <c r="K75" s="1282">
        <f t="shared" si="23"/>
        <v>7.4999999999999997E-3</v>
      </c>
      <c r="L75" s="1282">
        <v>0</v>
      </c>
      <c r="M75" s="1282">
        <f t="shared" si="24"/>
        <v>-7.4999999999999997E-3</v>
      </c>
      <c r="N75" s="1282">
        <f t="shared" si="24"/>
        <v>-1.4999999999999999E-2</v>
      </c>
      <c r="AA75" s="1368"/>
      <c r="AB75" s="1368"/>
      <c r="AC75" s="1368"/>
      <c r="AD75" s="1368"/>
      <c r="AE75" s="1368"/>
      <c r="AF75" s="1368"/>
      <c r="AG75" s="1368"/>
      <c r="AH75" s="1368"/>
      <c r="AI75" s="1368"/>
      <c r="AJ75" s="1368"/>
      <c r="AK75" s="1368"/>
    </row>
    <row r="76" spans="1:37" s="2716" customFormat="1" ht="24">
      <c r="A76" s="2867" t="s">
        <v>2927</v>
      </c>
      <c r="B76" s="2873" t="s">
        <v>2928</v>
      </c>
      <c r="C76" s="2767" t="s">
        <v>3082</v>
      </c>
      <c r="D76" s="1283">
        <f t="shared" si="20"/>
        <v>6.1999999999999998E-3</v>
      </c>
      <c r="E76" s="823"/>
      <c r="F76" s="2498"/>
      <c r="G76" s="1281">
        <v>3.0999999999999999E-3</v>
      </c>
      <c r="H76" s="1285">
        <f t="shared" si="21"/>
        <v>3.0999999999999999E-3</v>
      </c>
      <c r="I76" s="817">
        <v>0.05</v>
      </c>
      <c r="J76" s="1282">
        <f t="shared" si="22"/>
        <v>6.1999999999999998E-3</v>
      </c>
      <c r="K76" s="1282">
        <f t="shared" si="23"/>
        <v>3.0999999999999999E-3</v>
      </c>
      <c r="L76" s="1282">
        <v>0</v>
      </c>
      <c r="M76" s="1282">
        <f t="shared" si="24"/>
        <v>-3.0999999999999999E-3</v>
      </c>
      <c r="N76" s="1282">
        <f t="shared" si="24"/>
        <v>-6.1999999999999998E-3</v>
      </c>
      <c r="AA76" s="2878"/>
      <c r="AB76" s="1368"/>
      <c r="AC76" s="1368"/>
      <c r="AD76" s="1368"/>
      <c r="AE76" s="1368"/>
      <c r="AF76" s="1368"/>
      <c r="AG76" s="1368"/>
      <c r="AH76" s="2878"/>
      <c r="AI76" s="2878"/>
      <c r="AJ76" s="2878"/>
      <c r="AK76" s="2878"/>
    </row>
    <row r="77" spans="1:37" ht="38.25">
      <c r="A77" s="2867" t="s">
        <v>2931</v>
      </c>
      <c r="B77" s="2870" t="str">
        <f>估价对象房地状况!C20</f>
        <v>区域自然环境：；人文环境；综合评价环境状况一般</v>
      </c>
      <c r="C77" s="2767" t="s">
        <v>3080</v>
      </c>
      <c r="D77" s="1283">
        <f t="shared" si="20"/>
        <v>9.4000000000000004E-3</v>
      </c>
      <c r="E77" s="823"/>
      <c r="F77" s="2498"/>
      <c r="G77" s="1281">
        <v>9.4000000000000004E-3</v>
      </c>
      <c r="H77" s="1285">
        <f t="shared" si="21"/>
        <v>9.4000000000000004E-3</v>
      </c>
      <c r="I77" s="817">
        <v>0.15</v>
      </c>
      <c r="J77" s="1282">
        <f t="shared" si="22"/>
        <v>1.8800000000000001E-2</v>
      </c>
      <c r="K77" s="1282">
        <f t="shared" si="23"/>
        <v>9.4000000000000004E-3</v>
      </c>
      <c r="L77" s="1282">
        <v>0</v>
      </c>
      <c r="M77" s="1282">
        <f t="shared" si="24"/>
        <v>-9.4000000000000004E-3</v>
      </c>
      <c r="N77" s="1282">
        <f t="shared" si="24"/>
        <v>-1.8800000000000001E-2</v>
      </c>
      <c r="Z77" s="2717"/>
      <c r="AA77" s="2785"/>
      <c r="AG77" s="1369"/>
      <c r="AK77" s="2785"/>
    </row>
    <row r="78" spans="1:37" ht="24.75" thickBot="1">
      <c r="A78" s="2875" t="s">
        <v>2938</v>
      </c>
      <c r="B78" s="2879"/>
      <c r="C78" s="2767" t="s">
        <v>3081</v>
      </c>
      <c r="D78" s="1283">
        <f t="shared" si="20"/>
        <v>0</v>
      </c>
      <c r="E78" s="824"/>
      <c r="F78" s="2498"/>
      <c r="G78" s="1281">
        <v>2.5000000000000001E-3</v>
      </c>
      <c r="H78" s="1285">
        <f t="shared" si="21"/>
        <v>2.5000000000000001E-3</v>
      </c>
      <c r="I78" s="821">
        <v>0.04</v>
      </c>
      <c r="J78" s="1282">
        <f t="shared" si="22"/>
        <v>5.0000000000000001E-3</v>
      </c>
      <c r="K78" s="1282">
        <f t="shared" si="23"/>
        <v>2.5000000000000001E-3</v>
      </c>
      <c r="L78" s="1282">
        <v>0</v>
      </c>
      <c r="M78" s="1282">
        <f t="shared" si="24"/>
        <v>-2.5000000000000001E-3</v>
      </c>
      <c r="N78" s="1282">
        <f t="shared" si="24"/>
        <v>-5.0000000000000001E-3</v>
      </c>
      <c r="Z78" s="2717"/>
      <c r="AA78" s="2785"/>
      <c r="AG78" s="1369"/>
      <c r="AK78" s="2785"/>
    </row>
    <row r="79" spans="1:37" ht="15">
      <c r="A79" s="2863" t="s">
        <v>2939</v>
      </c>
      <c r="B79" s="2864">
        <f>1+E81</f>
        <v>1</v>
      </c>
      <c r="C79" s="811"/>
      <c r="D79" s="811"/>
      <c r="E79" s="812"/>
      <c r="F79" s="2866"/>
      <c r="G79" s="3"/>
      <c r="H79" s="3"/>
      <c r="I79" s="3"/>
      <c r="J79" s="4"/>
      <c r="K79" s="4"/>
      <c r="L79" s="4"/>
      <c r="M79" s="4"/>
      <c r="N79" s="4"/>
      <c r="Z79" s="2717"/>
      <c r="AA79" s="2785"/>
      <c r="AG79" s="1369"/>
      <c r="AK79" s="2785"/>
    </row>
    <row r="80" spans="1:37" ht="24.75">
      <c r="A80" s="2867" t="s">
        <v>2913</v>
      </c>
      <c r="B80" s="1806"/>
      <c r="C80" s="1806" t="s">
        <v>2915</v>
      </c>
      <c r="D80" s="1806" t="s">
        <v>2916</v>
      </c>
      <c r="E80" s="816" t="s">
        <v>2917</v>
      </c>
      <c r="F80" s="2868" t="s">
        <v>2933</v>
      </c>
      <c r="G80" s="1806" t="s">
        <v>730</v>
      </c>
      <c r="H80" s="2869" t="s">
        <v>2919</v>
      </c>
      <c r="I80" s="1806" t="s">
        <v>2920</v>
      </c>
      <c r="J80" s="600" t="s">
        <v>2569</v>
      </c>
      <c r="K80" s="600" t="s">
        <v>2570</v>
      </c>
      <c r="L80" s="600" t="s">
        <v>2571</v>
      </c>
      <c r="M80" s="600" t="s">
        <v>2572</v>
      </c>
      <c r="N80" s="600" t="s">
        <v>2573</v>
      </c>
      <c r="Z80" s="2717"/>
      <c r="AA80" s="2785"/>
      <c r="AG80" s="1369"/>
      <c r="AK80" s="2785"/>
    </row>
    <row r="81" spans="1:37" ht="38.25">
      <c r="A81" s="2867" t="s">
        <v>2940</v>
      </c>
      <c r="B81" s="2871" t="str">
        <f>估价对象房地状况!G15</f>
        <v>估价对象位于XX开发区，园区建设成熟度XX，产业集聚程度XX</v>
      </c>
      <c r="C81" s="2767"/>
      <c r="D81" s="1283">
        <f t="shared" ref="D81:D88" si="25">SUMIF($J$80:$N$80,C81,J81:N81)</f>
        <v>0</v>
      </c>
      <c r="E81" s="818">
        <f>ROUND(SUM(D81:D88),4)</f>
        <v>0</v>
      </c>
      <c r="F81" s="249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7"/>
      <c r="AA81" s="2785"/>
      <c r="AG81" s="1369"/>
      <c r="AK81" s="2785"/>
    </row>
    <row r="82" spans="1:37" ht="51">
      <c r="A82" s="2867" t="s">
        <v>2922</v>
      </c>
      <c r="B82" s="2871" t="str">
        <f>估价对象房地状况!G16</f>
        <v>估价对象周边道路状况、公共交通通达情况、停车便捷程度，综合评价交通便捷度较好</v>
      </c>
      <c r="C82" s="2767"/>
      <c r="D82" s="1283">
        <f t="shared" si="25"/>
        <v>0</v>
      </c>
      <c r="E82" s="823"/>
      <c r="F82" s="2498"/>
      <c r="G82" s="1281"/>
      <c r="H82" s="1285" t="str">
        <f t="shared" si="26"/>
        <v>——</v>
      </c>
      <c r="I82" s="817">
        <v>0.33</v>
      </c>
      <c r="J82" s="1282">
        <f t="shared" si="27"/>
        <v>0</v>
      </c>
      <c r="K82" s="1282">
        <f t="shared" si="28"/>
        <v>0</v>
      </c>
      <c r="L82" s="1282">
        <v>0</v>
      </c>
      <c r="M82" s="1282">
        <f t="shared" si="29"/>
        <v>0</v>
      </c>
      <c r="N82" s="1282">
        <f t="shared" si="29"/>
        <v>0</v>
      </c>
      <c r="Z82" s="2717"/>
      <c r="AA82" s="2785"/>
      <c r="AG82" s="1369"/>
      <c r="AK82" s="2785"/>
    </row>
    <row r="83" spans="1:37" ht="24">
      <c r="A83" s="2867" t="s">
        <v>2923</v>
      </c>
      <c r="B83" s="2871">
        <f>估价对象房地状况!G17</f>
        <v>0</v>
      </c>
      <c r="C83" s="2767"/>
      <c r="D83" s="1283">
        <f t="shared" si="25"/>
        <v>0</v>
      </c>
      <c r="E83" s="823"/>
      <c r="F83" s="2498"/>
      <c r="G83" s="1281"/>
      <c r="H83" s="1285" t="str">
        <f t="shared" si="26"/>
        <v>——</v>
      </c>
      <c r="I83" s="817">
        <v>0.05</v>
      </c>
      <c r="J83" s="1282">
        <f t="shared" si="27"/>
        <v>0</v>
      </c>
      <c r="K83" s="1282">
        <f t="shared" si="28"/>
        <v>0</v>
      </c>
      <c r="L83" s="1282">
        <v>0</v>
      </c>
      <c r="M83" s="1282">
        <f t="shared" si="29"/>
        <v>0</v>
      </c>
      <c r="N83" s="1282">
        <f t="shared" si="29"/>
        <v>0</v>
      </c>
      <c r="Z83" s="2717"/>
      <c r="AA83" s="2785"/>
      <c r="AG83" s="1369"/>
      <c r="AK83" s="2785"/>
    </row>
    <row r="84" spans="1:37" ht="14.25">
      <c r="A84" s="2867" t="s">
        <v>2937</v>
      </c>
      <c r="B84" s="2871">
        <f>估价对象房地状况!G22</f>
        <v>0</v>
      </c>
      <c r="C84" s="2767"/>
      <c r="D84" s="1283">
        <f t="shared" si="25"/>
        <v>0</v>
      </c>
      <c r="E84" s="823"/>
      <c r="F84" s="2498"/>
      <c r="G84" s="1281"/>
      <c r="H84" s="1285" t="str">
        <f t="shared" si="26"/>
        <v>——</v>
      </c>
      <c r="I84" s="817">
        <v>0.04</v>
      </c>
      <c r="J84" s="1282">
        <f t="shared" si="27"/>
        <v>0</v>
      </c>
      <c r="K84" s="1282">
        <f t="shared" si="28"/>
        <v>0</v>
      </c>
      <c r="L84" s="1282">
        <v>0</v>
      </c>
      <c r="M84" s="1282">
        <f t="shared" si="29"/>
        <v>0</v>
      </c>
      <c r="N84" s="1282">
        <f t="shared" si="29"/>
        <v>0</v>
      </c>
      <c r="Z84" s="2717"/>
      <c r="AA84" s="2785"/>
      <c r="AG84" s="1369"/>
      <c r="AK84" s="2785"/>
    </row>
    <row r="85" spans="1:37" ht="25.5">
      <c r="A85" s="2867" t="s">
        <v>2929</v>
      </c>
      <c r="B85" s="1722" t="str">
        <f>估价对象房地状况!G19</f>
        <v>估价对象所在区域公共配套设施齐备情况</v>
      </c>
      <c r="C85" s="2767"/>
      <c r="D85" s="1283">
        <f t="shared" si="25"/>
        <v>0</v>
      </c>
      <c r="E85" s="823"/>
      <c r="F85" s="2498"/>
      <c r="G85" s="1281"/>
      <c r="H85" s="1285" t="str">
        <f t="shared" si="26"/>
        <v>——</v>
      </c>
      <c r="I85" s="817">
        <v>0.06</v>
      </c>
      <c r="J85" s="1282">
        <f t="shared" si="27"/>
        <v>0</v>
      </c>
      <c r="K85" s="1282">
        <f t="shared" si="28"/>
        <v>0</v>
      </c>
      <c r="L85" s="1282">
        <v>0</v>
      </c>
      <c r="M85" s="1282">
        <f t="shared" si="29"/>
        <v>0</v>
      </c>
      <c r="N85" s="1282">
        <f t="shared" si="29"/>
        <v>0</v>
      </c>
      <c r="Z85" s="2717"/>
      <c r="AA85" s="2785"/>
      <c r="AG85" s="1369"/>
      <c r="AK85" s="2785"/>
    </row>
    <row r="86" spans="1:37" ht="25.5">
      <c r="A86" s="2867" t="s">
        <v>2930</v>
      </c>
      <c r="B86" s="1722" t="str">
        <f>估价对象房地状况!G20</f>
        <v>估价对象所在区域基础设施水平</v>
      </c>
      <c r="C86" s="2767"/>
      <c r="D86" s="1283">
        <f t="shared" si="25"/>
        <v>0</v>
      </c>
      <c r="E86" s="823"/>
      <c r="F86" s="2498"/>
      <c r="G86" s="1281"/>
      <c r="H86" s="1285" t="str">
        <f t="shared" si="26"/>
        <v>——</v>
      </c>
      <c r="I86" s="817">
        <v>0.15</v>
      </c>
      <c r="J86" s="1282">
        <f t="shared" si="27"/>
        <v>0</v>
      </c>
      <c r="K86" s="1282">
        <f t="shared" si="28"/>
        <v>0</v>
      </c>
      <c r="L86" s="1282">
        <v>0</v>
      </c>
      <c r="M86" s="1282">
        <f t="shared" si="29"/>
        <v>0</v>
      </c>
      <c r="N86" s="1282">
        <f t="shared" si="29"/>
        <v>0</v>
      </c>
      <c r="Z86" s="2717"/>
      <c r="AA86" s="2785"/>
      <c r="AG86" s="1369"/>
      <c r="AK86" s="2785"/>
    </row>
    <row r="87" spans="1:37" ht="24">
      <c r="A87" s="2867" t="s">
        <v>2927</v>
      </c>
      <c r="B87" s="2873" t="s">
        <v>2941</v>
      </c>
      <c r="C87" s="2767"/>
      <c r="D87" s="1283">
        <f t="shared" si="25"/>
        <v>0</v>
      </c>
      <c r="E87" s="823"/>
      <c r="F87" s="2498"/>
      <c r="G87" s="1281"/>
      <c r="H87" s="1285" t="str">
        <f t="shared" si="26"/>
        <v>——</v>
      </c>
      <c r="I87" s="817">
        <v>0.05</v>
      </c>
      <c r="J87" s="1282">
        <f t="shared" si="27"/>
        <v>0</v>
      </c>
      <c r="K87" s="1282">
        <f t="shared" si="28"/>
        <v>0</v>
      </c>
      <c r="L87" s="1282">
        <v>0</v>
      </c>
      <c r="M87" s="1282">
        <f t="shared" si="29"/>
        <v>0</v>
      </c>
      <c r="N87" s="1282">
        <f t="shared" si="29"/>
        <v>0</v>
      </c>
      <c r="Z87" s="2717"/>
      <c r="AA87" s="2785"/>
      <c r="AG87" s="1369"/>
      <c r="AK87" s="2785"/>
    </row>
    <row r="88" spans="1:37" ht="39" thickBot="1">
      <c r="A88" s="2875" t="s">
        <v>2942</v>
      </c>
      <c r="B88" s="2880" t="str">
        <f>估价对象房地状况!G18</f>
        <v>该园区内是否有污染型企业，绿化情况，卫生条件，整体环境状况判断</v>
      </c>
      <c r="C88" s="2767"/>
      <c r="D88" s="1283">
        <f t="shared" si="25"/>
        <v>0</v>
      </c>
      <c r="E88" s="824"/>
      <c r="F88" s="2498"/>
      <c r="G88" s="1281"/>
      <c r="H88" s="1285" t="str">
        <f t="shared" si="26"/>
        <v>——</v>
      </c>
      <c r="I88" s="821">
        <v>0.06</v>
      </c>
      <c r="J88" s="1282">
        <f t="shared" si="27"/>
        <v>0</v>
      </c>
      <c r="K88" s="1282">
        <f t="shared" si="28"/>
        <v>0</v>
      </c>
      <c r="L88" s="1282">
        <v>0</v>
      </c>
      <c r="M88" s="1282">
        <f t="shared" si="29"/>
        <v>0</v>
      </c>
      <c r="N88" s="1282">
        <f t="shared" si="29"/>
        <v>0</v>
      </c>
      <c r="Z88" s="2717"/>
      <c r="AA88" s="2785"/>
      <c r="AG88" s="1369"/>
      <c r="AK88" s="2785"/>
    </row>
    <row r="90" spans="1:37">
      <c r="A90" s="3164" t="s">
        <v>2943</v>
      </c>
      <c r="B90" s="3164"/>
      <c r="C90" s="3164"/>
      <c r="D90" s="3164"/>
      <c r="E90" s="3164"/>
      <c r="F90" s="3164"/>
      <c r="G90" s="3164"/>
      <c r="H90" s="3164"/>
      <c r="I90" s="3164"/>
      <c r="J90" s="3164"/>
      <c r="K90" s="2881"/>
      <c r="L90" s="2881"/>
      <c r="M90" s="2881"/>
      <c r="N90" s="2881"/>
    </row>
    <row r="91" spans="1:37">
      <c r="A91" s="3166" t="s">
        <v>2944</v>
      </c>
      <c r="B91" s="3166" t="s">
        <v>2945</v>
      </c>
      <c r="C91" s="2835" t="s">
        <v>2946</v>
      </c>
      <c r="D91" s="2836"/>
      <c r="E91" s="2836"/>
      <c r="F91" s="2836"/>
      <c r="G91" s="2836"/>
      <c r="H91" s="2836"/>
      <c r="I91" s="2836"/>
      <c r="J91" s="2882"/>
      <c r="K91" s="2883"/>
      <c r="L91" s="2883"/>
      <c r="M91" s="2883"/>
      <c r="N91" s="2883"/>
    </row>
    <row r="92" spans="1:37">
      <c r="A92" s="3166"/>
      <c r="B92" s="3166"/>
      <c r="C92" s="939" t="s">
        <v>2813</v>
      </c>
      <c r="D92" s="939" t="s">
        <v>2814</v>
      </c>
      <c r="E92" s="939" t="s">
        <v>2815</v>
      </c>
      <c r="F92" s="939" t="s">
        <v>2816</v>
      </c>
      <c r="G92" s="939" t="s">
        <v>2817</v>
      </c>
      <c r="H92" s="939" t="s">
        <v>2818</v>
      </c>
      <c r="I92" s="939" t="s">
        <v>2819</v>
      </c>
      <c r="J92" s="939" t="s">
        <v>2820</v>
      </c>
      <c r="K92" s="939" t="s">
        <v>2821</v>
      </c>
      <c r="L92" s="939" t="s">
        <v>2822</v>
      </c>
      <c r="M92" s="939" t="s">
        <v>2823</v>
      </c>
      <c r="N92" s="939" t="s">
        <v>2824</v>
      </c>
    </row>
    <row r="93" spans="1:37">
      <c r="A93" s="3167" t="s">
        <v>2947</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16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16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16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16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16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168"/>
      <c r="B99" s="2884" t="s">
        <v>2829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16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167" t="s">
        <v>2948</v>
      </c>
      <c r="B101" s="2888" t="s">
        <v>2949</v>
      </c>
      <c r="C101" s="2889">
        <f>$G$3</f>
        <v>3.39</v>
      </c>
      <c r="D101" s="2889">
        <f t="shared" ref="D101:N101" si="31">$G$3</f>
        <v>3.39</v>
      </c>
      <c r="E101" s="2889">
        <f t="shared" si="31"/>
        <v>3.39</v>
      </c>
      <c r="F101" s="2889">
        <f t="shared" si="31"/>
        <v>3.39</v>
      </c>
      <c r="G101" s="2889">
        <f t="shared" si="31"/>
        <v>3.39</v>
      </c>
      <c r="H101" s="2889">
        <f t="shared" si="31"/>
        <v>3.39</v>
      </c>
      <c r="I101" s="2889">
        <f t="shared" si="31"/>
        <v>3.39</v>
      </c>
      <c r="J101" s="2889">
        <f t="shared" si="31"/>
        <v>3.39</v>
      </c>
      <c r="K101" s="2889">
        <f t="shared" si="31"/>
        <v>3.39</v>
      </c>
      <c r="L101" s="2889">
        <f t="shared" si="31"/>
        <v>3.39</v>
      </c>
      <c r="M101" s="2889">
        <f t="shared" si="31"/>
        <v>3.39</v>
      </c>
      <c r="N101" s="2889">
        <f t="shared" si="31"/>
        <v>3.39</v>
      </c>
    </row>
    <row r="102" spans="1:14">
      <c r="A102" s="3168"/>
      <c r="B102" s="2884">
        <v>1</v>
      </c>
      <c r="C102" s="2885">
        <f>1.9362/C101</f>
        <v>0.57115044247787605</v>
      </c>
      <c r="D102" s="2885">
        <f>1.9362/D101</f>
        <v>0.57115044247787605</v>
      </c>
      <c r="E102" s="2885">
        <f>1.8629/E101</f>
        <v>0.54952802359882003</v>
      </c>
      <c r="F102" s="2885">
        <f>1.8629/F101</f>
        <v>0.54952802359882003</v>
      </c>
      <c r="G102" s="2885">
        <f>1.8629/G101</f>
        <v>0.54952802359882003</v>
      </c>
      <c r="H102" s="2885">
        <f>1.8629/H101</f>
        <v>0.54952802359882003</v>
      </c>
      <c r="I102" s="2885">
        <f>1.8629/I101</f>
        <v>0.54952802359882003</v>
      </c>
      <c r="J102" s="2885">
        <f>1.942/J101</f>
        <v>0.57286135693215334</v>
      </c>
      <c r="K102" s="2885">
        <f>1.942/K101</f>
        <v>0.57286135693215334</v>
      </c>
      <c r="L102" s="2885">
        <f>1.942/L101</f>
        <v>0.57286135693215334</v>
      </c>
      <c r="M102" s="2885">
        <f>1.942/M101</f>
        <v>0.57286135693215334</v>
      </c>
      <c r="N102" s="2885">
        <f>1.942/N101</f>
        <v>0.57286135693215334</v>
      </c>
    </row>
    <row r="103" spans="1:14">
      <c r="A103" s="3168"/>
      <c r="B103" s="2884">
        <v>2</v>
      </c>
      <c r="C103" s="2885">
        <f>1.4198/C101</f>
        <v>0.4188200589970501</v>
      </c>
      <c r="D103" s="2885">
        <f>1.4198/D101</f>
        <v>0.4188200589970501</v>
      </c>
      <c r="E103" s="2885">
        <f>1.3372/E101</f>
        <v>0.39445427728613564</v>
      </c>
      <c r="F103" s="2885">
        <f>1.3372/F101</f>
        <v>0.39445427728613564</v>
      </c>
      <c r="G103" s="2885">
        <f>1.3372/G101</f>
        <v>0.39445427728613564</v>
      </c>
      <c r="H103" s="2885">
        <f>1.3372/H101</f>
        <v>0.39445427728613564</v>
      </c>
      <c r="I103" s="2885">
        <f>1.3372/I101</f>
        <v>0.39445427728613564</v>
      </c>
      <c r="J103" s="2885">
        <f>1.2799/J101</f>
        <v>0.37755162241887907</v>
      </c>
      <c r="K103" s="2885">
        <f>1.2799/K101</f>
        <v>0.37755162241887907</v>
      </c>
      <c r="L103" s="2885">
        <f>1.2799/L101</f>
        <v>0.37755162241887907</v>
      </c>
      <c r="M103" s="2885">
        <f>1.2799/M101</f>
        <v>0.37755162241887907</v>
      </c>
      <c r="N103" s="2885">
        <f>1.2799/N101</f>
        <v>0.37755162241887907</v>
      </c>
    </row>
    <row r="104" spans="1:14">
      <c r="A104" s="3168"/>
      <c r="B104" s="2884">
        <v>3</v>
      </c>
      <c r="C104" s="2885">
        <f>1.1594/C101</f>
        <v>0.34200589970501472</v>
      </c>
      <c r="D104" s="2885">
        <f>1.1594/D101</f>
        <v>0.34200589970501472</v>
      </c>
      <c r="E104" s="2885">
        <f>1.0788/E101</f>
        <v>0.31823008849557521</v>
      </c>
      <c r="F104" s="2885">
        <f>1.0788/F101</f>
        <v>0.31823008849557521</v>
      </c>
      <c r="G104" s="2885">
        <f>1.0788/G101</f>
        <v>0.31823008849557521</v>
      </c>
      <c r="H104" s="2885">
        <f>1.0788/H101</f>
        <v>0.31823008849557521</v>
      </c>
      <c r="I104" s="2885">
        <f>1.0788/I101</f>
        <v>0.31823008849557521</v>
      </c>
      <c r="J104" s="2885">
        <f>1.0072/J101</f>
        <v>0.29710914454277287</v>
      </c>
      <c r="K104" s="2885">
        <f>1.0072/K101</f>
        <v>0.29710914454277287</v>
      </c>
      <c r="L104" s="2885">
        <f>1.0072/L101</f>
        <v>0.29710914454277287</v>
      </c>
      <c r="M104" s="2885">
        <f>1.0072/M101</f>
        <v>0.29710914454277287</v>
      </c>
      <c r="N104" s="2885">
        <f>1.0072/N101</f>
        <v>0.29710914454277287</v>
      </c>
    </row>
    <row r="105" spans="1:14">
      <c r="A105" s="3168"/>
      <c r="B105" s="2884">
        <v>4</v>
      </c>
      <c r="C105" s="2885">
        <f>0.9622/C101</f>
        <v>0.28383480825958701</v>
      </c>
      <c r="D105" s="2885">
        <f>0.9622/D101</f>
        <v>0.28383480825958701</v>
      </c>
      <c r="E105" s="2885">
        <f>0.8656/E101</f>
        <v>0.2553392330383481</v>
      </c>
      <c r="F105" s="2885">
        <f>0.8656/F101</f>
        <v>0.2553392330383481</v>
      </c>
      <c r="G105" s="2885">
        <f>0.8656/G101</f>
        <v>0.2553392330383481</v>
      </c>
      <c r="H105" s="2885">
        <f>0.8656/H101</f>
        <v>0.2553392330383481</v>
      </c>
      <c r="I105" s="2885">
        <f>0.8656/I101</f>
        <v>0.2553392330383481</v>
      </c>
      <c r="J105" s="2885">
        <f>0.7525/J101</f>
        <v>0.22197640117994097</v>
      </c>
      <c r="K105" s="2885">
        <f>0.7525/K101</f>
        <v>0.22197640117994097</v>
      </c>
      <c r="L105" s="2885">
        <f>0.7525/L101</f>
        <v>0.22197640117994097</v>
      </c>
      <c r="M105" s="2885">
        <f>0.7525/M101</f>
        <v>0.22197640117994097</v>
      </c>
      <c r="N105" s="2885">
        <f>0.7525/N101</f>
        <v>0.22197640117994097</v>
      </c>
    </row>
    <row r="106" spans="1:14">
      <c r="A106" s="3168"/>
      <c r="B106" s="2884">
        <v>5</v>
      </c>
      <c r="C106" s="2885">
        <f>0.8417/C101</f>
        <v>0.24828908554572271</v>
      </c>
      <c r="D106" s="2885">
        <f>0.8417/D101</f>
        <v>0.24828908554572271</v>
      </c>
      <c r="E106" s="2885">
        <f>0.7371/E101</f>
        <v>0.21743362831858407</v>
      </c>
      <c r="F106" s="2885">
        <f>0.7371/F101</f>
        <v>0.21743362831858407</v>
      </c>
      <c r="G106" s="2885">
        <f>0.7371/G101</f>
        <v>0.21743362831858407</v>
      </c>
      <c r="H106" s="2885">
        <f>0.7371/H101</f>
        <v>0.21743362831858407</v>
      </c>
      <c r="I106" s="2885">
        <f>0.7371/I101</f>
        <v>0.21743362831858407</v>
      </c>
      <c r="J106" s="2885">
        <f>0.5659/J101</f>
        <v>0.16693215339233036</v>
      </c>
      <c r="K106" s="2885">
        <f>0.5659/K101</f>
        <v>0.16693215339233036</v>
      </c>
      <c r="L106" s="2885">
        <f>0.5659/L101</f>
        <v>0.16693215339233036</v>
      </c>
      <c r="M106" s="2885">
        <f>0.5659/M101</f>
        <v>0.16693215339233036</v>
      </c>
      <c r="N106" s="2885">
        <f>0.5659/N101</f>
        <v>0.16693215339233036</v>
      </c>
    </row>
    <row r="107" spans="1:14">
      <c r="A107" s="3168"/>
      <c r="B107" s="2884">
        <v>6</v>
      </c>
      <c r="C107" s="2885">
        <f>0.7608/C101</f>
        <v>0.22442477876106195</v>
      </c>
      <c r="D107" s="2885">
        <f>0.7608/D101</f>
        <v>0.22442477876106195</v>
      </c>
      <c r="E107" s="2885">
        <f>0.6482/E101</f>
        <v>0.19120943952802358</v>
      </c>
      <c r="F107" s="2885">
        <f>0.6482/F101</f>
        <v>0.19120943952802358</v>
      </c>
      <c r="G107" s="2885">
        <f>0.6482/G101</f>
        <v>0.19120943952802358</v>
      </c>
      <c r="H107" s="2885">
        <f>0.6482/H101</f>
        <v>0.19120943952802358</v>
      </c>
      <c r="I107" s="2885">
        <f>0.6482/I101</f>
        <v>0.19120943952802358</v>
      </c>
      <c r="J107" s="2885">
        <f>0.4525/J101</f>
        <v>0.13348082595870206</v>
      </c>
      <c r="K107" s="2885">
        <f>0.4525/K101</f>
        <v>0.13348082595870206</v>
      </c>
      <c r="L107" s="2885">
        <f>0.4525/L101</f>
        <v>0.13348082595870206</v>
      </c>
      <c r="M107" s="2885">
        <f>0.4525/M101</f>
        <v>0.13348082595870206</v>
      </c>
      <c r="N107" s="2885">
        <f>0.4525/N101</f>
        <v>0.13348082595870206</v>
      </c>
    </row>
    <row r="108" spans="1:14">
      <c r="A108" s="3168"/>
      <c r="B108" s="3122" t="s">
        <v>2950</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169"/>
      <c r="B109" s="3123"/>
      <c r="C109" s="2887">
        <f>(-0.163*(C108^2)-0.59*C108+7617)*(10^(-4))/C101</f>
        <v>0.22469026548672566</v>
      </c>
      <c r="D109" s="2887">
        <f>(-0.163*(D108^2)-0.59*D108+7617)*(10^(-4))/D101</f>
        <v>0.22469026548672566</v>
      </c>
      <c r="E109" s="2887">
        <f>(-0.161*(E108^2)-7.509*E108+6533)*(10^(-4))/E101</f>
        <v>0.19271386430678464</v>
      </c>
      <c r="F109" s="2887">
        <f>(-0.161*(F108^2)-7.509*F108+6533)*(10^(-4))/F101</f>
        <v>0.19271386430678464</v>
      </c>
      <c r="G109" s="2887">
        <f>(-0.161*(G108^2)-7.509*G108+6533)*(10^(-4))/G101</f>
        <v>0.19271386430678464</v>
      </c>
      <c r="H109" s="2887">
        <f>(-0.161*(H108^2)-7.509*H108+6533)*(10^(-4))/H101</f>
        <v>0.19271386430678464</v>
      </c>
      <c r="I109" s="2887">
        <f>(-0.161*(I108^2)-7.509*I108+6533)*(10^(-4))/I101</f>
        <v>0.19271386430678464</v>
      </c>
      <c r="J109" s="2887">
        <f>(-0.214*(J108^2)-21.991*J108+4665)*(10^(-4))/J101</f>
        <v>0.13761061946902656</v>
      </c>
      <c r="K109" s="2887">
        <f>(-0.214*(K108^2)-21.991*K108+4665)*(10^(-4))/K101</f>
        <v>0.13761061946902656</v>
      </c>
      <c r="L109" s="2887">
        <f>(-0.214*(L108^2)-21.991*L108+4665)*(10^(-4))/L101</f>
        <v>0.13761061946902656</v>
      </c>
      <c r="M109" s="2887">
        <f>(-0.214*(M108^2)-21.991*M108+4665)*(10^(-4))/M101</f>
        <v>0.13761061946902656</v>
      </c>
      <c r="N109" s="2887">
        <f>(-0.214*(N108^2)-21.991*N108+4665)*(10^(-4))/N101</f>
        <v>0.13761061946902656</v>
      </c>
    </row>
    <row r="110" spans="1:14">
      <c r="A110" s="3165" t="s">
        <v>2951</v>
      </c>
      <c r="B110" s="3165"/>
      <c r="C110" s="3165"/>
      <c r="D110" s="3165"/>
      <c r="E110" s="3165"/>
      <c r="F110" s="3165"/>
      <c r="G110" s="3165"/>
      <c r="H110" s="3165"/>
      <c r="I110" s="3165"/>
      <c r="J110" s="3165"/>
      <c r="K110" s="2890"/>
      <c r="L110" s="2890"/>
      <c r="M110" s="2890"/>
      <c r="N110" s="2890"/>
    </row>
    <row r="112" spans="1:14" ht="13.5" thickBot="1"/>
    <row r="113" spans="1:13" ht="25.5" thickBot="1">
      <c r="A113" s="900" t="s">
        <v>2952</v>
      </c>
      <c r="B113" s="1284">
        <f>G3</f>
        <v>3.39</v>
      </c>
      <c r="C113" s="901" t="s">
        <v>2953</v>
      </c>
      <c r="D113" s="902">
        <f>SUMPRODUCT((A115:A118=F113)*(B114:M114=H113)*B115:M118)</f>
        <v>0.84770000000000001</v>
      </c>
      <c r="E113" s="2721" t="s">
        <v>2786</v>
      </c>
      <c r="F113" s="2892" t="str">
        <f>E2</f>
        <v>住宅</v>
      </c>
      <c r="G113" s="2721" t="s">
        <v>2787</v>
      </c>
      <c r="H113" s="2892" t="str">
        <f>G2</f>
        <v>六级</v>
      </c>
      <c r="I113" s="2721"/>
      <c r="J113" s="2893"/>
      <c r="K113" s="2893"/>
      <c r="L113" s="2893"/>
      <c r="M113" s="2893"/>
    </row>
    <row r="114" spans="1:13">
      <c r="A114" s="905"/>
      <c r="B114" s="2894" t="s">
        <v>2954</v>
      </c>
      <c r="C114" s="2894" t="s">
        <v>2955</v>
      </c>
      <c r="D114" s="2894" t="s">
        <v>2956</v>
      </c>
      <c r="E114" s="2895" t="s">
        <v>2957</v>
      </c>
      <c r="F114" s="2895" t="s">
        <v>2958</v>
      </c>
      <c r="G114" s="2895" t="s">
        <v>2959</v>
      </c>
      <c r="H114" s="2896" t="s">
        <v>2960</v>
      </c>
      <c r="I114" s="2896" t="s">
        <v>2961</v>
      </c>
      <c r="J114" s="2897" t="s">
        <v>2962</v>
      </c>
      <c r="K114" s="2897" t="s">
        <v>2963</v>
      </c>
      <c r="L114" s="2897" t="s">
        <v>2964</v>
      </c>
      <c r="M114" s="2898" t="s">
        <v>2965</v>
      </c>
    </row>
    <row r="115" spans="1:13">
      <c r="A115" s="906" t="s">
        <v>2851</v>
      </c>
      <c r="B115" s="907">
        <f>ROUND(0.9335-0.0094*B113,4)</f>
        <v>0.90159999999999996</v>
      </c>
      <c r="C115" s="907">
        <f>B115</f>
        <v>0.90159999999999996</v>
      </c>
      <c r="D115" s="907">
        <f>ROUND(0.8331-0.0109*B113,4)</f>
        <v>0.79610000000000003</v>
      </c>
      <c r="E115" s="907">
        <f>D115</f>
        <v>0.79610000000000003</v>
      </c>
      <c r="F115" s="907">
        <f>E115</f>
        <v>0.79610000000000003</v>
      </c>
      <c r="G115" s="907">
        <f>F115</f>
        <v>0.79610000000000003</v>
      </c>
      <c r="H115" s="907">
        <f>G115</f>
        <v>0.79610000000000003</v>
      </c>
      <c r="I115" s="907">
        <f>ROUND(0.689-0.0155*B113,4)</f>
        <v>0.63649999999999995</v>
      </c>
      <c r="J115" s="907">
        <f t="shared" ref="J115:M118" si="33">I115</f>
        <v>0.63649999999999995</v>
      </c>
      <c r="K115" s="907">
        <f t="shared" si="33"/>
        <v>0.63649999999999995</v>
      </c>
      <c r="L115" s="907">
        <f t="shared" si="33"/>
        <v>0.63649999999999995</v>
      </c>
      <c r="M115" s="908">
        <f t="shared" si="33"/>
        <v>0.63649999999999995</v>
      </c>
    </row>
    <row r="116" spans="1:13">
      <c r="A116" s="906" t="s">
        <v>2852</v>
      </c>
      <c r="B116" s="907">
        <f>ROUND(0.949-0.012*B113,4)</f>
        <v>0.9083</v>
      </c>
      <c r="C116" s="907">
        <f>B116</f>
        <v>0.9083</v>
      </c>
      <c r="D116" s="907">
        <f>ROUND(0.8567-0.013*B113,4)</f>
        <v>0.81259999999999999</v>
      </c>
      <c r="E116" s="907">
        <f t="shared" ref="E116:H117" si="34">D116</f>
        <v>0.81259999999999999</v>
      </c>
      <c r="F116" s="907">
        <f t="shared" si="34"/>
        <v>0.81259999999999999</v>
      </c>
      <c r="G116" s="907">
        <f t="shared" si="34"/>
        <v>0.81259999999999999</v>
      </c>
      <c r="H116" s="907">
        <f t="shared" si="34"/>
        <v>0.81259999999999999</v>
      </c>
      <c r="I116" s="907">
        <f>ROUND(0.7694-0.014*B113,4)</f>
        <v>0.72189999999999999</v>
      </c>
      <c r="J116" s="907">
        <f t="shared" si="33"/>
        <v>0.72189999999999999</v>
      </c>
      <c r="K116" s="907">
        <f t="shared" si="33"/>
        <v>0.72189999999999999</v>
      </c>
      <c r="L116" s="907">
        <f t="shared" si="33"/>
        <v>0.72189999999999999</v>
      </c>
      <c r="M116" s="908">
        <f t="shared" si="33"/>
        <v>0.72189999999999999</v>
      </c>
    </row>
    <row r="117" spans="1:13">
      <c r="A117" s="906" t="s">
        <v>2853</v>
      </c>
      <c r="B117" s="907">
        <f>ROUND(0.8808-0.006*B113,4)</f>
        <v>0.86050000000000004</v>
      </c>
      <c r="C117" s="907">
        <f>B117</f>
        <v>0.86050000000000004</v>
      </c>
      <c r="D117" s="907">
        <f>ROUND(0.8748-0.008*B113,4)</f>
        <v>0.84770000000000001</v>
      </c>
      <c r="E117" s="907">
        <f t="shared" si="34"/>
        <v>0.84770000000000001</v>
      </c>
      <c r="F117" s="907">
        <f t="shared" si="34"/>
        <v>0.84770000000000001</v>
      </c>
      <c r="G117" s="907">
        <f t="shared" si="34"/>
        <v>0.84770000000000001</v>
      </c>
      <c r="H117" s="907">
        <f t="shared" si="34"/>
        <v>0.84770000000000001</v>
      </c>
      <c r="I117" s="907">
        <f>ROUND(0.7412-0.0095*B113,4)</f>
        <v>0.70899999999999996</v>
      </c>
      <c r="J117" s="907">
        <f t="shared" si="33"/>
        <v>0.70899999999999996</v>
      </c>
      <c r="K117" s="907">
        <f t="shared" si="33"/>
        <v>0.70899999999999996</v>
      </c>
      <c r="L117" s="907">
        <f t="shared" si="33"/>
        <v>0.70899999999999996</v>
      </c>
      <c r="M117" s="908">
        <f t="shared" si="33"/>
        <v>0.70899999999999996</v>
      </c>
    </row>
    <row r="118" spans="1:13" ht="13.5" thickBot="1">
      <c r="A118" s="711" t="s">
        <v>2854</v>
      </c>
      <c r="B118" s="909">
        <f>ROUND(0.7275-0.01*B113,4)</f>
        <v>0.69359999999999999</v>
      </c>
      <c r="C118" s="909">
        <f>B118</f>
        <v>0.69359999999999999</v>
      </c>
      <c r="D118" s="909">
        <f>ROUND(0.7043-0.012*B113,4)</f>
        <v>0.66359999999999997</v>
      </c>
      <c r="E118" s="909">
        <f>D118</f>
        <v>0.66359999999999997</v>
      </c>
      <c r="F118" s="909">
        <f>E118</f>
        <v>0.66359999999999997</v>
      </c>
      <c r="G118" s="909">
        <f>ROUND(0.6299-0.0122*B113,4)</f>
        <v>0.58850000000000002</v>
      </c>
      <c r="H118" s="909">
        <f>G118</f>
        <v>0.58850000000000002</v>
      </c>
      <c r="I118" s="909">
        <f>ROUND(0.5667-0.0136*B113,4)</f>
        <v>0.52059999999999995</v>
      </c>
      <c r="J118" s="909">
        <f t="shared" si="33"/>
        <v>0.52059999999999995</v>
      </c>
      <c r="K118" s="909">
        <f t="shared" si="33"/>
        <v>0.52059999999999995</v>
      </c>
      <c r="L118" s="909">
        <f t="shared" si="33"/>
        <v>0.52059999999999995</v>
      </c>
      <c r="M118" s="910">
        <f t="shared" si="33"/>
        <v>0.52059999999999995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7" t="s">
        <v>2434</v>
      </c>
      <c r="B1" s="1578"/>
      <c r="C1" s="1579"/>
      <c r="D1" s="1577"/>
      <c r="E1" s="317"/>
      <c r="F1" s="317"/>
      <c r="G1" s="1578"/>
      <c r="H1" s="317"/>
      <c r="I1" s="317"/>
      <c r="J1" s="317"/>
      <c r="K1" s="317">
        <f>MATCH(C1,'数据-取费表'!A6:A16,0)+5</f>
        <v>8</v>
      </c>
    </row>
    <row r="2" spans="1:33" ht="18" customHeight="1">
      <c r="A2" s="242" t="s">
        <v>2302</v>
      </c>
      <c r="B2" s="245">
        <f ca="1">C32</f>
        <v>51925</v>
      </c>
      <c r="C2" s="317" t="s">
        <v>2435</v>
      </c>
      <c r="D2" s="317"/>
      <c r="E2" s="317"/>
      <c r="F2" s="317"/>
      <c r="G2" s="317"/>
      <c r="H2" s="317"/>
      <c r="I2" s="317"/>
      <c r="J2" s="317"/>
      <c r="K2" s="317"/>
    </row>
    <row r="3" spans="1:33" ht="18" customHeight="1" thickBot="1">
      <c r="A3" s="244" t="s">
        <v>2304</v>
      </c>
      <c r="B3" s="245">
        <f ca="1">ROUND(B2*10000/IF(C1="",'数据-汇总表'!E3,INDIRECT("'数据-取费表'!K"&amp;$K$1)),0)</f>
        <v>11282</v>
      </c>
      <c r="C3" s="317" t="s">
        <v>2436</v>
      </c>
      <c r="D3" s="317"/>
      <c r="E3" s="317"/>
      <c r="F3" s="317"/>
      <c r="G3" s="317"/>
      <c r="H3" s="317"/>
      <c r="I3" s="317"/>
      <c r="J3" s="317"/>
      <c r="K3" s="317"/>
    </row>
    <row r="4" spans="1:33" s="953" customFormat="1" ht="16.5" customHeight="1">
      <c r="A4" s="950" t="s">
        <v>2437</v>
      </c>
      <c r="B4" s="951"/>
      <c r="C4" s="993">
        <f ca="1">SUM(C8:K8)</f>
        <v>57444</v>
      </c>
      <c r="D4" s="951"/>
      <c r="E4" s="951"/>
      <c r="F4" s="951"/>
      <c r="G4" s="951"/>
      <c r="H4" s="951"/>
      <c r="I4" s="951"/>
      <c r="J4" s="951"/>
      <c r="K4" s="952"/>
    </row>
    <row r="5" spans="1:33" s="957" customFormat="1" ht="15">
      <c r="A5" s="954" t="s">
        <v>2438</v>
      </c>
      <c r="B5" s="955" t="s">
        <v>2439</v>
      </c>
      <c r="C5" s="2551" t="s">
        <v>3048</v>
      </c>
      <c r="D5" s="2551" t="s">
        <v>3050</v>
      </c>
      <c r="E5" s="2551"/>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778</v>
      </c>
      <c r="B6" s="137" t="s">
        <v>2440</v>
      </c>
      <c r="C6" s="959">
        <v>13153</v>
      </c>
      <c r="D6" s="959">
        <f ca="1">收益法!C43</f>
        <v>9711</v>
      </c>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2441</v>
      </c>
      <c r="B7" s="137" t="s">
        <v>2442</v>
      </c>
      <c r="C7" s="318">
        <f>SUMIF('数据-汇总表'!$C19:$C33,假设开发法!C5,'数据-汇总表'!$E19:$E33)</f>
        <v>37043.53</v>
      </c>
      <c r="D7" s="318">
        <f>SUMIF('数据-汇总表'!$C19:$C33,假设开发法!D5,'数据-汇总表'!$E19:$E33)</f>
        <v>8980.48</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2443</v>
      </c>
      <c r="B8" s="174" t="s">
        <v>2444</v>
      </c>
      <c r="C8" s="994">
        <f>ROUND(C6*C7/10000,0)</f>
        <v>48723</v>
      </c>
      <c r="D8" s="994">
        <f ca="1">收益法!C40</f>
        <v>8721</v>
      </c>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2445</v>
      </c>
      <c r="B9" s="951"/>
      <c r="C9" s="951"/>
      <c r="D9" s="951"/>
      <c r="E9" s="951"/>
      <c r="F9" s="951"/>
      <c r="G9" s="951"/>
      <c r="H9" s="951"/>
      <c r="I9" s="951"/>
      <c r="J9" s="951"/>
      <c r="K9" s="952"/>
    </row>
    <row r="10" spans="1:33" s="967" customFormat="1" ht="13.5" customHeight="1">
      <c r="A10" s="954" t="s">
        <v>2446</v>
      </c>
      <c r="B10" s="5" t="s">
        <v>2447</v>
      </c>
      <c r="C10" s="963" t="s">
        <v>2448</v>
      </c>
      <c r="D10" s="964" t="s">
        <v>2449</v>
      </c>
      <c r="E10" s="964" t="s">
        <v>2450</v>
      </c>
      <c r="F10" s="964" t="s">
        <v>2451</v>
      </c>
      <c r="G10" s="5"/>
      <c r="H10" s="965"/>
      <c r="I10" s="965"/>
      <c r="J10" s="965"/>
      <c r="K10" s="966"/>
    </row>
    <row r="11" spans="1:33" s="972" customFormat="1" ht="13.5" customHeight="1">
      <c r="A11" s="968" t="s">
        <v>1305</v>
      </c>
      <c r="B11" s="969" t="s">
        <v>2452</v>
      </c>
      <c r="C11" s="320">
        <f ca="1">IF(C1="",'数据-取费表'!P16,INDIRECT("'数据-取费表'!p"&amp;$K$1)+INDIRECT("'数据-取费表'!ar"&amp;$K$1))</f>
        <v>442</v>
      </c>
      <c r="D11" s="970"/>
      <c r="E11" s="372"/>
      <c r="F11" s="971">
        <f ca="1">1-IF('数据-取费表'!B24=0,1,IF(C1="",'数据-取费表'!N16,INDIRECT("'数据-取费表'!n"&amp;$K$1)))</f>
        <v>4.0000000000000036E-2</v>
      </c>
      <c r="G11" s="5"/>
      <c r="H11" s="965"/>
      <c r="I11" s="965"/>
      <c r="J11" s="965"/>
      <c r="K11" s="966"/>
    </row>
    <row r="12" spans="1:33" s="972" customFormat="1" ht="13.5" customHeight="1">
      <c r="A12" s="968" t="s">
        <v>1306</v>
      </c>
      <c r="B12" s="969" t="s">
        <v>2453</v>
      </c>
      <c r="C12" s="21">
        <f ca="1">ROUND(C11*F12,0)</f>
        <v>13</v>
      </c>
      <c r="D12" s="970"/>
      <c r="E12" s="372"/>
      <c r="F12" s="973">
        <f>'数据-取费表'!B33</f>
        <v>0.03</v>
      </c>
      <c r="G12" s="5" t="s">
        <v>2454</v>
      </c>
      <c r="H12" s="965"/>
      <c r="I12" s="965"/>
      <c r="J12" s="965"/>
      <c r="K12" s="966"/>
    </row>
    <row r="13" spans="1:33" s="972" customFormat="1" ht="13.5" customHeight="1">
      <c r="A13" s="968" t="s">
        <v>1307</v>
      </c>
      <c r="B13" s="969" t="s">
        <v>2455</v>
      </c>
      <c r="C13" s="21">
        <f ca="1">ROUND(IF(C1="",SUMIF('数据-取费表'!C:C,"住宅",'数据-取费表'!P:P)*F13,IF(INDIRECT("'数据-取费表'!c"&amp;$K$1)="住宅",INDIRECT("'数据-取费表'!P"&amp;$K$1)*F13,0)),0)</f>
        <v>19</v>
      </c>
      <c r="D13" s="1030"/>
      <c r="E13" s="372"/>
      <c r="F13" s="973">
        <f>'数据-取费表'!B34</f>
        <v>0.05</v>
      </c>
      <c r="G13" s="5" t="s">
        <v>2456</v>
      </c>
      <c r="H13" s="965"/>
      <c r="I13" s="965"/>
      <c r="J13" s="965"/>
      <c r="K13" s="966"/>
    </row>
    <row r="14" spans="1:33" s="974" customFormat="1" ht="13.5" customHeight="1">
      <c r="A14" s="968" t="s">
        <v>1308</v>
      </c>
      <c r="B14" s="969" t="s">
        <v>2457</v>
      </c>
      <c r="C14" s="21">
        <f ca="1">ROUND(D14*E14*F11/10000,0)</f>
        <v>37</v>
      </c>
      <c r="D14" s="1030">
        <f ca="1">IF(C1="",'数据-汇总表'!E3,INDIRECT("'数据-取费表'!K"&amp;$K$1)+INDIRECT("'数据-取费表'!S"&amp;$K$1))</f>
        <v>46024.009999999995</v>
      </c>
      <c r="E14" s="21">
        <f>'数据-取费表'!B35</f>
        <v>200</v>
      </c>
      <c r="F14" s="973"/>
      <c r="G14" s="5" t="s">
        <v>2458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1309</v>
      </c>
      <c r="B15" s="969" t="s">
        <v>2459</v>
      </c>
      <c r="C15" s="980">
        <f ca="1">ROUND(C11*F15,0)</f>
        <v>7</v>
      </c>
      <c r="D15" s="975"/>
      <c r="E15" s="980"/>
      <c r="F15" s="981">
        <f>'数据-取费表'!B36</f>
        <v>1.4999999999999999E-2</v>
      </c>
      <c r="G15" s="137" t="s">
        <v>2460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779</v>
      </c>
      <c r="B16" s="969" t="s">
        <v>2461</v>
      </c>
      <c r="C16" s="980">
        <f ca="1">SUM(C11:C15)</f>
        <v>518</v>
      </c>
      <c r="D16" s="975"/>
      <c r="E16" s="980"/>
      <c r="F16" s="981"/>
      <c r="G16" s="137"/>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780</v>
      </c>
      <c r="B17" s="969" t="s">
        <v>2462</v>
      </c>
      <c r="C17" s="21">
        <f ca="1">ROUND(D17*E17/10000,0)</f>
        <v>0</v>
      </c>
      <c r="D17" s="1030">
        <f ca="1">D14</f>
        <v>46024.009999999995</v>
      </c>
      <c r="E17" s="21">
        <f>'数据-取费表'!B32</f>
        <v>0</v>
      </c>
      <c r="F17" s="975"/>
      <c r="G17" s="137" t="s">
        <v>2463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1310</v>
      </c>
      <c r="B18" s="969" t="s">
        <v>2464</v>
      </c>
      <c r="C18" s="21">
        <f ca="1">C19+C20-IF(C1="",'数据-取费表'!B29,IF(G18="已全部缴纳",C19+C20,H18))</f>
        <v>0</v>
      </c>
      <c r="D18" s="1030"/>
      <c r="E18" s="21"/>
      <c r="F18" s="973"/>
      <c r="G18" s="2553" t="s">
        <v>3068</v>
      </c>
      <c r="H18" s="1574"/>
      <c r="I18" s="2554" t="s">
        <v>2465</v>
      </c>
      <c r="J18" s="976"/>
      <c r="K18" s="977"/>
    </row>
    <row r="19" spans="1:33" s="972" customFormat="1" ht="13.5" customHeight="1">
      <c r="A19" s="968" t="s">
        <v>781</v>
      </c>
      <c r="B19" s="969" t="s">
        <v>2466</v>
      </c>
      <c r="C19" s="21">
        <f ca="1">ROUND(D19*E19/10000,0)</f>
        <v>593</v>
      </c>
      <c r="D19" s="1030">
        <f ca="1">IF(C1="",'数据-汇总表'!E5,IF(INDIRECT("'数据-取费表'!c"&amp;$K$1)="住宅",INDIRECT("'数据-取费表'!k"&amp;$K$1),0))</f>
        <v>37043.53</v>
      </c>
      <c r="E19" s="21">
        <f>'数据-取费表'!B27</f>
        <v>160</v>
      </c>
      <c r="F19" s="973"/>
      <c r="G19" s="12"/>
      <c r="H19" s="1576"/>
      <c r="I19" s="978"/>
      <c r="J19" s="978"/>
      <c r="K19" s="979"/>
    </row>
    <row r="20" spans="1:33" s="972" customFormat="1" ht="13.5" customHeight="1">
      <c r="A20" s="968" t="s">
        <v>782</v>
      </c>
      <c r="B20" s="969" t="s">
        <v>2467</v>
      </c>
      <c r="C20" s="21">
        <f ca="1">ROUND(D20*E20/10000,0)</f>
        <v>180</v>
      </c>
      <c r="D20" s="1030">
        <f ca="1">IF(C1="",'数据-汇总表'!E6,IF(INDIRECT("'数据-取费表'!c"&amp;$K$1)="住宅",INDIRECT("'数据-取费表'!s"&amp;$K$1),INDIRECT("'数据-取费表'!k"&amp;$K$1)+INDIRECT("'数据-取费表'!s"&amp;$K$1)))</f>
        <v>8980.4799999999959</v>
      </c>
      <c r="E20" s="21">
        <f>'数据-取费表'!B28</f>
        <v>200</v>
      </c>
      <c r="F20" s="973"/>
      <c r="G20" s="12"/>
      <c r="H20" s="978"/>
      <c r="I20" s="978"/>
      <c r="J20" s="978"/>
      <c r="K20" s="979"/>
    </row>
    <row r="21" spans="1:33" s="972" customFormat="1" ht="13.5" customHeight="1">
      <c r="A21" s="958" t="s">
        <v>778</v>
      </c>
      <c r="B21" s="982" t="s">
        <v>2468</v>
      </c>
      <c r="C21" s="983">
        <f ca="1">C16+C17+C18</f>
        <v>518</v>
      </c>
      <c r="D21" s="984"/>
      <c r="E21" s="322"/>
      <c r="F21" s="322"/>
      <c r="G21" s="137" t="s">
        <v>2469</v>
      </c>
      <c r="H21" s="976"/>
      <c r="I21" s="976"/>
      <c r="J21" s="976"/>
      <c r="K21" s="977"/>
    </row>
    <row r="22" spans="1:33" s="972" customFormat="1" ht="13.5" customHeight="1">
      <c r="A22" s="958" t="s">
        <v>2441</v>
      </c>
      <c r="B22" s="982" t="s">
        <v>2470</v>
      </c>
      <c r="C22" s="983">
        <f ca="1">ROUND(C21*F22,0)</f>
        <v>16</v>
      </c>
      <c r="D22" s="322"/>
      <c r="E22" s="322"/>
      <c r="F22" s="985">
        <f>'数据-取费表'!B37</f>
        <v>0.03</v>
      </c>
      <c r="G22" s="5" t="s">
        <v>2471</v>
      </c>
      <c r="H22" s="965"/>
      <c r="I22" s="965"/>
      <c r="J22" s="965"/>
      <c r="K22" s="966"/>
    </row>
    <row r="23" spans="1:33" s="972" customFormat="1" ht="13.5" customHeight="1">
      <c r="A23" s="958" t="s">
        <v>2443</v>
      </c>
      <c r="B23" s="982" t="s">
        <v>2472</v>
      </c>
      <c r="C23" s="983">
        <f ca="1">ROUND(C4*F23*F11,0)</f>
        <v>69</v>
      </c>
      <c r="D23" s="322"/>
      <c r="E23" s="322"/>
      <c r="F23" s="985">
        <f>'数据-取费表'!B38</f>
        <v>0.03</v>
      </c>
      <c r="G23" s="5" t="s">
        <v>2473</v>
      </c>
      <c r="H23" s="965"/>
      <c r="I23" s="965"/>
      <c r="J23" s="965"/>
      <c r="K23" s="966"/>
    </row>
    <row r="24" spans="1:33" s="972" customFormat="1" ht="13.5" customHeight="1">
      <c r="A24" s="958" t="s">
        <v>2474</v>
      </c>
      <c r="B24" s="982" t="s">
        <v>2475</v>
      </c>
      <c r="C24" s="321">
        <f>ROUND(F24/(1+'数据-取费表'!C42),4)</f>
        <v>2.9000000000000001E-2</v>
      </c>
      <c r="D24" s="322" t="s">
        <v>12</v>
      </c>
      <c r="E24" s="322"/>
      <c r="F24" s="985">
        <f>IF(项目基本情况!B8="出让",0,'数据-取费表'!B48+'数据-取费表'!B49)</f>
        <v>3.0499999999999999E-2</v>
      </c>
      <c r="G24" s="5" t="s">
        <v>2476</v>
      </c>
      <c r="H24" s="987"/>
      <c r="I24" s="987"/>
      <c r="J24" s="987"/>
      <c r="K24" s="988"/>
    </row>
    <row r="25" spans="1:33" s="972" customFormat="1" ht="13.5" customHeight="1">
      <c r="A25" s="958" t="s">
        <v>2477</v>
      </c>
      <c r="B25" s="984" t="s">
        <v>2478</v>
      </c>
      <c r="C25" s="1353">
        <f ca="1">C27</f>
        <v>1</v>
      </c>
      <c r="D25" s="321">
        <f ca="1">C26</f>
        <v>4.7999999999999996E-3</v>
      </c>
      <c r="E25" s="323" t="s">
        <v>12</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779</v>
      </c>
      <c r="B26" s="989" t="s">
        <v>2479</v>
      </c>
      <c r="C26" s="1354">
        <f ca="1">ROUND(IF('数据-取费表'!B22&lt;=1,(1+C24)*F25*'数据-取费表'!B24,(1+C24)*(POWER((1+F25),'数据-取费表'!B24)-1)),4)</f>
        <v>4.7999999999999996E-3</v>
      </c>
      <c r="D26" s="325"/>
      <c r="E26" s="326"/>
      <c r="F26" s="327"/>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780</v>
      </c>
      <c r="B27" s="989" t="s">
        <v>2480</v>
      </c>
      <c r="C27" s="1355">
        <f ca="1">ROUND(IF('数据-取费表'!B22&lt;=1,(C21+C22+C23)*F25*'数据-取费表'!B24/2,(C21+C22+C23)*(POWER((1+F25),'数据-取费表'!B24/2)-1)),0)</f>
        <v>1</v>
      </c>
      <c r="D27" s="325"/>
      <c r="E27" s="326"/>
      <c r="F27" s="327"/>
      <c r="G27" s="2555" t="str">
        <f>IF('数据-取费表'!B22&lt;=1,"（1）-（3）项×年利率×建设期÷2","（1）-（3）项×((1+年利率)^(建设期÷2)-1)")</f>
        <v>（1）-（3）项×((1+年利率)^(建设期÷2)-1)</v>
      </c>
      <c r="H27" s="976"/>
      <c r="I27" s="976"/>
      <c r="J27" s="976"/>
      <c r="K27" s="977"/>
    </row>
    <row r="28" spans="1:33" s="330" customFormat="1" ht="13.5" customHeight="1">
      <c r="A28" s="958" t="s">
        <v>2481</v>
      </c>
      <c r="B28" s="2556" t="s">
        <v>2482</v>
      </c>
      <c r="C28" s="328">
        <f ca="1">C30</f>
        <v>18</v>
      </c>
      <c r="D28" s="321">
        <f ca="1">C29</f>
        <v>1.5E-3</v>
      </c>
      <c r="E28" s="323" t="s">
        <v>12</v>
      </c>
      <c r="F28" s="329">
        <f ca="1">IF(C1="",'数据-取费表'!Q16,INDIRECT("'数据-取费表'!q"&amp;$K$1))</f>
        <v>0.03</v>
      </c>
      <c r="G28" s="986"/>
      <c r="H28" s="987"/>
      <c r="I28" s="987"/>
      <c r="J28" s="987"/>
      <c r="K28" s="988"/>
    </row>
    <row r="29" spans="1:33" s="332" customFormat="1" ht="13.5" customHeight="1">
      <c r="A29" s="968" t="s">
        <v>779</v>
      </c>
      <c r="B29" s="991" t="s">
        <v>2483</v>
      </c>
      <c r="C29" s="325">
        <f ca="1">ROUND((1+C24)*F28*'数据-取费表'!B24/'数据-取费表'!B20,4)</f>
        <v>1.5E-3</v>
      </c>
      <c r="D29" s="325"/>
      <c r="E29" s="326"/>
      <c r="F29" s="331"/>
      <c r="G29" s="137" t="s">
        <v>2484</v>
      </c>
      <c r="H29" s="976"/>
      <c r="I29" s="976"/>
      <c r="J29" s="976"/>
      <c r="K29" s="977"/>
    </row>
    <row r="30" spans="1:33" s="332" customFormat="1" ht="13.5" customHeight="1">
      <c r="A30" s="968" t="s">
        <v>780</v>
      </c>
      <c r="B30" s="991" t="s">
        <v>2485</v>
      </c>
      <c r="C30" s="333">
        <f ca="1">ROUND((C21+C22+C23)*F28,0)</f>
        <v>18</v>
      </c>
      <c r="D30" s="325"/>
      <c r="E30" s="326"/>
      <c r="F30" s="331"/>
      <c r="G30" s="137"/>
      <c r="H30" s="976"/>
      <c r="I30" s="976"/>
      <c r="J30" s="976"/>
      <c r="K30" s="977"/>
    </row>
    <row r="31" spans="1:33" s="972" customFormat="1" ht="13.5" customHeight="1" thickBot="1">
      <c r="A31" s="2557" t="s">
        <v>2486</v>
      </c>
      <c r="B31" s="1002" t="s">
        <v>2487</v>
      </c>
      <c r="C31" s="1003">
        <f ca="1">ROUND(C4*F31/(1+'数据-取费表'!C42),0)</f>
        <v>3064</v>
      </c>
      <c r="D31" s="1004"/>
      <c r="E31" s="1005"/>
      <c r="F31" s="1006">
        <f>'数据-取费表'!B41</f>
        <v>5.6000000000000001E-2</v>
      </c>
      <c r="G31" s="1007" t="s">
        <v>2488</v>
      </c>
      <c r="H31" s="1008"/>
      <c r="I31" s="1008"/>
      <c r="J31" s="1008"/>
      <c r="K31" s="1009"/>
    </row>
    <row r="32" spans="1:33" s="967" customFormat="1" ht="13.5" customHeight="1" thickBot="1">
      <c r="A32" s="997" t="s">
        <v>2489</v>
      </c>
      <c r="B32" s="998"/>
      <c r="C32" s="999">
        <f ca="1">ROUND((C4-C21-C22-C23-C25-C28-C31)/(1+C24+D25+D28),0)</f>
        <v>51925</v>
      </c>
      <c r="D32" s="998"/>
      <c r="E32" s="998"/>
      <c r="F32" s="998"/>
      <c r="G32" s="1000" t="s">
        <v>2490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K47" sqref="K47"/>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1559</v>
      </c>
      <c r="B1" s="779"/>
      <c r="C1" s="1834" t="s">
        <v>3050</v>
      </c>
      <c r="D1" s="1817" t="s">
        <v>3063</v>
      </c>
      <c r="E1" s="1818" t="s">
        <v>1357</v>
      </c>
      <c r="F1" s="1280">
        <f ca="1">J53</f>
        <v>41.15</v>
      </c>
      <c r="G1" s="1833">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1485</v>
      </c>
      <c r="B2" s="1841">
        <f ca="1">C40+J29+L46</f>
        <v>8750</v>
      </c>
      <c r="C2" s="1842" t="s">
        <v>1486</v>
      </c>
      <c r="D2" s="1842"/>
      <c r="E2" s="1843"/>
      <c r="F2" s="1844"/>
      <c r="G2" s="1845"/>
      <c r="H2" s="1837"/>
      <c r="I2" s="1837"/>
      <c r="J2" s="1837"/>
      <c r="K2" s="1838"/>
      <c r="L2" s="1837"/>
      <c r="M2" s="1837"/>
    </row>
    <row r="3" spans="1:37" ht="18" customHeight="1" thickBot="1">
      <c r="A3" s="1846" t="s">
        <v>1487</v>
      </c>
      <c r="B3" s="1847">
        <f ca="1">IF(ISERROR(B2*10000/F43),0,ROUND(B2*10000/F43,0))</f>
        <v>9743</v>
      </c>
      <c r="C3" s="1842" t="s">
        <v>1488</v>
      </c>
      <c r="D3" s="1842"/>
      <c r="E3" s="1843"/>
      <c r="F3" s="1844"/>
      <c r="G3" s="1845"/>
      <c r="H3" s="741" t="s">
        <v>1558</v>
      </c>
      <c r="I3" s="1837"/>
      <c r="J3" s="1837"/>
      <c r="K3" s="1838"/>
      <c r="L3" s="1837"/>
      <c r="M3" s="1837"/>
    </row>
    <row r="4" spans="1:37" ht="18" customHeight="1">
      <c r="A4" s="337" t="s">
        <v>1366</v>
      </c>
      <c r="B4" s="338" t="s">
        <v>1367</v>
      </c>
      <c r="C4" s="338" t="s">
        <v>1368</v>
      </c>
      <c r="D4" s="338" t="s">
        <v>1369</v>
      </c>
      <c r="E4" s="339" t="s">
        <v>1370</v>
      </c>
      <c r="F4" s="340"/>
      <c r="G4" s="1848"/>
      <c r="H4" s="337" t="s">
        <v>1366</v>
      </c>
      <c r="I4" s="338" t="s">
        <v>1367</v>
      </c>
      <c r="J4" s="338" t="s">
        <v>1368</v>
      </c>
      <c r="K4" s="338" t="s">
        <v>1369</v>
      </c>
      <c r="L4" s="339" t="s">
        <v>1370</v>
      </c>
      <c r="M4" s="340"/>
    </row>
    <row r="5" spans="1:37" ht="18" customHeight="1">
      <c r="A5" s="341">
        <v>1</v>
      </c>
      <c r="B5" s="342" t="s">
        <v>1371</v>
      </c>
      <c r="C5" s="1289">
        <f ca="1">C6+C10+C12</f>
        <v>444</v>
      </c>
      <c r="D5" s="1819" t="s">
        <v>1372</v>
      </c>
      <c r="E5" s="1290"/>
      <c r="F5" s="1291"/>
      <c r="G5" s="1848"/>
      <c r="H5" s="341">
        <v>1</v>
      </c>
      <c r="I5" s="342" t="s">
        <v>1371</v>
      </c>
      <c r="J5" s="1289">
        <f ca="1">J6+J10+J12</f>
        <v>0</v>
      </c>
      <c r="K5" s="1819" t="s">
        <v>1372</v>
      </c>
      <c r="L5" s="1290"/>
      <c r="M5" s="1291"/>
    </row>
    <row r="6" spans="1:37" ht="18" customHeight="1">
      <c r="A6" s="1288" t="s">
        <v>1007</v>
      </c>
      <c r="B6" s="3177" t="s">
        <v>1373</v>
      </c>
      <c r="C6" s="1293">
        <f ca="1">ROUND(F6*F8*F7*(1-F9)/10000,0)</f>
        <v>443</v>
      </c>
      <c r="D6" s="161" t="s">
        <v>3003</v>
      </c>
      <c r="E6" s="344" t="s">
        <v>1375</v>
      </c>
      <c r="F6" s="345">
        <f ca="1">INDIRECT("'数据-取费表'!u"&amp;$G$1)</f>
        <v>1.5</v>
      </c>
      <c r="G6" s="1848"/>
      <c r="H6" s="1288" t="s">
        <v>1007</v>
      </c>
      <c r="I6" s="3177" t="s">
        <v>1373</v>
      </c>
      <c r="J6" s="343">
        <f ca="1">ROUND(M6*M8*M7*(1-M9)/10000,0)</f>
        <v>0</v>
      </c>
      <c r="K6" s="161" t="s">
        <v>3002</v>
      </c>
      <c r="L6" s="344" t="s">
        <v>1375</v>
      </c>
      <c r="M6" s="345">
        <f ca="1">INDIRECT("'数据-取费表'!z"&amp;$G$1)</f>
        <v>0</v>
      </c>
    </row>
    <row r="7" spans="1:37" ht="18" customHeight="1">
      <c r="A7" s="1292"/>
      <c r="B7" s="3178"/>
      <c r="C7" s="1294"/>
      <c r="D7" s="349"/>
      <c r="E7" s="1295" t="s">
        <v>1376</v>
      </c>
      <c r="F7" s="345">
        <f ca="1">IF(INDIRECT("'数据-取费表'!ah"&amp;$G$1)="",INDIRECT("'数据-取费表'!k"&amp;$G$1),INDIRECT("'数据-取费表'!ah"&amp;$G$1))</f>
        <v>8980.48</v>
      </c>
      <c r="G7" s="1848"/>
      <c r="H7" s="346"/>
      <c r="I7" s="3178"/>
      <c r="J7" s="348"/>
      <c r="K7" s="349"/>
      <c r="L7" s="344" t="s">
        <v>1376</v>
      </c>
      <c r="M7" s="345">
        <f ca="1">F7</f>
        <v>8980.48</v>
      </c>
    </row>
    <row r="8" spans="1:37" ht="18" customHeight="1">
      <c r="A8" s="346"/>
      <c r="B8" s="3178"/>
      <c r="C8" s="348"/>
      <c r="D8" s="349"/>
      <c r="E8" s="344" t="s">
        <v>1377</v>
      </c>
      <c r="F8" s="345">
        <f ca="1">INDIRECT("'数据-取费表'!ai"&amp;$G$1)</f>
        <v>365</v>
      </c>
      <c r="G8" s="1848"/>
      <c r="H8" s="346"/>
      <c r="I8" s="3178"/>
      <c r="J8" s="348"/>
      <c r="K8" s="349"/>
      <c r="L8" s="344" t="s">
        <v>1377</v>
      </c>
      <c r="M8" s="345">
        <f ca="1">INDIRECT("'数据-取费表'!ai"&amp;$G$1)</f>
        <v>365</v>
      </c>
    </row>
    <row r="9" spans="1:37" ht="18" customHeight="1">
      <c r="A9" s="346"/>
      <c r="B9" s="3179"/>
      <c r="C9" s="348"/>
      <c r="D9" s="349"/>
      <c r="E9" s="344" t="s">
        <v>1378</v>
      </c>
      <c r="F9" s="354">
        <f ca="1">INDIRECT("'数据-取费表'!w"&amp;$G$1)</f>
        <v>0.1</v>
      </c>
      <c r="G9" s="1848"/>
      <c r="H9" s="346"/>
      <c r="I9" s="3179"/>
      <c r="J9" s="348"/>
      <c r="K9" s="349"/>
      <c r="L9" s="355" t="s">
        <v>1378</v>
      </c>
      <c r="M9" s="356">
        <f ca="1">INDIRECT("'数据-取费表'!ab"&amp;$G$1)</f>
        <v>0</v>
      </c>
    </row>
    <row r="10" spans="1:37" ht="18" customHeight="1">
      <c r="A10" s="1288" t="s">
        <v>1011</v>
      </c>
      <c r="B10" s="1820" t="s">
        <v>1379</v>
      </c>
      <c r="C10" s="358">
        <f ca="1">ROUND(IF(F10="押一",C6/12*F11,IF(F10="押二",C6/12*2*F11,IF(F10="押三",C6/12*3*F11,C11*F11))),0)</f>
        <v>1</v>
      </c>
      <c r="D10" s="1821" t="s">
        <v>3012</v>
      </c>
      <c r="E10" s="355" t="s">
        <v>1380</v>
      </c>
      <c r="F10" s="1363" t="s">
        <v>3064</v>
      </c>
      <c r="G10" s="1848"/>
      <c r="H10" s="1288" t="s">
        <v>1011</v>
      </c>
      <c r="I10" s="1820" t="s">
        <v>1379</v>
      </c>
      <c r="J10" s="343">
        <f ca="1">ROUND(IF(M10="押一",J6/12*M11,IF(M10="押二",J6/12*2*M11,IF(M10="押三",J6/12*3*M11,J11*M11))),0)</f>
        <v>0</v>
      </c>
      <c r="K10" s="1821" t="s">
        <v>3011</v>
      </c>
      <c r="L10" s="355" t="s">
        <v>1380</v>
      </c>
      <c r="M10" s="1363" t="s">
        <v>1381</v>
      </c>
    </row>
    <row r="11" spans="1:37" ht="18" customHeight="1">
      <c r="A11" s="350"/>
      <c r="B11" s="1822" t="s">
        <v>1358</v>
      </c>
      <c r="C11" s="1175"/>
      <c r="D11" s="1823"/>
      <c r="E11" s="355" t="s">
        <v>1382</v>
      </c>
      <c r="F11" s="356">
        <f ca="1">'数据-取费表'!B39</f>
        <v>1.4999999999999999E-2</v>
      </c>
      <c r="G11" s="1848"/>
      <c r="H11" s="1296"/>
      <c r="I11" s="1822" t="s">
        <v>1358</v>
      </c>
      <c r="J11" s="1175"/>
      <c r="K11" s="745"/>
      <c r="L11" s="355" t="s">
        <v>1382</v>
      </c>
      <c r="M11" s="1053">
        <f ca="1">'数据-取费表'!B39</f>
        <v>1.4999999999999999E-2</v>
      </c>
    </row>
    <row r="12" spans="1:37" ht="18" customHeight="1" thickBot="1">
      <c r="A12" s="1330" t="s">
        <v>1047</v>
      </c>
      <c r="B12" s="1824" t="s">
        <v>1383</v>
      </c>
      <c r="C12" s="1331"/>
      <c r="D12" s="1332"/>
      <c r="E12" s="1337"/>
      <c r="F12" s="1333"/>
      <c r="G12" s="1848"/>
      <c r="H12" s="1330" t="s">
        <v>1047</v>
      </c>
      <c r="I12" s="1824" t="s">
        <v>1383</v>
      </c>
      <c r="J12" s="1331"/>
      <c r="K12" s="1345"/>
      <c r="L12" s="1337"/>
      <c r="M12" s="1346"/>
    </row>
    <row r="13" spans="1:37" ht="18" customHeight="1" thickTop="1">
      <c r="A13" s="1326">
        <v>2</v>
      </c>
      <c r="B13" s="1327" t="s">
        <v>1384</v>
      </c>
      <c r="C13" s="352">
        <f ca="1">ROUND(C29*F13,0)</f>
        <v>2498</v>
      </c>
      <c r="D13" s="1328" t="s">
        <v>1385</v>
      </c>
      <c r="E13" s="1328" t="s">
        <v>1386</v>
      </c>
      <c r="F13" s="1329">
        <f ca="1">INDIRECT("'数据-取费表'!y"&amp;$G$1)</f>
        <v>1</v>
      </c>
      <c r="G13" s="1848"/>
      <c r="H13" s="1326">
        <v>2</v>
      </c>
      <c r="I13" s="1327" t="s">
        <v>1384</v>
      </c>
      <c r="J13" s="1287">
        <f ca="1">ROUND(J14*J15,0)</f>
        <v>0</v>
      </c>
      <c r="K13" s="1334" t="s">
        <v>1385</v>
      </c>
      <c r="L13" s="1849"/>
      <c r="M13" s="1850"/>
    </row>
    <row r="14" spans="1:37" ht="18" customHeight="1">
      <c r="A14" s="1198" t="s">
        <v>1006</v>
      </c>
      <c r="B14" s="344" t="s">
        <v>1387</v>
      </c>
      <c r="C14" s="360">
        <f ca="1">INDIRECT("'数据-取费表'!m"&amp;$G$1)+INDIRECT("'数据-取费表'!t"&amp;$G$1)</f>
        <v>1796</v>
      </c>
      <c r="D14" s="1797" t="s">
        <v>1388</v>
      </c>
      <c r="E14" s="1791"/>
      <c r="F14" s="361"/>
      <c r="G14" s="1848"/>
      <c r="H14" s="1198" t="s">
        <v>1007</v>
      </c>
      <c r="I14" s="344" t="s">
        <v>1389</v>
      </c>
      <c r="J14" s="21">
        <f ca="1">C29</f>
        <v>2498</v>
      </c>
      <c r="K14" s="12"/>
      <c r="L14" s="976"/>
      <c r="M14" s="977"/>
    </row>
    <row r="15" spans="1:37" s="1855" customFormat="1" ht="18" customHeight="1" thickBot="1">
      <c r="A15" s="1198" t="s">
        <v>1008</v>
      </c>
      <c r="B15" s="344" t="s">
        <v>1390</v>
      </c>
      <c r="C15" s="21">
        <f ca="1">ROUND(C14*F15,0)</f>
        <v>54</v>
      </c>
      <c r="D15" s="362" t="s">
        <v>1391</v>
      </c>
      <c r="E15" s="362" t="s">
        <v>1392</v>
      </c>
      <c r="F15" s="363">
        <f>'数据-取费表'!B33</f>
        <v>0.03</v>
      </c>
      <c r="G15" s="1851"/>
      <c r="H15" s="1336" t="s">
        <v>1011</v>
      </c>
      <c r="I15" s="1337" t="s">
        <v>1386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1359</v>
      </c>
      <c r="B16" s="344" t="s">
        <v>1393</v>
      </c>
      <c r="C16" s="21">
        <f ca="1">ROUND(INDIRECT("'数据-取费表'!m"&amp;$G$1)*F16,0)</f>
        <v>0</v>
      </c>
      <c r="D16" s="344" t="s">
        <v>1391</v>
      </c>
      <c r="E16" s="344" t="s">
        <v>1392</v>
      </c>
      <c r="F16" s="364">
        <f ca="1">IF(INDIRECT("'数据-取费表'!c"&amp;$G$1)="住宅",'数据-取费表'!B34,0)</f>
        <v>0</v>
      </c>
      <c r="G16" s="1848"/>
      <c r="H16" s="1326" t="s">
        <v>1002</v>
      </c>
      <c r="I16" s="1327" t="s">
        <v>1394</v>
      </c>
      <c r="J16" s="352">
        <f ca="1">ROUND(J17+J22+J23+J24,0)</f>
        <v>59</v>
      </c>
      <c r="K16" s="1334" t="s">
        <v>1395</v>
      </c>
      <c r="L16" s="1335"/>
      <c r="M16" s="1291"/>
    </row>
    <row r="17" spans="1:37" s="1855" customFormat="1" ht="18" customHeight="1">
      <c r="A17" s="1198" t="s">
        <v>1360</v>
      </c>
      <c r="B17" s="344" t="s">
        <v>1396</v>
      </c>
      <c r="C17" s="21">
        <f ca="1">ROUND(F17*(F43+INDIRECT("'数据-取费表'!S"&amp;$G$1))/10000,0)</f>
        <v>180</v>
      </c>
      <c r="D17" s="344" t="s">
        <v>1397</v>
      </c>
      <c r="E17" s="344" t="s">
        <v>1398</v>
      </c>
      <c r="F17" s="23">
        <f>'数据-取费表'!B35</f>
        <v>200</v>
      </c>
      <c r="G17" s="1851"/>
      <c r="H17" s="1198" t="s">
        <v>1007</v>
      </c>
      <c r="I17" s="344" t="s">
        <v>1399</v>
      </c>
      <c r="J17" s="21">
        <f ca="1">ROUND(IF(项目基本情况!B11="自然人",J6*M17/(1+'数据-取费表'!C42),J18+J19+J20),1)</f>
        <v>21.3</v>
      </c>
      <c r="K17" s="1797" t="s">
        <v>1400</v>
      </c>
      <c r="L17" s="1795" t="s">
        <v>1401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1361</v>
      </c>
      <c r="B18" s="344" t="s">
        <v>1402</v>
      </c>
      <c r="C18" s="21">
        <f ca="1">ROUND(C14*F18,0)</f>
        <v>27</v>
      </c>
      <c r="D18" s="344" t="s">
        <v>1391</v>
      </c>
      <c r="E18" s="344" t="s">
        <v>1392</v>
      </c>
      <c r="F18" s="364">
        <f>'数据-取费表'!B36</f>
        <v>1.4999999999999999E-2</v>
      </c>
      <c r="G18" s="1851"/>
      <c r="H18" s="1198" t="s">
        <v>1006</v>
      </c>
      <c r="I18" s="344" t="s">
        <v>1403</v>
      </c>
      <c r="J18" s="21">
        <f ca="1">ROUND(J6*M18/(1+'数据-取费表'!C42),2)</f>
        <v>0</v>
      </c>
      <c r="K18" s="1795" t="s">
        <v>1404</v>
      </c>
      <c r="L18" s="344" t="s">
        <v>1392</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1007</v>
      </c>
      <c r="B19" s="344" t="s">
        <v>1405</v>
      </c>
      <c r="C19" s="21">
        <f ca="1">SUM(C14:C18)</f>
        <v>2057</v>
      </c>
      <c r="D19" s="137" t="s">
        <v>1406</v>
      </c>
      <c r="E19" s="1815"/>
      <c r="F19" s="23"/>
      <c r="G19" s="1848"/>
      <c r="H19" s="1198" t="s">
        <v>1008</v>
      </c>
      <c r="I19" s="344" t="s">
        <v>1407</v>
      </c>
      <c r="J19" s="21">
        <f ca="1">IF(K19="按租金收入计税",ROUND(J6*M19/(1+'数据-取费表'!C42),2),ROUND(C29*M19*0.7,2))</f>
        <v>20.98</v>
      </c>
      <c r="K19" s="1825" t="s">
        <v>1408</v>
      </c>
      <c r="L19" s="344" t="s">
        <v>1392</v>
      </c>
      <c r="M19" s="364">
        <f>IF(K19="按租金收入计税",'数据-取费表'!B51,'数据-取费表'!B50)</f>
        <v>1.2E-2</v>
      </c>
    </row>
    <row r="20" spans="1:37" s="1855" customFormat="1" ht="18" customHeight="1">
      <c r="A20" s="1198" t="s">
        <v>1011</v>
      </c>
      <c r="B20" s="344" t="s">
        <v>1409</v>
      </c>
      <c r="C20" s="21">
        <f ca="1">ROUND(C19*F20,0)</f>
        <v>62</v>
      </c>
      <c r="D20" s="366" t="s">
        <v>1410</v>
      </c>
      <c r="E20" s="344" t="s">
        <v>1392</v>
      </c>
      <c r="F20" s="364">
        <f>'数据-取费表'!B37</f>
        <v>0.03</v>
      </c>
      <c r="G20" s="1851"/>
      <c r="H20" s="1198" t="s">
        <v>1359</v>
      </c>
      <c r="I20" s="161" t="s">
        <v>1411</v>
      </c>
      <c r="J20" s="22">
        <f ca="1">ROUND(M20*M21/10000,2)</f>
        <v>0.32</v>
      </c>
      <c r="K20" s="367" t="s">
        <v>1412</v>
      </c>
      <c r="L20" s="344" t="s">
        <v>1413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1047</v>
      </c>
      <c r="B21" s="344" t="s">
        <v>1414</v>
      </c>
      <c r="C21" s="21" t="s">
        <v>15</v>
      </c>
      <c r="D21" s="366" t="s">
        <v>1415</v>
      </c>
      <c r="E21" s="344" t="s">
        <v>1416</v>
      </c>
      <c r="F21" s="364">
        <f>'数据-取费表'!B38</f>
        <v>0.03</v>
      </c>
      <c r="G21" s="1851"/>
      <c r="H21" s="369"/>
      <c r="I21" s="353"/>
      <c r="J21" s="26"/>
      <c r="K21" s="370"/>
      <c r="L21" s="344" t="s">
        <v>1417</v>
      </c>
      <c r="M21" s="345">
        <f ca="1">INDIRECT("'数据-取费表'!r"&amp;$G$1)</f>
        <v>2134.46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1362</v>
      </c>
      <c r="B22" s="344" t="s">
        <v>1418</v>
      </c>
      <c r="C22" s="21"/>
      <c r="D22" s="137" t="str">
        <f>IF(F23&lt;=1,"单利计息。","复利计息。")&amp;"建造成本、管理费用、销售费用产生的利息。"</f>
        <v>复利计息。建造成本、管理费用、销售费用产生的利息。</v>
      </c>
      <c r="E22" s="1815"/>
      <c r="F22" s="23"/>
      <c r="G22" s="1848"/>
      <c r="H22" s="1198" t="s">
        <v>1011</v>
      </c>
      <c r="I22" s="344" t="s">
        <v>1419</v>
      </c>
      <c r="J22" s="21">
        <f ca="1">ROUND(J14*M22,1)</f>
        <v>37.5</v>
      </c>
      <c r="K22" s="1795" t="s">
        <v>1420</v>
      </c>
      <c r="L22" s="344" t="s">
        <v>1392</v>
      </c>
      <c r="M22" s="371">
        <f ca="1">INDIRECT("'数据-取费表'!Ak"&amp;$G$1)</f>
        <v>1.4999999999999999E-2</v>
      </c>
    </row>
    <row r="23" spans="1:37" s="1855" customFormat="1" ht="18" customHeight="1">
      <c r="A23" s="1198" t="s">
        <v>1006</v>
      </c>
      <c r="B23" s="344" t="s">
        <v>1421</v>
      </c>
      <c r="C23" s="21">
        <f ca="1">IF('数据-取费表'!B22&lt;=1,ROUND(C19*F24*F23/2,0)+ROUND(C20*F24*F23/2,0),ROUND(C19*(POWER((1+F24),F23/2)-1),0)+ROUND(C20*(POWER((1+F24),F23/2)-1),0))</f>
        <v>101</v>
      </c>
      <c r="D23" s="372" t="str">
        <f>IF(F23&lt;=1,"(建造成本+管理费用)×利率×(建设周期÷2)","(建造成本+管理费用)×((1+利率)^(建设周期÷2)-1)")</f>
        <v>(建造成本+管理费用)×((1+利率)^(建设周期÷2)-1)</v>
      </c>
      <c r="E23" s="344" t="s">
        <v>1422</v>
      </c>
      <c r="F23" s="368">
        <f>'数据-取费表'!B20</f>
        <v>2</v>
      </c>
      <c r="G23" s="1851"/>
      <c r="H23" s="1198" t="s">
        <v>1047</v>
      </c>
      <c r="I23" s="344" t="s">
        <v>1423</v>
      </c>
      <c r="J23" s="21">
        <f ca="1">ROUND(J13*M23,1)</f>
        <v>0</v>
      </c>
      <c r="K23" s="1795" t="s">
        <v>1424</v>
      </c>
      <c r="L23" s="344" t="s">
        <v>1425</v>
      </c>
      <c r="M23" s="373">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1426</v>
      </c>
      <c r="B24" s="344" t="s">
        <v>1427</v>
      </c>
      <c r="C24" s="21">
        <f ca="1">ROUND(IF('数据-取费表'!B22&lt;=1,F21*F24*F23/2,F21*(POWER((1+F24),F23/2)-1)),4)</f>
        <v>1.4E-3</v>
      </c>
      <c r="D24" s="372" t="str">
        <f>IF(F23&lt;=1,"销售费用×利率×(建设周期÷2)","销售费用×((1+利率)^(建设周期÷2)-1)")</f>
        <v>销售费用×((1+利率)^(建设周期÷2)-1)</v>
      </c>
      <c r="E24" s="344" t="s">
        <v>1428</v>
      </c>
      <c r="F24" s="374">
        <f ca="1">'数据-取费表'!B40</f>
        <v>4.7500000000000001E-2</v>
      </c>
      <c r="G24" s="1851"/>
      <c r="H24" s="1336" t="s">
        <v>1363</v>
      </c>
      <c r="I24" s="1337" t="s">
        <v>1409</v>
      </c>
      <c r="J24" s="1338">
        <f ca="1">ROUND(J5*M24,1)</f>
        <v>0</v>
      </c>
      <c r="K24" s="1339" t="s">
        <v>1429</v>
      </c>
      <c r="L24" s="1337" t="s">
        <v>1425</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1430</v>
      </c>
      <c r="B25" s="344" t="s">
        <v>1431</v>
      </c>
      <c r="C25" s="21"/>
      <c r="D25" s="137" t="s">
        <v>1432</v>
      </c>
      <c r="E25" s="1815"/>
      <c r="F25" s="23"/>
      <c r="G25" s="1848"/>
      <c r="H25" s="1326" t="s">
        <v>1003</v>
      </c>
      <c r="I25" s="1341" t="s">
        <v>1433</v>
      </c>
      <c r="J25" s="352">
        <f ca="1">J5-J16</f>
        <v>-59</v>
      </c>
      <c r="K25" s="1342" t="s">
        <v>1434</v>
      </c>
      <c r="L25" s="1343"/>
      <c r="M25" s="1344"/>
    </row>
    <row r="26" spans="1:37">
      <c r="A26" s="1198" t="s">
        <v>1006</v>
      </c>
      <c r="B26" s="344" t="s">
        <v>1435</v>
      </c>
      <c r="C26" s="21">
        <f ca="1">ROUND((C19+C20)*F26,0)</f>
        <v>64</v>
      </c>
      <c r="D26" s="366" t="s">
        <v>1436</v>
      </c>
      <c r="E26" s="355" t="s">
        <v>1437</v>
      </c>
      <c r="F26" s="354">
        <f ca="1">INDIRECT("'数据-取费表'!q"&amp;$G$1)</f>
        <v>0.03</v>
      </c>
      <c r="G26" s="1848"/>
      <c r="H26" s="341" t="s">
        <v>1004</v>
      </c>
      <c r="I26" s="342" t="s">
        <v>1438</v>
      </c>
      <c r="J26" s="343">
        <f ca="1">IF(J5&lt;&gt;0,ROUND(J25*(1-((1+M28)/(1+M26))^M27)/(M26-M28),0),0)</f>
        <v>0</v>
      </c>
      <c r="K26" s="367" t="s">
        <v>1439</v>
      </c>
      <c r="L26" s="344" t="s">
        <v>1440</v>
      </c>
      <c r="M26" s="354">
        <f ca="1">INDIRECT("'数据-取费表'!I"&amp;$G$1)</f>
        <v>4.4999999999999998E-2</v>
      </c>
    </row>
    <row r="27" spans="1:37" ht="18" customHeight="1">
      <c r="A27" s="1198" t="s">
        <v>1008</v>
      </c>
      <c r="B27" s="344" t="s">
        <v>1441</v>
      </c>
      <c r="C27" s="21">
        <f ca="1">ROUND(F21*F26,4)</f>
        <v>8.9999999999999998E-4</v>
      </c>
      <c r="D27" s="366" t="s">
        <v>1442</v>
      </c>
      <c r="E27" s="362"/>
      <c r="F27" s="363"/>
      <c r="G27" s="1848"/>
      <c r="H27" s="346"/>
      <c r="I27" s="347"/>
      <c r="J27" s="348"/>
      <c r="K27" s="375" t="s">
        <v>1443</v>
      </c>
      <c r="L27" s="344" t="s">
        <v>1444</v>
      </c>
      <c r="M27" s="376">
        <f ca="1">INDIRECT("'数据-取费表'!ag"&amp;$G$1)</f>
        <v>0</v>
      </c>
    </row>
    <row r="28" spans="1:37" s="1855" customFormat="1" ht="18" customHeight="1">
      <c r="A28" s="1198" t="s">
        <v>1009</v>
      </c>
      <c r="B28" s="344" t="s">
        <v>1445</v>
      </c>
      <c r="C28" s="21">
        <f>ROUND(F28/(1+'数据-取费表'!C42),4)</f>
        <v>5.33E-2</v>
      </c>
      <c r="D28" s="366" t="s">
        <v>1446</v>
      </c>
      <c r="E28" s="344" t="s">
        <v>1392</v>
      </c>
      <c r="F28" s="364">
        <f>'数据-取费表'!B41</f>
        <v>5.6000000000000001E-2</v>
      </c>
      <c r="G28" s="1851"/>
      <c r="H28" s="350"/>
      <c r="I28" s="351"/>
      <c r="J28" s="352"/>
      <c r="K28" s="370"/>
      <c r="L28" s="344" t="s">
        <v>1447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1010</v>
      </c>
      <c r="B29" s="1337" t="s">
        <v>1448</v>
      </c>
      <c r="C29" s="1338">
        <f ca="1">ROUND((C19+C20+C23+C26)/(1-F21-C24-C27-C28),0)</f>
        <v>2498</v>
      </c>
      <c r="D29" s="1339"/>
      <c r="E29" s="1337"/>
      <c r="F29" s="1340"/>
      <c r="G29" s="1851"/>
      <c r="H29" s="377" t="s">
        <v>1005</v>
      </c>
      <c r="I29" s="378" t="s">
        <v>1449</v>
      </c>
      <c r="J29" s="379">
        <f ca="1">ROUND(J26/(1+F40)^F41,0)</f>
        <v>0</v>
      </c>
      <c r="K29" s="380" t="s">
        <v>1450</v>
      </c>
      <c r="L29" s="381"/>
      <c r="M29" s="382">
        <f ca="1">INDIRECT("'数据-取费表'!k"&amp;$G$1)</f>
        <v>8980.48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1002</v>
      </c>
      <c r="B30" s="1327" t="s">
        <v>1394</v>
      </c>
      <c r="C30" s="352">
        <f ca="1">ROUND(C31+C36+C37+C38,0)</f>
        <v>126</v>
      </c>
      <c r="D30" s="1334" t="s">
        <v>1395</v>
      </c>
      <c r="E30" s="1335"/>
      <c r="F30" s="1291"/>
      <c r="G30" s="1848"/>
      <c r="H30" s="742"/>
      <c r="I30" s="743"/>
      <c r="J30" s="744"/>
      <c r="K30" s="745"/>
      <c r="L30" s="746"/>
      <c r="M30" s="747"/>
    </row>
    <row r="31" spans="1:37" ht="18" customHeight="1">
      <c r="A31" s="1198" t="s">
        <v>1007</v>
      </c>
      <c r="B31" s="344" t="s">
        <v>1399</v>
      </c>
      <c r="C31" s="21">
        <f ca="1">ROUND(IF(项目基本情况!B11="自然人",C6*F31/(1+'数据-取费表'!C42),C32+C33+C34),1)</f>
        <v>74.599999999999994</v>
      </c>
      <c r="D31" s="1797" t="s">
        <v>1400</v>
      </c>
      <c r="E31" s="1795" t="s">
        <v>1451</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1006</v>
      </c>
      <c r="B32" s="344" t="s">
        <v>1403</v>
      </c>
      <c r="C32" s="21">
        <f ca="1">IF(项目基本情况!B11="自然人","——",ROUND(C6*F32/(1+'数据-取费表'!C42),2))</f>
        <v>23.63</v>
      </c>
      <c r="D32" s="1795" t="s">
        <v>1404</v>
      </c>
      <c r="E32" s="344" t="s">
        <v>1392</v>
      </c>
      <c r="F32" s="374">
        <f>'数据-取费表'!B41</f>
        <v>5.6000000000000001E-2</v>
      </c>
      <c r="G32" s="1848"/>
      <c r="H32" s="742"/>
      <c r="I32" s="743"/>
      <c r="J32" s="744"/>
      <c r="K32" s="745"/>
      <c r="L32" s="746"/>
      <c r="M32" s="747"/>
    </row>
    <row r="33" spans="1:18" ht="18" customHeight="1">
      <c r="A33" s="1198" t="s">
        <v>1008</v>
      </c>
      <c r="B33" s="344" t="s">
        <v>1407</v>
      </c>
      <c r="C33" s="21">
        <f ca="1">IF(项目基本情况!B11="自然人","——",IF(D33="按租金收入计税",ROUND(C6*F33/(1+'数据-取费表'!C42),2),IF(D33="按房产原值计税",ROUND(C29*F33*0.7,2),INDIRECT("'数据-取费表'!Aj"&amp;$G$1))))</f>
        <v>50.63</v>
      </c>
      <c r="D33" s="1825" t="s">
        <v>3067</v>
      </c>
      <c r="E33" s="344" t="s">
        <v>1392</v>
      </c>
      <c r="F33" s="364">
        <f>IF(D33="按票据","——",IF(D33="按租金收入计税",'数据-取费表'!B51,'数据-取费表'!B50))</f>
        <v>0.12</v>
      </c>
      <c r="G33" s="1848"/>
      <c r="H33" s="1856"/>
      <c r="I33" s="1857"/>
      <c r="J33" s="1858"/>
      <c r="K33" s="1859"/>
      <c r="L33" s="1856"/>
      <c r="M33" s="1856"/>
    </row>
    <row r="34" spans="1:18" ht="18" customHeight="1">
      <c r="A34" s="1288" t="s">
        <v>1359</v>
      </c>
      <c r="B34" s="161" t="s">
        <v>1411</v>
      </c>
      <c r="C34" s="22">
        <f ca="1">IF(项目基本情况!B11="自然人","——",ROUND(F34*F35/10000,2))</f>
        <v>0.32</v>
      </c>
      <c r="D34" s="367" t="s">
        <v>1412</v>
      </c>
      <c r="E34" s="344" t="s">
        <v>1413</v>
      </c>
      <c r="F34" s="368">
        <f>'数据-取费表'!B52</f>
        <v>1.5</v>
      </c>
      <c r="G34" s="1848"/>
      <c r="H34" s="742"/>
      <c r="I34" s="1857"/>
      <c r="J34" s="1858"/>
      <c r="K34" s="1860"/>
      <c r="L34" s="1861"/>
      <c r="M34" s="1861"/>
    </row>
    <row r="35" spans="1:18" ht="18" customHeight="1">
      <c r="A35" s="1350"/>
      <c r="B35" s="1348"/>
      <c r="C35" s="26"/>
      <c r="D35" s="370"/>
      <c r="E35" s="344" t="s">
        <v>1417</v>
      </c>
      <c r="F35" s="345">
        <f ca="1">INDIRECT("'数据-取费表'!r"&amp;$G$1)</f>
        <v>2134.46</v>
      </c>
      <c r="G35" s="1848"/>
      <c r="H35" s="742"/>
      <c r="I35" s="1857"/>
      <c r="J35" s="1858"/>
      <c r="K35" s="1859"/>
      <c r="L35" s="1856"/>
      <c r="M35" s="1856"/>
    </row>
    <row r="36" spans="1:18" ht="18" customHeight="1">
      <c r="A36" s="1349" t="s">
        <v>1011</v>
      </c>
      <c r="B36" s="344" t="s">
        <v>1419</v>
      </c>
      <c r="C36" s="21">
        <f ca="1">ROUND(C29*F36,1)</f>
        <v>37.5</v>
      </c>
      <c r="D36" s="1795" t="s">
        <v>1452</v>
      </c>
      <c r="E36" s="344" t="s">
        <v>1392</v>
      </c>
      <c r="F36" s="371">
        <f ca="1">INDIRECT("'数据-取费表'!Ak"&amp;$G$1)</f>
        <v>1.4999999999999999E-2</v>
      </c>
      <c r="G36" s="1848"/>
      <c r="H36" s="1856"/>
      <c r="I36" s="1857"/>
      <c r="J36" s="1858"/>
      <c r="K36" s="748"/>
      <c r="L36" s="1856"/>
      <c r="M36" s="1856"/>
    </row>
    <row r="37" spans="1:18" ht="18" customHeight="1">
      <c r="A37" s="1198" t="s">
        <v>1047</v>
      </c>
      <c r="B37" s="344" t="s">
        <v>1423</v>
      </c>
      <c r="C37" s="21">
        <f ca="1">ROUND(C13*F37,1)</f>
        <v>5</v>
      </c>
      <c r="D37" s="1795" t="s">
        <v>1424</v>
      </c>
      <c r="E37" s="344" t="s">
        <v>1425</v>
      </c>
      <c r="F37" s="373">
        <f ca="1">INDIRECT("'数据-取费表'!Al"&amp;$G$1)</f>
        <v>2E-3</v>
      </c>
      <c r="G37" s="1848"/>
      <c r="H37" s="1856"/>
      <c r="I37" s="1857"/>
      <c r="J37" s="1858"/>
      <c r="K37" s="748"/>
      <c r="L37" s="1856"/>
      <c r="M37" s="1856"/>
    </row>
    <row r="38" spans="1:18" ht="18" customHeight="1" thickBot="1">
      <c r="A38" s="1336" t="s">
        <v>1363</v>
      </c>
      <c r="B38" s="1337" t="s">
        <v>1409</v>
      </c>
      <c r="C38" s="1338">
        <f ca="1">ROUND(C5*F38,1)</f>
        <v>8.9</v>
      </c>
      <c r="D38" s="1339" t="s">
        <v>1429</v>
      </c>
      <c r="E38" s="1337" t="s">
        <v>1425</v>
      </c>
      <c r="F38" s="1333">
        <f ca="1">INDIRECT("'数据-取费表'!Am"&amp;$G$1)</f>
        <v>0.02</v>
      </c>
      <c r="G38" s="1848"/>
      <c r="H38" s="1856"/>
      <c r="I38" s="1857"/>
      <c r="J38" s="1858"/>
      <c r="K38" s="1862"/>
      <c r="L38" s="1856"/>
      <c r="M38" s="1856"/>
    </row>
    <row r="39" spans="1:18" ht="24.6" customHeight="1" thickTop="1">
      <c r="A39" s="1326" t="s">
        <v>1003</v>
      </c>
      <c r="B39" s="1341" t="s">
        <v>1453</v>
      </c>
      <c r="C39" s="352">
        <f ca="1">C5-C30</f>
        <v>318</v>
      </c>
      <c r="D39" s="1342" t="s">
        <v>1454</v>
      </c>
      <c r="E39" s="1343"/>
      <c r="F39" s="1344"/>
      <c r="G39" s="1848"/>
      <c r="H39" s="1856"/>
      <c r="I39" s="1857"/>
      <c r="J39" s="1858"/>
      <c r="K39" s="1862"/>
      <c r="L39" s="1856"/>
      <c r="M39" s="1856"/>
    </row>
    <row r="40" spans="1:18" ht="18" customHeight="1">
      <c r="A40" s="341" t="s">
        <v>1004</v>
      </c>
      <c r="B40" s="342" t="s">
        <v>1455</v>
      </c>
      <c r="C40" s="343">
        <f ca="1">ROUND(C39*(1-((1+F42)/(1+F40))^F41)/(F40-F42),0)</f>
        <v>8721</v>
      </c>
      <c r="D40" s="367" t="s">
        <v>1439</v>
      </c>
      <c r="E40" s="344" t="s">
        <v>1440</v>
      </c>
      <c r="F40" s="354">
        <f ca="1">INDIRECT("'数据-取费表'!I"&amp;$G$1)</f>
        <v>4.4999999999999998E-2</v>
      </c>
      <c r="G40" s="1848"/>
      <c r="H40" s="1836"/>
      <c r="I40" s="1857"/>
      <c r="J40" s="1858"/>
      <c r="K40" s="1862"/>
      <c r="L40" s="1836"/>
      <c r="M40" s="1836"/>
    </row>
    <row r="41" spans="1:18" ht="18" customHeight="1">
      <c r="A41" s="346"/>
      <c r="B41" s="347"/>
      <c r="C41" s="348"/>
      <c r="D41" s="375" t="s">
        <v>1456</v>
      </c>
      <c r="E41" s="344" t="s">
        <v>1444</v>
      </c>
      <c r="F41" s="376">
        <f ca="1">IF(INDIRECT("'数据-取费表'!af"&amp;$G$1)=0,INDIRECT("'数据-取费表'!ae"&amp;$G$1),INDIRECT("'数据-取费表'!af"&amp;$G$1))</f>
        <v>41.15</v>
      </c>
      <c r="G41" s="1848"/>
      <c r="H41" s="729"/>
      <c r="I41" s="1857"/>
      <c r="J41" s="1858"/>
      <c r="K41" s="748"/>
      <c r="L41" s="729"/>
      <c r="M41" s="729"/>
    </row>
    <row r="42" spans="1:18" ht="18" customHeight="1">
      <c r="A42" s="350"/>
      <c r="B42" s="351"/>
      <c r="C42" s="352"/>
      <c r="D42" s="370"/>
      <c r="E42" s="344" t="s">
        <v>1447</v>
      </c>
      <c r="F42" s="354">
        <f ca="1">INDIRECT("'数据-取费表'!v"&amp;$G$1)</f>
        <v>2.5000000000000001E-2</v>
      </c>
      <c r="G42" s="1848"/>
      <c r="H42" s="729"/>
      <c r="I42" s="1857"/>
      <c r="J42" s="1858"/>
      <c r="K42" s="748"/>
      <c r="L42" s="729"/>
      <c r="M42" s="729"/>
    </row>
    <row r="43" spans="1:18" ht="18" customHeight="1" thickBot="1">
      <c r="A43" s="377" t="s">
        <v>1005</v>
      </c>
      <c r="B43" s="378" t="s">
        <v>1457</v>
      </c>
      <c r="C43" s="379">
        <f ca="1">ROUND(C40*10000/F43,0)</f>
        <v>9711</v>
      </c>
      <c r="D43" s="380" t="s">
        <v>1458</v>
      </c>
      <c r="E43" s="381" t="s">
        <v>1459</v>
      </c>
      <c r="F43" s="382">
        <f ca="1">INDIRECT("'数据-取费表'!k"&amp;$G$1)</f>
        <v>8980.48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1489</v>
      </c>
      <c r="P45" s="1836"/>
      <c r="Q45" s="1836"/>
      <c r="R45" s="1836"/>
    </row>
    <row r="46" spans="1:18" s="1839" customFormat="1" ht="13.5" thickBot="1">
      <c r="A46" s="1867" t="s">
        <v>1490</v>
      </c>
      <c r="C46" s="1868">
        <f ca="1">C68-C40</f>
        <v>-13424</v>
      </c>
      <c r="D46" s="1869" t="str">
        <f>C2</f>
        <v>万元</v>
      </c>
      <c r="E46" s="1863"/>
      <c r="F46" s="1863"/>
      <c r="I46" s="1870" t="s">
        <v>1491</v>
      </c>
      <c r="J46" s="1871"/>
      <c r="K46" s="1872"/>
      <c r="L46" s="1873">
        <f ca="1">IF(M47="住宅",0,IF(L48&gt;J51,L60,J60))</f>
        <v>29</v>
      </c>
      <c r="O46" s="1874" t="s">
        <v>1492</v>
      </c>
      <c r="P46" s="1875" t="s">
        <v>1493</v>
      </c>
      <c r="Q46" s="1876" t="s">
        <v>1494</v>
      </c>
      <c r="R46" s="1876" t="s">
        <v>1495</v>
      </c>
    </row>
    <row r="47" spans="1:18" s="1839" customFormat="1" ht="13.5" thickBot="1">
      <c r="A47" s="1162" t="s">
        <v>1366</v>
      </c>
      <c r="B47" s="1194" t="s">
        <v>1367</v>
      </c>
      <c r="C47" s="1364" t="s">
        <v>1368</v>
      </c>
      <c r="D47" s="1194" t="s">
        <v>1369</v>
      </c>
      <c r="E47" s="1276" t="s">
        <v>1370</v>
      </c>
      <c r="F47" s="1277"/>
      <c r="G47" s="789"/>
      <c r="I47" s="1877" t="s">
        <v>1496</v>
      </c>
      <c r="J47" s="1878" t="s">
        <v>3065</v>
      </c>
      <c r="K47" s="1879" t="s">
        <v>1497</v>
      </c>
      <c r="L47" s="1880">
        <f ca="1">INDIRECT("'数据-取费表'!d"&amp;$G$1)</f>
        <v>50</v>
      </c>
      <c r="M47" s="1835" t="str">
        <f>IF(ISNUMBER(FIND("住宅",C1)),"住宅","非住宅")</f>
        <v>非住宅</v>
      </c>
      <c r="O47" s="1881" t="s">
        <v>1012</v>
      </c>
      <c r="P47" s="1882" t="s">
        <v>1498</v>
      </c>
      <c r="Q47" s="1883">
        <f ca="1">C40+J29</f>
        <v>8721</v>
      </c>
      <c r="R47" s="1883" t="s">
        <v>1499</v>
      </c>
    </row>
    <row r="48" spans="1:18" s="1839" customFormat="1" ht="28.5" thickBot="1">
      <c r="A48" s="1357" t="s">
        <v>1107</v>
      </c>
      <c r="B48" s="342" t="s">
        <v>1371</v>
      </c>
      <c r="C48" s="1814">
        <f ca="1">C49+C53+C55</f>
        <v>0</v>
      </c>
      <c r="D48" s="1359"/>
      <c r="E48" s="1360"/>
      <c r="F48" s="1178"/>
      <c r="G48" s="789"/>
      <c r="H48" s="790"/>
      <c r="I48" s="1884" t="s">
        <v>1500</v>
      </c>
      <c r="J48" s="1885" t="s">
        <v>3066</v>
      </c>
      <c r="K48" s="1886" t="s">
        <v>1501</v>
      </c>
      <c r="L48" s="1887">
        <f ca="1">INDIRECT("'数据-取费表'!f"&amp;$G$1)</f>
        <v>41.25</v>
      </c>
      <c r="O48" s="1881" t="s">
        <v>1013</v>
      </c>
      <c r="P48" s="1882" t="s">
        <v>1502</v>
      </c>
      <c r="Q48" s="1883">
        <f ca="1">J60</f>
        <v>29</v>
      </c>
      <c r="R48" s="1883" t="s">
        <v>1503</v>
      </c>
    </row>
    <row r="49" spans="1:18" s="1839" customFormat="1" ht="13.5" thickBot="1">
      <c r="A49" s="1191" t="s">
        <v>1108</v>
      </c>
      <c r="B49" s="1826" t="s">
        <v>1460</v>
      </c>
      <c r="C49" s="1361">
        <f ca="1">ROUND(F49*F51*F50*(1-F52)/10000,0)</f>
        <v>0</v>
      </c>
      <c r="D49" s="1273" t="s">
        <v>3004</v>
      </c>
      <c r="E49" s="1827" t="s">
        <v>1461</v>
      </c>
      <c r="F49" s="1278"/>
      <c r="G49" s="1888"/>
      <c r="H49" s="790"/>
      <c r="I49" s="1884" t="s">
        <v>1504</v>
      </c>
      <c r="J49" s="1889">
        <v>2017</v>
      </c>
      <c r="K49" s="1886" t="s">
        <v>1505</v>
      </c>
      <c r="L49" s="1890"/>
      <c r="O49" s="1891" t="s">
        <v>1014</v>
      </c>
      <c r="P49" s="1882" t="s">
        <v>1506</v>
      </c>
      <c r="Q49" s="1883">
        <f ca="1">C29</f>
        <v>2498</v>
      </c>
      <c r="R49" s="1883" t="s">
        <v>1499</v>
      </c>
    </row>
    <row r="50" spans="1:18" s="1839" customFormat="1" ht="13.5" thickBot="1">
      <c r="A50" s="1192"/>
      <c r="B50" s="1195"/>
      <c r="C50" s="1365"/>
      <c r="D50" s="1169"/>
      <c r="E50" s="1274" t="s">
        <v>1376</v>
      </c>
      <c r="F50" s="1275">
        <f ca="1">F7</f>
        <v>8980.48</v>
      </c>
      <c r="H50" s="790"/>
      <c r="I50" s="1884" t="s">
        <v>1507</v>
      </c>
      <c r="J50" s="1892">
        <f>SUMPRODUCT((I63:I65=J47)*(J62:L62=J48)*(J63:L65))</f>
        <v>60</v>
      </c>
      <c r="K50" s="1886" t="s">
        <v>1508</v>
      </c>
      <c r="L50" s="1890"/>
      <c r="M50" s="1893"/>
      <c r="O50" s="1891" t="s">
        <v>1015</v>
      </c>
      <c r="P50" s="1882" t="s">
        <v>1509</v>
      </c>
      <c r="Q50" s="1894">
        <f ca="1">J58</f>
        <v>0.4</v>
      </c>
      <c r="R50" s="1883"/>
    </row>
    <row r="51" spans="1:18" s="1839" customFormat="1" ht="13.5" thickBot="1">
      <c r="A51" s="1193"/>
      <c r="B51" s="1195"/>
      <c r="C51" s="1196"/>
      <c r="D51" s="1169"/>
      <c r="E51" s="1197" t="s">
        <v>1377</v>
      </c>
      <c r="F51" s="345">
        <f ca="1">F8</f>
        <v>365</v>
      </c>
      <c r="I51" s="1895" t="s">
        <v>1510</v>
      </c>
      <c r="J51" s="1896">
        <f>IF(J49="",J50,J49+J50-YEAR('数据-取费表'!B2))</f>
        <v>57</v>
      </c>
      <c r="K51" s="1897" t="s">
        <v>1511</v>
      </c>
      <c r="L51" s="1898">
        <f ca="1">ROUND(-PV(INDIRECT("'数据-取费表'!h"&amp;$G$1),L48,(C39-C13*C76),0),0)</f>
        <v>2118</v>
      </c>
      <c r="M51" s="1899"/>
      <c r="O51" s="1891" t="s">
        <v>1016</v>
      </c>
      <c r="P51" s="1882" t="s">
        <v>1512</v>
      </c>
      <c r="Q51" s="1894">
        <f>J52</f>
        <v>0.09</v>
      </c>
      <c r="R51" s="1883"/>
    </row>
    <row r="52" spans="1:18" s="1839" customFormat="1" ht="13.5" thickBot="1">
      <c r="A52" s="1193"/>
      <c r="B52" s="1195"/>
      <c r="C52" s="1196"/>
      <c r="D52" s="1169"/>
      <c r="E52" s="1197" t="s">
        <v>1378</v>
      </c>
      <c r="F52" s="1272"/>
      <c r="I52" s="1900" t="s">
        <v>1513</v>
      </c>
      <c r="J52" s="1901">
        <v>0.09</v>
      </c>
      <c r="K52" s="1900" t="s">
        <v>1514</v>
      </c>
      <c r="L52" s="1901"/>
      <c r="O52" s="1891" t="s">
        <v>1017</v>
      </c>
      <c r="P52" s="1882" t="s">
        <v>1515</v>
      </c>
      <c r="Q52" s="1883">
        <f ca="1">J53</f>
        <v>41.15</v>
      </c>
      <c r="R52" s="1883" t="s">
        <v>1516</v>
      </c>
    </row>
    <row r="53" spans="1:18" s="1839" customFormat="1" ht="24.75" thickBot="1">
      <c r="A53" s="1402" t="s">
        <v>1109</v>
      </c>
      <c r="B53" s="1828" t="s">
        <v>1379</v>
      </c>
      <c r="C53" s="358">
        <f ca="1">ROUND(IF(F53="押一",C49/12*F11,IF(F53="押二",C49/12*2*F11,IF(F53="押三",C49/12*3*F11,C54*F11))),0)</f>
        <v>0</v>
      </c>
      <c r="D53" s="1821" t="s">
        <v>3011</v>
      </c>
      <c r="E53" s="355" t="s">
        <v>1380</v>
      </c>
      <c r="F53" s="1363"/>
      <c r="I53" s="1902" t="s">
        <v>1517</v>
      </c>
      <c r="J53" s="2947">
        <f ca="1">IF(M47="住宅",IF(D1="——",MAX(J51,L48),MAX(J51,L48-'数据-取费表'!B24)),IF(D1="——",MIN(J51,L48),MIN(J51,L48-'数据-取费表'!B24)))</f>
        <v>41.15</v>
      </c>
      <c r="K53" s="3175" t="s">
        <v>1518</v>
      </c>
      <c r="L53" s="3176"/>
      <c r="O53" s="1881" t="s">
        <v>1018</v>
      </c>
      <c r="P53" s="1882" t="s">
        <v>1519</v>
      </c>
      <c r="Q53" s="1883">
        <f ca="1">Q47+Q48</f>
        <v>8750</v>
      </c>
      <c r="R53" s="1883" t="s">
        <v>1019</v>
      </c>
    </row>
    <row r="54" spans="1:18" s="1839" customFormat="1" ht="13.5" thickBot="1">
      <c r="A54" s="1403"/>
      <c r="B54" s="1822" t="s">
        <v>1358</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1520</v>
      </c>
      <c r="P54" s="1836"/>
      <c r="Q54" s="1836"/>
      <c r="R54" s="1836"/>
    </row>
    <row r="55" spans="1:18" s="1839" customFormat="1" ht="13.5" thickBot="1">
      <c r="A55" s="1330" t="s">
        <v>1047</v>
      </c>
      <c r="B55" s="1824" t="s">
        <v>1383</v>
      </c>
      <c r="C55" s="1331"/>
      <c r="D55" s="1821"/>
      <c r="E55" s="1829"/>
      <c r="F55" s="1903"/>
      <c r="I55" s="1906" t="s">
        <v>1521</v>
      </c>
      <c r="J55" s="1907">
        <f ca="1">ROUND(IF(J47="钢混",J57/J50,1-(1-2%)*(J50-J57)/J50),3)</f>
        <v>0.26300000000000001</v>
      </c>
      <c r="K55" s="1908" t="s">
        <v>1522</v>
      </c>
      <c r="L55" s="1909" t="s">
        <v>1523</v>
      </c>
      <c r="O55" s="1874" t="s">
        <v>1492</v>
      </c>
      <c r="P55" s="1875" t="s">
        <v>1493</v>
      </c>
      <c r="Q55" s="1876" t="s">
        <v>1494</v>
      </c>
      <c r="R55" s="1876" t="s">
        <v>1495</v>
      </c>
    </row>
    <row r="56" spans="1:18" s="1839" customFormat="1" ht="25.5" thickTop="1" thickBot="1">
      <c r="A56" s="1173">
        <v>2</v>
      </c>
      <c r="B56" s="1174" t="s">
        <v>1384</v>
      </c>
      <c r="C56" s="273">
        <f ca="1">C13</f>
        <v>2498</v>
      </c>
      <c r="D56" s="1910"/>
      <c r="E56" s="1911"/>
      <c r="F56" s="1903"/>
      <c r="I56" s="1912" t="s">
        <v>1524</v>
      </c>
      <c r="J56" s="2959" t="s">
        <v>3058</v>
      </c>
      <c r="K56" s="1884" t="s">
        <v>1525</v>
      </c>
      <c r="L56" s="1887" t="str">
        <f ca="1">IF(L48&lt;J51,"——",L48-J53)</f>
        <v>——</v>
      </c>
      <c r="O56" s="1881" t="s">
        <v>1012</v>
      </c>
      <c r="P56" s="1882" t="s">
        <v>1498</v>
      </c>
      <c r="Q56" s="1883">
        <f ca="1">C40+J29</f>
        <v>8721</v>
      </c>
      <c r="R56" s="1883" t="s">
        <v>1499</v>
      </c>
    </row>
    <row r="57" spans="1:18" s="1839" customFormat="1" ht="24.75" thickBot="1">
      <c r="A57" s="1914"/>
      <c r="B57" s="1166" t="s">
        <v>1448</v>
      </c>
      <c r="C57" s="279">
        <f ca="1">C29</f>
        <v>2498</v>
      </c>
      <c r="D57" s="1915"/>
      <c r="E57" s="1916"/>
      <c r="F57" s="1917"/>
      <c r="I57" s="1918" t="s">
        <v>1526</v>
      </c>
      <c r="J57" s="1919">
        <f ca="1">IF(OR(M47="住宅",J51&lt;L48,J56="是"),"——",J51-L48)</f>
        <v>15.75</v>
      </c>
      <c r="K57" s="1884" t="s">
        <v>1527</v>
      </c>
      <c r="L57" s="1887" t="str">
        <f ca="1">IF(L48&lt;J51,"——",IF(L55="比较法",L49,IF(L55="基准地价",L50,L51)))</f>
        <v>——</v>
      </c>
      <c r="O57" s="1881" t="s">
        <v>1013</v>
      </c>
      <c r="P57" s="1882" t="s">
        <v>1528</v>
      </c>
      <c r="Q57" s="1883">
        <f ca="1">L60</f>
        <v>0</v>
      </c>
      <c r="R57" s="1883" t="s">
        <v>1529</v>
      </c>
    </row>
    <row r="58" spans="1:18" s="1839" customFormat="1" ht="24.75" thickBot="1">
      <c r="A58" s="357" t="s">
        <v>1002</v>
      </c>
      <c r="B58" s="1174" t="s">
        <v>1394</v>
      </c>
      <c r="C58" s="358">
        <f ca="1">ROUND(C59+C64+C65+C66,0)</f>
        <v>253</v>
      </c>
      <c r="D58" s="1176" t="s">
        <v>1395</v>
      </c>
      <c r="E58" s="1177"/>
      <c r="F58" s="1178"/>
      <c r="I58" s="1918" t="s">
        <v>1530</v>
      </c>
      <c r="J58" s="1920">
        <f ca="1">IF(J55&lt;0.4,0.4,J55)</f>
        <v>0.4</v>
      </c>
      <c r="K58" s="1897" t="s">
        <v>1531</v>
      </c>
      <c r="L58" s="1887" t="e">
        <f ca="1">ROUND(POWER(1+L52,L47-L48)*(POWER(1+L52,L48)-1)/(POWER(1+L52,L47)-1),4)</f>
        <v>#DIV/0!</v>
      </c>
      <c r="O58" s="1891" t="s">
        <v>1014</v>
      </c>
      <c r="P58" s="1882" t="s">
        <v>1532</v>
      </c>
      <c r="Q58" s="1883">
        <f>IF(L55="比较法",L49,IF(L55="基准地价",L50,0))</f>
        <v>0</v>
      </c>
      <c r="R58" s="1883" t="s">
        <v>1499</v>
      </c>
    </row>
    <row r="59" spans="1:18" s="1839" customFormat="1" ht="24.75" thickBot="1">
      <c r="A59" s="1198" t="s">
        <v>1007</v>
      </c>
      <c r="B59" s="1166" t="s">
        <v>1399</v>
      </c>
      <c r="C59" s="21">
        <f ca="1">ROUND(IF(项目基本情况!B11="自然人",C48*F59,C60+C61+C62),1)</f>
        <v>210.2</v>
      </c>
      <c r="D59" s="1179" t="s">
        <v>1400</v>
      </c>
      <c r="E59" s="1180" t="s">
        <v>1401</v>
      </c>
      <c r="F59" s="365" t="str">
        <f ca="1">IF(项目基本情况!B11="企业","",IF(INDIRECT("'数据-取费表'!c"&amp;$G$1)="住宅",5%,IF(F49*F50*F51/12/(1+'数据-取费表'!C42)&gt;20000,12%,7%)))</f>
        <v/>
      </c>
      <c r="I59" s="1918" t="s">
        <v>1533</v>
      </c>
      <c r="J59" s="1919">
        <f ca="1">IF(OR(M47="住宅",J51&lt;L48,J56="是"),"——",ROUND(C29*J58,0))</f>
        <v>999</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1015</v>
      </c>
      <c r="P59" s="1882" t="s">
        <v>1534</v>
      </c>
      <c r="Q59" s="1894">
        <f>L52</f>
        <v>0</v>
      </c>
      <c r="R59" s="1883"/>
    </row>
    <row r="60" spans="1:18" s="1839" customFormat="1" ht="16.5" thickBot="1">
      <c r="A60" s="1198" t="s">
        <v>1006</v>
      </c>
      <c r="B60" s="1166" t="s">
        <v>1403</v>
      </c>
      <c r="C60" s="21">
        <f ca="1">IF(项目基本情况!B11="自然人","——",ROUND(C48*F60/(1+'数据-取费表'!C42),2))</f>
        <v>0</v>
      </c>
      <c r="D60" s="1180" t="s">
        <v>1404</v>
      </c>
      <c r="E60" s="1166" t="s">
        <v>1392</v>
      </c>
      <c r="F60" s="374">
        <f t="shared" ref="F60:F66" si="0">F32</f>
        <v>5.6000000000000001E-2</v>
      </c>
      <c r="I60" s="1921" t="s">
        <v>1535</v>
      </c>
      <c r="J60" s="1922">
        <f ca="1">IF(OR(M47="住宅",J51&lt;L48,J56="是"),"0",ROUND(J59/(1+J52)^J53,0))</f>
        <v>29</v>
      </c>
      <c r="K60" s="1923" t="s">
        <v>1536</v>
      </c>
      <c r="L60" s="1922">
        <f ca="1">IF(OR(M47="住宅",L48&lt;J51),0,ROUND(L57*(L58/L59-1),0))</f>
        <v>0</v>
      </c>
      <c r="O60" s="1891" t="s">
        <v>1016</v>
      </c>
      <c r="P60" s="1882" t="s">
        <v>1537</v>
      </c>
      <c r="Q60" s="1883" t="e">
        <f ca="1">L58</f>
        <v>#DIV/0!</v>
      </c>
      <c r="R60" s="1883" t="s">
        <v>1538</v>
      </c>
    </row>
    <row r="61" spans="1:18" s="1839" customFormat="1" ht="13.5" thickBot="1">
      <c r="A61" s="1198" t="s">
        <v>1462</v>
      </c>
      <c r="B61" s="1166" t="s">
        <v>1463</v>
      </c>
      <c r="C61" s="21">
        <f ca="1">IF(项目基本情况!B11="自然人","——",IF(D61="按租金收入计税",ROUND(C48*F61,2),IF(D61="按房产原值计税",ROUND(C57*F61*0.7,2),INDIRECT("'数据-取费表'!Aj"&amp;$G$1))))</f>
        <v>209.83</v>
      </c>
      <c r="D61" s="1825" t="s">
        <v>1408</v>
      </c>
      <c r="E61" s="1166" t="s">
        <v>1464</v>
      </c>
      <c r="F61" s="364">
        <f t="shared" si="0"/>
        <v>0.12</v>
      </c>
      <c r="I61" s="1924"/>
      <c r="J61" s="1924"/>
      <c r="K61" s="1924"/>
      <c r="L61" s="1924"/>
      <c r="O61" s="1891" t="s">
        <v>1017</v>
      </c>
      <c r="P61" s="1882" t="str">
        <f>K59</f>
        <v>续建工期及建筑物耐用年限下的土地年期修正系数Kn</v>
      </c>
      <c r="Q61" s="1883" t="e">
        <f ca="1">L59</f>
        <v>#DIV/0!</v>
      </c>
      <c r="R61" s="1883" t="s">
        <v>1539</v>
      </c>
    </row>
    <row r="62" spans="1:18" s="1839" customFormat="1" ht="13.5" thickBot="1">
      <c r="A62" s="1198" t="s">
        <v>1465</v>
      </c>
      <c r="B62" s="1165" t="s">
        <v>1466</v>
      </c>
      <c r="C62" s="22">
        <f ca="1">IF(项目基本情况!B11="自然人","——",ROUND(F62*F63/10000,2))</f>
        <v>0.32</v>
      </c>
      <c r="D62" s="1181" t="s">
        <v>1467</v>
      </c>
      <c r="E62" s="1166" t="s">
        <v>1468</v>
      </c>
      <c r="F62" s="368">
        <f t="shared" si="0"/>
        <v>1.5</v>
      </c>
      <c r="I62" s="1925" t="s">
        <v>1540</v>
      </c>
      <c r="J62" s="1926" t="s">
        <v>1541</v>
      </c>
      <c r="K62" s="1926" t="s">
        <v>1542</v>
      </c>
      <c r="L62" s="1926" t="s">
        <v>1543</v>
      </c>
      <c r="M62" s="1927" t="s">
        <v>1544</v>
      </c>
      <c r="O62" s="1881" t="s">
        <v>1018</v>
      </c>
      <c r="P62" s="1882" t="s">
        <v>1545</v>
      </c>
      <c r="Q62" s="1883">
        <f ca="1">Q56+Q57</f>
        <v>8721</v>
      </c>
      <c r="R62" s="1883" t="s">
        <v>1019</v>
      </c>
    </row>
    <row r="63" spans="1:18" s="1839" customFormat="1" ht="13.5" thickBot="1">
      <c r="A63" s="369"/>
      <c r="B63" s="1172"/>
      <c r="C63" s="26"/>
      <c r="D63" s="1182"/>
      <c r="E63" s="1166" t="s">
        <v>1469</v>
      </c>
      <c r="F63" s="345">
        <f t="shared" ca="1" si="0"/>
        <v>2134.46</v>
      </c>
      <c r="I63" s="1925" t="s">
        <v>1546</v>
      </c>
      <c r="J63" s="1926">
        <v>70</v>
      </c>
      <c r="K63" s="1926">
        <v>50</v>
      </c>
      <c r="L63" s="1926">
        <v>80</v>
      </c>
      <c r="M63" s="1928">
        <v>0.02</v>
      </c>
      <c r="O63" s="1866" t="s">
        <v>1547</v>
      </c>
      <c r="P63" s="1836"/>
      <c r="Q63" s="1836"/>
      <c r="R63" s="1836"/>
    </row>
    <row r="64" spans="1:18" s="1839" customFormat="1" ht="13.5" thickBot="1">
      <c r="A64" s="1198" t="s">
        <v>1470</v>
      </c>
      <c r="B64" s="1166" t="s">
        <v>1471</v>
      </c>
      <c r="C64" s="21">
        <f ca="1">ROUND(C57*F64,1)</f>
        <v>37.5</v>
      </c>
      <c r="D64" s="1180" t="s">
        <v>1472</v>
      </c>
      <c r="E64" s="1166" t="s">
        <v>1464</v>
      </c>
      <c r="F64" s="371">
        <f t="shared" ca="1" si="0"/>
        <v>1.4999999999999999E-2</v>
      </c>
      <c r="I64" s="1925" t="s">
        <v>1548</v>
      </c>
      <c r="J64" s="1926">
        <v>50</v>
      </c>
      <c r="K64" s="1926">
        <v>35</v>
      </c>
      <c r="L64" s="1926">
        <v>60</v>
      </c>
      <c r="M64" s="1927">
        <v>0</v>
      </c>
      <c r="O64" s="1874" t="s">
        <v>1492</v>
      </c>
      <c r="P64" s="1875" t="s">
        <v>1493</v>
      </c>
      <c r="Q64" s="1876" t="s">
        <v>1494</v>
      </c>
      <c r="R64" s="1876" t="s">
        <v>1495</v>
      </c>
    </row>
    <row r="65" spans="1:18" s="1839" customFormat="1" ht="13.5" thickBot="1">
      <c r="A65" s="1198" t="s">
        <v>1473</v>
      </c>
      <c r="B65" s="1166" t="s">
        <v>1423</v>
      </c>
      <c r="C65" s="21">
        <f ca="1">ROUND(C56*F65,1)</f>
        <v>5</v>
      </c>
      <c r="D65" s="1180" t="s">
        <v>1424</v>
      </c>
      <c r="E65" s="1166" t="s">
        <v>1425</v>
      </c>
      <c r="F65" s="373">
        <f t="shared" ca="1" si="0"/>
        <v>2E-3</v>
      </c>
      <c r="I65" s="1925" t="s">
        <v>1549</v>
      </c>
      <c r="J65" s="1926">
        <v>40</v>
      </c>
      <c r="K65" s="1926">
        <v>30</v>
      </c>
      <c r="L65" s="1926">
        <v>50</v>
      </c>
      <c r="M65" s="1928">
        <v>0.02</v>
      </c>
      <c r="O65" s="1881" t="s">
        <v>1012</v>
      </c>
      <c r="P65" s="1882" t="s">
        <v>1550</v>
      </c>
      <c r="Q65" s="1883">
        <f ca="1">C40+J29</f>
        <v>8721</v>
      </c>
      <c r="R65" s="1883" t="s">
        <v>1499</v>
      </c>
    </row>
    <row r="66" spans="1:18" s="1839" customFormat="1" ht="16.5" thickBot="1">
      <c r="A66" s="1198" t="s">
        <v>1474</v>
      </c>
      <c r="B66" s="1166" t="s">
        <v>1409</v>
      </c>
      <c r="C66" s="21">
        <f ca="1">ROUND(C48*F66,1)</f>
        <v>0</v>
      </c>
      <c r="D66" s="1180" t="s">
        <v>1475</v>
      </c>
      <c r="E66" s="1166" t="s">
        <v>1392</v>
      </c>
      <c r="F66" s="354">
        <f t="shared" ca="1" si="0"/>
        <v>0.02</v>
      </c>
      <c r="O66" s="1881" t="s">
        <v>1013</v>
      </c>
      <c r="P66" s="1882" t="s">
        <v>1528</v>
      </c>
      <c r="Q66" s="1883">
        <f ca="1">L60</f>
        <v>0</v>
      </c>
      <c r="R66" s="1883" t="s">
        <v>1551</v>
      </c>
    </row>
    <row r="67" spans="1:18" s="1839" customFormat="1" ht="16.5" thickBot="1">
      <c r="A67" s="1173" t="s">
        <v>1003</v>
      </c>
      <c r="B67" s="1183" t="s">
        <v>1433</v>
      </c>
      <c r="C67" s="358">
        <f ca="1">C48-C58</f>
        <v>-253</v>
      </c>
      <c r="D67" s="1179" t="s">
        <v>1434</v>
      </c>
      <c r="E67" s="1184"/>
      <c r="F67" s="1185"/>
      <c r="O67" s="1891" t="s">
        <v>1014</v>
      </c>
      <c r="P67" s="1882" t="s">
        <v>1532</v>
      </c>
      <c r="Q67" s="1929">
        <f ca="1">L51</f>
        <v>2118</v>
      </c>
      <c r="R67" s="1883" t="s">
        <v>1552</v>
      </c>
    </row>
    <row r="68" spans="1:18" s="1839" customFormat="1" ht="16.5" thickBot="1">
      <c r="A68" s="1163" t="s">
        <v>1004</v>
      </c>
      <c r="B68" s="1164" t="s">
        <v>1455</v>
      </c>
      <c r="C68" s="343">
        <f ca="1">ROUND(C67*(1-((1+F70)/(1+F68))^F69)/(F68-F70),0)</f>
        <v>-4703</v>
      </c>
      <c r="D68" s="1181" t="s">
        <v>1439</v>
      </c>
      <c r="E68" s="1166" t="s">
        <v>1440</v>
      </c>
      <c r="F68" s="354">
        <f ca="1">F40</f>
        <v>4.4999999999999998E-2</v>
      </c>
      <c r="O68" s="1891" t="s">
        <v>1015</v>
      </c>
      <c r="P68" s="1930" t="s">
        <v>1553</v>
      </c>
      <c r="Q68" s="1883">
        <f ca="1">ROUND(Q69-Q70*Q71,0)</f>
        <v>106</v>
      </c>
      <c r="R68" s="1883" t="s">
        <v>1023</v>
      </c>
    </row>
    <row r="69" spans="1:18" s="1839" customFormat="1" ht="13.5" thickBot="1">
      <c r="A69" s="1167"/>
      <c r="B69" s="1168"/>
      <c r="C69" s="348"/>
      <c r="D69" s="1186" t="s">
        <v>1443</v>
      </c>
      <c r="E69" s="1166" t="s">
        <v>1444</v>
      </c>
      <c r="F69" s="376">
        <f ca="1">F41</f>
        <v>41.15</v>
      </c>
      <c r="O69" s="1891" t="s">
        <v>1020</v>
      </c>
      <c r="P69" s="1930" t="s">
        <v>1554</v>
      </c>
      <c r="Q69" s="1883">
        <f ca="1">C39</f>
        <v>318</v>
      </c>
      <c r="R69" s="1883" t="s">
        <v>1499</v>
      </c>
    </row>
    <row r="70" spans="1:18" s="1839" customFormat="1" ht="13.5" thickBot="1">
      <c r="A70" s="1170"/>
      <c r="B70" s="1171"/>
      <c r="C70" s="352"/>
      <c r="D70" s="1182"/>
      <c r="E70" s="1166" t="s">
        <v>1447</v>
      </c>
      <c r="F70" s="1272"/>
      <c r="O70" s="1891" t="s">
        <v>1021</v>
      </c>
      <c r="P70" s="1930" t="s">
        <v>1555</v>
      </c>
      <c r="Q70" s="1883">
        <f ca="1">C13</f>
        <v>2498</v>
      </c>
      <c r="R70" s="1883" t="s">
        <v>1499</v>
      </c>
    </row>
    <row r="71" spans="1:18" s="1839" customFormat="1" ht="13.5" thickBot="1">
      <c r="A71" s="1187" t="s">
        <v>1005</v>
      </c>
      <c r="B71" s="1188" t="s">
        <v>1457</v>
      </c>
      <c r="C71" s="379">
        <f ca="1">ROUND(C68*10000/F71,0)</f>
        <v>-5237</v>
      </c>
      <c r="D71" s="1189" t="s">
        <v>1458</v>
      </c>
      <c r="E71" s="1190" t="s">
        <v>1459</v>
      </c>
      <c r="F71" s="382">
        <f ca="1">F43</f>
        <v>8980.48</v>
      </c>
      <c r="O71" s="1891" t="s">
        <v>1022</v>
      </c>
      <c r="P71" s="1930" t="s">
        <v>1556</v>
      </c>
      <c r="Q71" s="1894">
        <f ca="1">C76</f>
        <v>8.5000000000000006E-2</v>
      </c>
      <c r="R71" s="1883"/>
    </row>
    <row r="72" spans="1:18" s="1839" customFormat="1" ht="13.5" thickBot="1">
      <c r="B72" s="793"/>
      <c r="C72" s="793"/>
      <c r="O72" s="1891" t="s">
        <v>1016</v>
      </c>
      <c r="P72" s="1882" t="s">
        <v>1534</v>
      </c>
      <c r="Q72" s="1894">
        <f>L52</f>
        <v>0</v>
      </c>
      <c r="R72" s="1883"/>
    </row>
    <row r="73" spans="1:18" ht="16.5" thickBot="1">
      <c r="A73" s="1839"/>
      <c r="B73" s="793"/>
      <c r="C73" s="793"/>
      <c r="D73" s="1839"/>
      <c r="E73" s="1839"/>
      <c r="F73" s="1839"/>
      <c r="O73" s="1891" t="s">
        <v>1017</v>
      </c>
      <c r="P73" s="1882" t="s">
        <v>1537</v>
      </c>
      <c r="Q73" s="1883" t="e">
        <f ca="1">L58</f>
        <v>#DIV/0!</v>
      </c>
      <c r="R73" s="1883" t="s">
        <v>1538</v>
      </c>
    </row>
    <row r="74" spans="1:18" ht="13.5" thickBot="1">
      <c r="A74" s="1839"/>
      <c r="B74" s="314" t="s">
        <v>1557</v>
      </c>
      <c r="C74" s="1932"/>
      <c r="D74" s="1839"/>
      <c r="E74" s="1839"/>
      <c r="F74" s="1839"/>
      <c r="O74" s="1891" t="s">
        <v>1024</v>
      </c>
      <c r="P74" s="1882" t="str">
        <f>K59</f>
        <v>续建工期及建筑物耐用年限下的土地年期修正系数Kn</v>
      </c>
      <c r="Q74" s="1883" t="e">
        <f ca="1">L59</f>
        <v>#DIV/0!</v>
      </c>
      <c r="R74" s="1883" t="s">
        <v>1539</v>
      </c>
    </row>
    <row r="75" spans="1:18" ht="13.5" thickBot="1">
      <c r="A75" s="1839"/>
      <c r="B75" s="383" t="s">
        <v>1476</v>
      </c>
      <c r="C75" s="384">
        <f ca="1">ROUND(C13*C76,0)</f>
        <v>212</v>
      </c>
      <c r="D75" s="1839"/>
      <c r="E75" s="1839"/>
      <c r="F75" s="1839"/>
      <c r="K75" s="1865"/>
      <c r="L75" s="1839"/>
      <c r="O75" s="1881" t="s">
        <v>1018</v>
      </c>
      <c r="P75" s="1882" t="s">
        <v>1519</v>
      </c>
      <c r="Q75" s="1883">
        <f ca="1">Q65+Q66</f>
        <v>8721</v>
      </c>
      <c r="R75" s="1883" t="s">
        <v>1019</v>
      </c>
    </row>
    <row r="76" spans="1:18">
      <c r="B76" s="385" t="s">
        <v>1477</v>
      </c>
      <c r="C76" s="386">
        <f ca="1">INDIRECT("'数据-取费表'!j"&amp;$G$1)</f>
        <v>8.5000000000000006E-2</v>
      </c>
      <c r="I76" s="1839"/>
      <c r="J76" s="1839"/>
      <c r="K76" s="1865"/>
      <c r="L76" s="1839"/>
    </row>
    <row r="77" spans="1:18">
      <c r="B77" s="387" t="s">
        <v>1478</v>
      </c>
      <c r="C77" s="388"/>
      <c r="I77" s="1839"/>
      <c r="J77" s="1839"/>
      <c r="K77" s="1865"/>
      <c r="L77" s="1839"/>
    </row>
    <row r="78" spans="1:18">
      <c r="B78" s="311" t="s">
        <v>1479</v>
      </c>
      <c r="C78" s="389"/>
    </row>
    <row r="79" spans="1:18">
      <c r="B79" s="383" t="s">
        <v>1480</v>
      </c>
      <c r="C79" s="315">
        <f ca="1">1-C80</f>
        <v>0.33299999999999996</v>
      </c>
    </row>
    <row r="80" spans="1:18">
      <c r="B80" s="383" t="s">
        <v>1481</v>
      </c>
      <c r="C80" s="315">
        <f ca="1">ROUND(C75/C39,3)</f>
        <v>0.66700000000000004</v>
      </c>
    </row>
    <row r="81" spans="2:3">
      <c r="B81" s="311" t="s">
        <v>1482</v>
      </c>
      <c r="C81" s="279"/>
    </row>
    <row r="82" spans="2:3">
      <c r="B82" s="314" t="s">
        <v>1483</v>
      </c>
      <c r="C82" s="316">
        <f ca="1">1-C83</f>
        <v>0.71399999999999997</v>
      </c>
    </row>
    <row r="83" spans="2:3">
      <c r="B83" s="314" t="s">
        <v>1484</v>
      </c>
      <c r="C83" s="315">
        <f ca="1">ROUND(C13/C40,3)</f>
        <v>0.28599999999999998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1559</v>
      </c>
      <c r="B1" s="779"/>
      <c r="C1" s="1834"/>
      <c r="D1" s="1817"/>
      <c r="E1" s="1818" t="s">
        <v>1357</v>
      </c>
      <c r="F1" s="1280">
        <f ca="1">J53</f>
        <v>-0.10000000000000009</v>
      </c>
      <c r="G1" s="1833">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1560</v>
      </c>
      <c r="B2" s="1841" t="e">
        <f ca="1">ROUND(D2/10000,0)</f>
        <v>#DIV/0!</v>
      </c>
      <c r="C2" s="1842" t="s">
        <v>1561</v>
      </c>
      <c r="D2" s="1934" t="e">
        <f ca="1">C40+J29+L46</f>
        <v>#DIV/0!</v>
      </c>
      <c r="E2" s="1843" t="s">
        <v>1562</v>
      </c>
      <c r="F2" s="1844"/>
      <c r="G2" s="1845"/>
      <c r="H2" s="1837"/>
      <c r="I2" s="1837"/>
      <c r="J2" s="1837"/>
      <c r="K2" s="1838"/>
      <c r="L2" s="1837"/>
      <c r="M2" s="1837"/>
    </row>
    <row r="3" spans="1:37" ht="18" customHeight="1" thickBot="1">
      <c r="A3" s="1846" t="s">
        <v>1563</v>
      </c>
      <c r="B3" s="1847">
        <f ca="1">IF(ISERROR(D2/F43),0,ROUND(D2/F43,0))</f>
        <v>0</v>
      </c>
      <c r="C3" s="1842" t="s">
        <v>1564</v>
      </c>
      <c r="D3" s="1842"/>
      <c r="E3" s="1843"/>
      <c r="F3" s="1844"/>
      <c r="G3" s="1845"/>
      <c r="H3" s="741" t="s">
        <v>1558</v>
      </c>
      <c r="I3" s="1837"/>
      <c r="J3" s="1837"/>
      <c r="K3" s="1838"/>
      <c r="L3" s="1837"/>
      <c r="M3" s="1837"/>
    </row>
    <row r="4" spans="1:37" ht="18" customHeight="1">
      <c r="A4" s="337" t="s">
        <v>1565</v>
      </c>
      <c r="B4" s="338" t="s">
        <v>1566</v>
      </c>
      <c r="C4" s="338" t="s">
        <v>1567</v>
      </c>
      <c r="D4" s="338" t="s">
        <v>1568</v>
      </c>
      <c r="E4" s="339" t="s">
        <v>1569</v>
      </c>
      <c r="F4" s="340"/>
      <c r="G4" s="1848"/>
      <c r="H4" s="337" t="s">
        <v>1565</v>
      </c>
      <c r="I4" s="338" t="s">
        <v>1566</v>
      </c>
      <c r="J4" s="338" t="s">
        <v>1567</v>
      </c>
      <c r="K4" s="338" t="s">
        <v>1568</v>
      </c>
      <c r="L4" s="339" t="s">
        <v>1569</v>
      </c>
      <c r="M4" s="340"/>
    </row>
    <row r="5" spans="1:37" ht="18" customHeight="1">
      <c r="A5" s="341">
        <v>1</v>
      </c>
      <c r="B5" s="342" t="s">
        <v>1570</v>
      </c>
      <c r="C5" s="1289">
        <f ca="1">C6+C10+C12</f>
        <v>0</v>
      </c>
      <c r="D5" s="1819" t="s">
        <v>1571</v>
      </c>
      <c r="E5" s="1290"/>
      <c r="F5" s="1291"/>
      <c r="G5" s="1848"/>
      <c r="H5" s="341">
        <v>1</v>
      </c>
      <c r="I5" s="342" t="s">
        <v>1570</v>
      </c>
      <c r="J5" s="1289">
        <f ca="1">J6+J10+J12</f>
        <v>0</v>
      </c>
      <c r="K5" s="1819" t="s">
        <v>1571</v>
      </c>
      <c r="L5" s="1290"/>
      <c r="M5" s="1291"/>
    </row>
    <row r="6" spans="1:37" ht="18" customHeight="1">
      <c r="A6" s="1288" t="s">
        <v>1007</v>
      </c>
      <c r="B6" s="3177" t="s">
        <v>1373</v>
      </c>
      <c r="C6" s="1293">
        <f ca="1">ROUND(F6*F8*F7*(1-F9),0)</f>
        <v>0</v>
      </c>
      <c r="D6" s="161" t="s">
        <v>3000</v>
      </c>
      <c r="E6" s="344" t="s">
        <v>1375</v>
      </c>
      <c r="F6" s="345">
        <f ca="1">INDIRECT("'数据-取费表'!u"&amp;$G$1)</f>
        <v>0</v>
      </c>
      <c r="G6" s="1848"/>
      <c r="H6" s="1288" t="s">
        <v>1007</v>
      </c>
      <c r="I6" s="3177" t="s">
        <v>1373</v>
      </c>
      <c r="J6" s="343">
        <f ca="1">ROUND(M6*M8*M7*(1-M9),0)</f>
        <v>0</v>
      </c>
      <c r="K6" s="1831" t="s">
        <v>3001</v>
      </c>
      <c r="L6" s="344" t="s">
        <v>1375</v>
      </c>
      <c r="M6" s="345">
        <f ca="1">INDIRECT("'数据-取费表'!z"&amp;$G$1)</f>
        <v>0</v>
      </c>
    </row>
    <row r="7" spans="1:37" ht="18" customHeight="1">
      <c r="A7" s="1292"/>
      <c r="B7" s="3178"/>
      <c r="C7" s="1294"/>
      <c r="D7" s="349"/>
      <c r="E7" s="1295" t="s">
        <v>1376</v>
      </c>
      <c r="F7" s="345">
        <f ca="1">IF(INDIRECT("'数据-取费表'!ah"&amp;$G$1)="",INDIRECT("'数据-取费表'!k"&amp;$G$1),INDIRECT("'数据-取费表'!ah"&amp;$G$1))</f>
        <v>0</v>
      </c>
      <c r="G7" s="1848"/>
      <c r="H7" s="346"/>
      <c r="I7" s="3178"/>
      <c r="J7" s="348"/>
      <c r="K7" s="349"/>
      <c r="L7" s="344" t="s">
        <v>1376</v>
      </c>
      <c r="M7" s="345">
        <f ca="1">F7</f>
        <v>0</v>
      </c>
    </row>
    <row r="8" spans="1:37" ht="18" customHeight="1">
      <c r="A8" s="346"/>
      <c r="B8" s="3178"/>
      <c r="C8" s="348"/>
      <c r="D8" s="349"/>
      <c r="E8" s="344" t="s">
        <v>1377</v>
      </c>
      <c r="F8" s="345">
        <f ca="1">INDIRECT("'数据-取费表'!ai"&amp;$G$1)</f>
        <v>0</v>
      </c>
      <c r="G8" s="1848"/>
      <c r="H8" s="346"/>
      <c r="I8" s="3178"/>
      <c r="J8" s="348"/>
      <c r="K8" s="349"/>
      <c r="L8" s="344" t="s">
        <v>1377</v>
      </c>
      <c r="M8" s="345">
        <f ca="1">INDIRECT("'数据-取费表'!ai"&amp;$G$1)</f>
        <v>0</v>
      </c>
    </row>
    <row r="9" spans="1:37" ht="18" customHeight="1">
      <c r="A9" s="346"/>
      <c r="B9" s="3179"/>
      <c r="C9" s="348"/>
      <c r="D9" s="349"/>
      <c r="E9" s="344" t="s">
        <v>1378</v>
      </c>
      <c r="F9" s="354">
        <f ca="1">INDIRECT("'数据-取费表'!w"&amp;$G$1)</f>
        <v>0</v>
      </c>
      <c r="G9" s="1848"/>
      <c r="H9" s="346"/>
      <c r="I9" s="3179"/>
      <c r="J9" s="348"/>
      <c r="K9" s="349"/>
      <c r="L9" s="355" t="s">
        <v>1378</v>
      </c>
      <c r="M9" s="356">
        <f ca="1">INDIRECT("'数据-取费表'!ab"&amp;$G$1)</f>
        <v>0</v>
      </c>
    </row>
    <row r="10" spans="1:37" ht="18" customHeight="1">
      <c r="A10" s="1288" t="s">
        <v>1011</v>
      </c>
      <c r="B10" s="1820" t="s">
        <v>1379</v>
      </c>
      <c r="C10" s="358">
        <f ca="1">ROUND(IF(F10="押一",C6/12*F11,IF(F10="押二",C6/12*2*F11,IF(F10="押三",C6/12*3*F11,C11*F11))),0)</f>
        <v>0</v>
      </c>
      <c r="D10" s="1821" t="s">
        <v>3011</v>
      </c>
      <c r="E10" s="355" t="s">
        <v>1380</v>
      </c>
      <c r="F10" s="1363"/>
      <c r="G10" s="1848"/>
      <c r="H10" s="1288" t="s">
        <v>1011</v>
      </c>
      <c r="I10" s="1820" t="s">
        <v>1379</v>
      </c>
      <c r="J10" s="343">
        <f ca="1">ROUND(IF(M10="押一",J6/12*M11,IF(M10="押二",J6/12*2*M11,IF(M10="押三",J6/12*3*M11,J11*M11))),0)</f>
        <v>0</v>
      </c>
      <c r="K10" s="1832" t="s">
        <v>3013</v>
      </c>
      <c r="L10" s="355" t="s">
        <v>1380</v>
      </c>
      <c r="M10" s="1363"/>
    </row>
    <row r="11" spans="1:37" ht="18" customHeight="1">
      <c r="A11" s="350"/>
      <c r="B11" s="1822" t="s">
        <v>1572</v>
      </c>
      <c r="C11" s="1175"/>
      <c r="D11" s="349"/>
      <c r="E11" s="355" t="s">
        <v>1382</v>
      </c>
      <c r="F11" s="356">
        <f ca="1">'数据-取费表'!B39</f>
        <v>1.4999999999999999E-2</v>
      </c>
      <c r="G11" s="1848"/>
      <c r="H11" s="1296"/>
      <c r="I11" s="1822" t="s">
        <v>1573</v>
      </c>
      <c r="J11" s="1175"/>
      <c r="K11" s="745"/>
      <c r="L11" s="355" t="s">
        <v>1382</v>
      </c>
      <c r="M11" s="1053">
        <f ca="1">'数据-取费表'!B39</f>
        <v>1.4999999999999999E-2</v>
      </c>
    </row>
    <row r="12" spans="1:37" ht="18" customHeight="1" thickBot="1">
      <c r="A12" s="1330" t="s">
        <v>1047</v>
      </c>
      <c r="B12" s="1824" t="s">
        <v>1383</v>
      </c>
      <c r="C12" s="1331"/>
      <c r="D12" s="1332"/>
      <c r="E12" s="1337"/>
      <c r="F12" s="1333"/>
      <c r="G12" s="1848"/>
      <c r="H12" s="1330" t="s">
        <v>1047</v>
      </c>
      <c r="I12" s="1824" t="s">
        <v>1383</v>
      </c>
      <c r="J12" s="1331"/>
      <c r="K12" s="1345"/>
      <c r="L12" s="1337"/>
      <c r="M12" s="1346"/>
    </row>
    <row r="13" spans="1:37" ht="18" customHeight="1" thickTop="1">
      <c r="A13" s="1326">
        <v>2</v>
      </c>
      <c r="B13" s="1327" t="s">
        <v>1384</v>
      </c>
      <c r="C13" s="352">
        <f ca="1">ROUND(C29*F13,0)</f>
        <v>0</v>
      </c>
      <c r="D13" s="1328" t="s">
        <v>1385</v>
      </c>
      <c r="E13" s="1328" t="s">
        <v>1386</v>
      </c>
      <c r="F13" s="1329">
        <f ca="1">INDIRECT("'数据-取费表'!y"&amp;$G$1)</f>
        <v>0</v>
      </c>
      <c r="G13" s="1848"/>
      <c r="H13" s="1326">
        <v>2</v>
      </c>
      <c r="I13" s="1327" t="s">
        <v>1384</v>
      </c>
      <c r="J13" s="1287">
        <f ca="1">ROUND(J14*J15,0)</f>
        <v>0</v>
      </c>
      <c r="K13" s="1334" t="s">
        <v>1385</v>
      </c>
      <c r="L13" s="1849"/>
      <c r="M13" s="1850"/>
    </row>
    <row r="14" spans="1:37" ht="18" customHeight="1">
      <c r="A14" s="1198" t="s">
        <v>1006</v>
      </c>
      <c r="B14" s="344" t="s">
        <v>1387</v>
      </c>
      <c r="C14" s="360">
        <f ca="1">ROUND(INDIRECT("'数据-取费表'!l"&amp;$G$1)*F43+'数据-取费表'!L14*INDIRECT("'数据-取费表'!S"&amp;$G$1),0)</f>
        <v>0</v>
      </c>
      <c r="D14" s="1797" t="s">
        <v>1388</v>
      </c>
      <c r="E14" s="1791"/>
      <c r="F14" s="361"/>
      <c r="G14" s="1848"/>
      <c r="H14" s="1198" t="s">
        <v>1007</v>
      </c>
      <c r="I14" s="344" t="s">
        <v>1389</v>
      </c>
      <c r="J14" s="21">
        <f ca="1">C29</f>
        <v>0</v>
      </c>
      <c r="K14" s="12"/>
      <c r="L14" s="976"/>
      <c r="M14" s="977"/>
    </row>
    <row r="15" spans="1:37" s="1855" customFormat="1" ht="18" customHeight="1" thickBot="1">
      <c r="A15" s="1198" t="s">
        <v>1008</v>
      </c>
      <c r="B15" s="344" t="s">
        <v>1390</v>
      </c>
      <c r="C15" s="21">
        <f ca="1">ROUND(C14*F15,0)</f>
        <v>0</v>
      </c>
      <c r="D15" s="362" t="s">
        <v>1391</v>
      </c>
      <c r="E15" s="362" t="s">
        <v>1392</v>
      </c>
      <c r="F15" s="363">
        <f>'数据-取费表'!B33</f>
        <v>0.03</v>
      </c>
      <c r="G15" s="1851"/>
      <c r="H15" s="1336" t="s">
        <v>1011</v>
      </c>
      <c r="I15" s="1337" t="s">
        <v>1386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1359</v>
      </c>
      <c r="B16" s="344" t="s">
        <v>1393</v>
      </c>
      <c r="C16" s="21">
        <f ca="1">ROUND(INDIRECT("'数据-取费表'!l"&amp;$G$1)*F43*F16,0)</f>
        <v>0</v>
      </c>
      <c r="D16" s="344" t="s">
        <v>1391</v>
      </c>
      <c r="E16" s="344" t="s">
        <v>1392</v>
      </c>
      <c r="F16" s="364">
        <f ca="1">IF(INDIRECT("'数据-取费表'!c"&amp;$G$1)="住宅",'数据-取费表'!B34,0)</f>
        <v>0</v>
      </c>
      <c r="G16" s="1848"/>
      <c r="H16" s="1326" t="s">
        <v>1002</v>
      </c>
      <c r="I16" s="1327" t="s">
        <v>1394</v>
      </c>
      <c r="J16" s="352">
        <f ca="1">ROUND(J17+J22+J23+J24,0)</f>
        <v>0</v>
      </c>
      <c r="K16" s="1334" t="s">
        <v>1395</v>
      </c>
      <c r="L16" s="1335"/>
      <c r="M16" s="1291"/>
    </row>
    <row r="17" spans="1:37" s="1855" customFormat="1" ht="18" customHeight="1">
      <c r="A17" s="1198" t="s">
        <v>1360</v>
      </c>
      <c r="B17" s="344" t="s">
        <v>1396</v>
      </c>
      <c r="C17" s="21">
        <f ca="1">ROUND(F17*(F43+INDIRECT("'数据-取费表'!S"&amp;$G$1)),0)</f>
        <v>0</v>
      </c>
      <c r="D17" s="344" t="s">
        <v>1397</v>
      </c>
      <c r="E17" s="344" t="s">
        <v>1398</v>
      </c>
      <c r="F17" s="23">
        <f>'数据-取费表'!B35</f>
        <v>200</v>
      </c>
      <c r="G17" s="1851"/>
      <c r="H17" s="1198" t="s">
        <v>1007</v>
      </c>
      <c r="I17" s="344" t="s">
        <v>1399</v>
      </c>
      <c r="J17" s="21">
        <f ca="1">ROUND(IF(项目基本情况!B11="自然人",J6*M17/(1+'数据-取费表'!C42),J18+J19+J20),0)</f>
        <v>0</v>
      </c>
      <c r="K17" s="1797" t="s">
        <v>1400</v>
      </c>
      <c r="L17" s="1795" t="s">
        <v>1401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1361</v>
      </c>
      <c r="B18" s="344" t="s">
        <v>1402</v>
      </c>
      <c r="C18" s="21">
        <f ca="1">ROUND(C14*F18,0)</f>
        <v>0</v>
      </c>
      <c r="D18" s="344" t="s">
        <v>1391</v>
      </c>
      <c r="E18" s="344" t="s">
        <v>1392</v>
      </c>
      <c r="F18" s="364">
        <f>'数据-取费表'!B36</f>
        <v>1.4999999999999999E-2</v>
      </c>
      <c r="G18" s="1851"/>
      <c r="H18" s="1198" t="s">
        <v>1006</v>
      </c>
      <c r="I18" s="344" t="s">
        <v>1403</v>
      </c>
      <c r="J18" s="21">
        <f ca="1">ROUND(J6*M18/(1+'数据-取费表'!C42),0)</f>
        <v>0</v>
      </c>
      <c r="K18" s="1795" t="s">
        <v>1404</v>
      </c>
      <c r="L18" s="344" t="s">
        <v>1392</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1007</v>
      </c>
      <c r="B19" s="344" t="s">
        <v>1405</v>
      </c>
      <c r="C19" s="21">
        <f ca="1">SUM(C14:C18)</f>
        <v>0</v>
      </c>
      <c r="D19" s="137" t="s">
        <v>1406</v>
      </c>
      <c r="E19" s="1815"/>
      <c r="F19" s="23"/>
      <c r="G19" s="1848"/>
      <c r="H19" s="1198" t="s">
        <v>1008</v>
      </c>
      <c r="I19" s="344" t="s">
        <v>1407</v>
      </c>
      <c r="J19" s="21">
        <f ca="1">IF(K19="按租金收入计税",ROUND(J6*M19/(1+'数据-取费表'!C42),0),ROUND(C29*M19*0.7,0))</f>
        <v>0</v>
      </c>
      <c r="K19" s="1825" t="s">
        <v>1408</v>
      </c>
      <c r="L19" s="344" t="s">
        <v>1392</v>
      </c>
      <c r="M19" s="364">
        <f>IF(K19="按租金收入计税",'数据-取费表'!B51,'数据-取费表'!B50)</f>
        <v>1.2E-2</v>
      </c>
    </row>
    <row r="20" spans="1:37" s="1855" customFormat="1" ht="18" customHeight="1">
      <c r="A20" s="1198" t="s">
        <v>1011</v>
      </c>
      <c r="B20" s="344" t="s">
        <v>1409</v>
      </c>
      <c r="C20" s="21">
        <f ca="1">ROUND(C19*F20,0)</f>
        <v>0</v>
      </c>
      <c r="D20" s="366" t="s">
        <v>1410</v>
      </c>
      <c r="E20" s="344" t="s">
        <v>1392</v>
      </c>
      <c r="F20" s="364">
        <f>'数据-取费表'!B37</f>
        <v>0.03</v>
      </c>
      <c r="G20" s="1851"/>
      <c r="H20" s="1198" t="s">
        <v>1359</v>
      </c>
      <c r="I20" s="161" t="s">
        <v>1411</v>
      </c>
      <c r="J20" s="22">
        <f ca="1">ROUND(M20*M21,0)</f>
        <v>0</v>
      </c>
      <c r="K20" s="367" t="s">
        <v>1412</v>
      </c>
      <c r="L20" s="344" t="s">
        <v>1413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1047</v>
      </c>
      <c r="B21" s="344" t="s">
        <v>1414</v>
      </c>
      <c r="C21" s="21" t="s">
        <v>0</v>
      </c>
      <c r="D21" s="366" t="s">
        <v>1415</v>
      </c>
      <c r="E21" s="344" t="s">
        <v>1416</v>
      </c>
      <c r="F21" s="364">
        <f>'数据-取费表'!B38</f>
        <v>0.03</v>
      </c>
      <c r="G21" s="1851"/>
      <c r="H21" s="369"/>
      <c r="I21" s="353"/>
      <c r="J21" s="26"/>
      <c r="K21" s="370"/>
      <c r="L21" s="344" t="s">
        <v>1417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1362</v>
      </c>
      <c r="B22" s="344" t="s">
        <v>1418</v>
      </c>
      <c r="C22" s="21"/>
      <c r="D22" s="137" t="str">
        <f>IF(F23&lt;=1,"单利计息。","复利计息。")&amp;"建造成本、管理费用、销售费用产生的利息。"</f>
        <v>复利计息。建造成本、管理费用、销售费用产生的利息。</v>
      </c>
      <c r="E22" s="1815"/>
      <c r="F22" s="23"/>
      <c r="G22" s="1848"/>
      <c r="H22" s="1198" t="s">
        <v>1011</v>
      </c>
      <c r="I22" s="344" t="s">
        <v>1419</v>
      </c>
      <c r="J22" s="21">
        <f ca="1">ROUND(J14*M22,0)</f>
        <v>0</v>
      </c>
      <c r="K22" s="1795" t="s">
        <v>1420</v>
      </c>
      <c r="L22" s="344" t="s">
        <v>1392</v>
      </c>
      <c r="M22" s="371">
        <f ca="1">INDIRECT("'数据-取费表'!Ak"&amp;$G$1)</f>
        <v>0</v>
      </c>
    </row>
    <row r="23" spans="1:37" s="1855" customFormat="1" ht="18" customHeight="1">
      <c r="A23" s="1198" t="s">
        <v>1006</v>
      </c>
      <c r="B23" s="344" t="s">
        <v>1421</v>
      </c>
      <c r="C23" s="21">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1422</v>
      </c>
      <c r="F23" s="368">
        <f>'数据-取费表'!B20</f>
        <v>2</v>
      </c>
      <c r="G23" s="1851"/>
      <c r="H23" s="1198" t="s">
        <v>1047</v>
      </c>
      <c r="I23" s="344" t="s">
        <v>1423</v>
      </c>
      <c r="J23" s="21">
        <f ca="1">ROUND(J13*M23,0)</f>
        <v>0</v>
      </c>
      <c r="K23" s="1795" t="s">
        <v>1424</v>
      </c>
      <c r="L23" s="344" t="s">
        <v>1425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1426</v>
      </c>
      <c r="B24" s="344" t="s">
        <v>1427</v>
      </c>
      <c r="C24" s="21">
        <f ca="1">ROUND(IF('数据-取费表'!B22&lt;=1,F21*F24*F23/2,F21*(POWER((1+F24),F23/2)-1)),4)</f>
        <v>1.4E-3</v>
      </c>
      <c r="D24" s="372" t="str">
        <f>IF(F23&lt;=1,"销售费用×利率×(建设周期÷2)","销售费用×((1+利率)^(建设周期÷2)-1)")</f>
        <v>销售费用×((1+利率)^(建设周期÷2)-1)</v>
      </c>
      <c r="E24" s="344" t="s">
        <v>1428</v>
      </c>
      <c r="F24" s="374">
        <f ca="1">'数据-取费表'!B40</f>
        <v>4.7500000000000001E-2</v>
      </c>
      <c r="G24" s="1851"/>
      <c r="H24" s="1336" t="s">
        <v>1363</v>
      </c>
      <c r="I24" s="1337" t="s">
        <v>1409</v>
      </c>
      <c r="J24" s="1338">
        <f ca="1">ROUND(J5*M24,0)</f>
        <v>0</v>
      </c>
      <c r="K24" s="1339" t="s">
        <v>1429</v>
      </c>
      <c r="L24" s="1337" t="s">
        <v>1425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1430</v>
      </c>
      <c r="B25" s="344" t="s">
        <v>1431</v>
      </c>
      <c r="C25" s="21"/>
      <c r="D25" s="137" t="s">
        <v>1432</v>
      </c>
      <c r="E25" s="1815"/>
      <c r="F25" s="23"/>
      <c r="G25" s="1848"/>
      <c r="H25" s="1326" t="s">
        <v>1003</v>
      </c>
      <c r="I25" s="1341" t="s">
        <v>1433</v>
      </c>
      <c r="J25" s="352">
        <f ca="1">J5-J16</f>
        <v>0</v>
      </c>
      <c r="K25" s="1342" t="s">
        <v>1434</v>
      </c>
      <c r="L25" s="1343"/>
      <c r="M25" s="1344"/>
    </row>
    <row r="26" spans="1:37" ht="18" customHeight="1">
      <c r="A26" s="1198" t="s">
        <v>1006</v>
      </c>
      <c r="B26" s="344" t="s">
        <v>1435</v>
      </c>
      <c r="C26" s="21">
        <f ca="1">ROUND((C19+C20)*F26,0)</f>
        <v>0</v>
      </c>
      <c r="D26" s="366" t="s">
        <v>1436</v>
      </c>
      <c r="E26" s="355" t="s">
        <v>1437</v>
      </c>
      <c r="F26" s="354">
        <f ca="1">INDIRECT("'数据-取费表'!q"&amp;$G$1)</f>
        <v>0</v>
      </c>
      <c r="G26" s="1848"/>
      <c r="H26" s="341" t="s">
        <v>1004</v>
      </c>
      <c r="I26" s="342" t="s">
        <v>1438</v>
      </c>
      <c r="J26" s="343">
        <f ca="1">IF(J5&lt;&gt;0,ROUND(J25*(1-((1+M28)/(1+M26))^M27)/(M26-M28),0),0)</f>
        <v>0</v>
      </c>
      <c r="K26" s="367" t="s">
        <v>1439</v>
      </c>
      <c r="L26" s="344" t="s">
        <v>1440</v>
      </c>
      <c r="M26" s="354">
        <f ca="1">INDIRECT("'数据-取费表'!I"&amp;$G$1)</f>
        <v>0</v>
      </c>
    </row>
    <row r="27" spans="1:37" ht="18" customHeight="1">
      <c r="A27" s="1198" t="s">
        <v>1008</v>
      </c>
      <c r="B27" s="344" t="s">
        <v>1441</v>
      </c>
      <c r="C27" s="21">
        <f ca="1">ROUND(F21*F26,4)</f>
        <v>0</v>
      </c>
      <c r="D27" s="366" t="s">
        <v>1442</v>
      </c>
      <c r="E27" s="362"/>
      <c r="F27" s="363"/>
      <c r="G27" s="1848"/>
      <c r="H27" s="346"/>
      <c r="I27" s="347"/>
      <c r="J27" s="348"/>
      <c r="K27" s="375" t="s">
        <v>1443</v>
      </c>
      <c r="L27" s="344" t="s">
        <v>1444</v>
      </c>
      <c r="M27" s="376">
        <f ca="1">INDIRECT("'数据-取费表'!ag"&amp;$G$1)</f>
        <v>0</v>
      </c>
    </row>
    <row r="28" spans="1:37" s="1855" customFormat="1" ht="18" customHeight="1">
      <c r="A28" s="1198" t="s">
        <v>1009</v>
      </c>
      <c r="B28" s="344" t="s">
        <v>1445</v>
      </c>
      <c r="C28" s="21">
        <f>ROUND(F28/(1+'数据-取费表'!C42),4)</f>
        <v>5.33E-2</v>
      </c>
      <c r="D28" s="366" t="s">
        <v>1446</v>
      </c>
      <c r="E28" s="344" t="s">
        <v>1392</v>
      </c>
      <c r="F28" s="364">
        <f>'数据-取费表'!B41</f>
        <v>5.6000000000000001E-2</v>
      </c>
      <c r="G28" s="1851"/>
      <c r="H28" s="350"/>
      <c r="I28" s="351"/>
      <c r="J28" s="352"/>
      <c r="K28" s="370"/>
      <c r="L28" s="344" t="s">
        <v>1447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1010</v>
      </c>
      <c r="B29" s="1337" t="s">
        <v>1448</v>
      </c>
      <c r="C29" s="1338">
        <f ca="1">ROUND((C19+C20+C23+C26)/(1-F21-C24-C27-C28),0)</f>
        <v>0</v>
      </c>
      <c r="D29" s="1339"/>
      <c r="E29" s="1337"/>
      <c r="F29" s="1340"/>
      <c r="G29" s="1851"/>
      <c r="H29" s="377" t="s">
        <v>1005</v>
      </c>
      <c r="I29" s="378" t="s">
        <v>1449</v>
      </c>
      <c r="J29" s="379">
        <f ca="1">ROUND(J26/(1+F40)^F41,0)</f>
        <v>0</v>
      </c>
      <c r="K29" s="380" t="s">
        <v>1450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1002</v>
      </c>
      <c r="B30" s="1327" t="s">
        <v>1394</v>
      </c>
      <c r="C30" s="352">
        <f ca="1">ROUND(C31+C36+C37+C38,0)</f>
        <v>0</v>
      </c>
      <c r="D30" s="1334" t="s">
        <v>1395</v>
      </c>
      <c r="E30" s="1335"/>
      <c r="F30" s="1291"/>
      <c r="G30" s="1848"/>
      <c r="H30" s="742"/>
      <c r="I30" s="743"/>
      <c r="J30" s="744"/>
      <c r="K30" s="745"/>
      <c r="L30" s="746"/>
      <c r="M30" s="747"/>
    </row>
    <row r="31" spans="1:37" ht="18" customHeight="1">
      <c r="A31" s="1198" t="s">
        <v>1007</v>
      </c>
      <c r="B31" s="344" t="s">
        <v>1399</v>
      </c>
      <c r="C31" s="21">
        <f ca="1">ROUND(IF(项目基本情况!B11="自然人",C6*F31/(1+'数据-取费表'!C42),C32+C33+C34),0)</f>
        <v>0</v>
      </c>
      <c r="D31" s="1797" t="s">
        <v>1400</v>
      </c>
      <c r="E31" s="1795" t="s">
        <v>1451</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1006</v>
      </c>
      <c r="B32" s="344" t="s">
        <v>1403</v>
      </c>
      <c r="C32" s="21">
        <f ca="1">IF(项目基本情况!B11="自然人","——",ROUND(C6*F32/(1+'数据-取费表'!C42),0))</f>
        <v>0</v>
      </c>
      <c r="D32" s="1795" t="s">
        <v>1404</v>
      </c>
      <c r="E32" s="344" t="s">
        <v>1392</v>
      </c>
      <c r="F32" s="374">
        <f>'数据-取费表'!B41</f>
        <v>5.6000000000000001E-2</v>
      </c>
      <c r="G32" s="1848"/>
      <c r="H32" s="742"/>
      <c r="I32" s="743"/>
      <c r="J32" s="744"/>
      <c r="K32" s="745"/>
      <c r="L32" s="746"/>
      <c r="M32" s="747"/>
    </row>
    <row r="33" spans="1:18" ht="18" customHeight="1">
      <c r="A33" s="1198" t="s">
        <v>1008</v>
      </c>
      <c r="B33" s="344" t="s">
        <v>1407</v>
      </c>
      <c r="C33" s="21">
        <f ca="1">IF(项目基本情况!B11="自然人","——",IF(D33="按租金收入计税",ROUND(C6*F33/(1+'数据-取费表'!C42),0),IF(D33="按房产原值计税",ROUND(C29*F33*0.7,0),INDIRECT("'数据-取费表'!Aj"&amp;$G$1))))</f>
        <v>0</v>
      </c>
      <c r="D33" s="1825" t="s">
        <v>1408</v>
      </c>
      <c r="E33" s="344" t="s">
        <v>1392</v>
      </c>
      <c r="F33" s="364">
        <f>IF(D33="按票据","——",IF(D33="按租金收入计税",'数据-取费表'!B51,'数据-取费表'!B50))</f>
        <v>1.2E-2</v>
      </c>
      <c r="G33" s="1848"/>
      <c r="H33" s="1856"/>
      <c r="I33" s="1857"/>
      <c r="J33" s="1858"/>
      <c r="K33" s="1859"/>
      <c r="L33" s="1856"/>
      <c r="M33" s="1856"/>
    </row>
    <row r="34" spans="1:18" ht="18" customHeight="1">
      <c r="A34" s="1288" t="s">
        <v>1359</v>
      </c>
      <c r="B34" s="161" t="s">
        <v>1411</v>
      </c>
      <c r="C34" s="22">
        <f ca="1">IF(项目基本情况!B11="自然人","——",ROUND(F34*F35,))</f>
        <v>0</v>
      </c>
      <c r="D34" s="367" t="s">
        <v>1412</v>
      </c>
      <c r="E34" s="344" t="s">
        <v>1413</v>
      </c>
      <c r="F34" s="368">
        <f>'数据-取费表'!B52</f>
        <v>1.5</v>
      </c>
      <c r="G34" s="1848"/>
      <c r="H34" s="742"/>
      <c r="I34" s="1857"/>
      <c r="J34" s="1858"/>
      <c r="K34" s="1860"/>
      <c r="L34" s="1861"/>
      <c r="M34" s="1861"/>
    </row>
    <row r="35" spans="1:18" ht="18" customHeight="1">
      <c r="A35" s="1350"/>
      <c r="B35" s="1348"/>
      <c r="C35" s="26"/>
      <c r="D35" s="370"/>
      <c r="E35" s="344" t="s">
        <v>1417</v>
      </c>
      <c r="F35" s="345">
        <f ca="1">INDIRECT("'数据-取费表'!r"&amp;$G$1)</f>
        <v>0</v>
      </c>
      <c r="G35" s="1848"/>
      <c r="H35" s="742"/>
      <c r="I35" s="1857"/>
      <c r="J35" s="1858"/>
      <c r="K35" s="1859"/>
      <c r="L35" s="1856"/>
      <c r="M35" s="1856"/>
    </row>
    <row r="36" spans="1:18" ht="18" customHeight="1">
      <c r="A36" s="1349" t="s">
        <v>1011</v>
      </c>
      <c r="B36" s="344" t="s">
        <v>1419</v>
      </c>
      <c r="C36" s="21">
        <f ca="1">ROUND(C29*F36,0)</f>
        <v>0</v>
      </c>
      <c r="D36" s="1795" t="s">
        <v>1452</v>
      </c>
      <c r="E36" s="344" t="s">
        <v>1392</v>
      </c>
      <c r="F36" s="371">
        <f ca="1">INDIRECT("'数据-取费表'!Ak"&amp;$G$1)</f>
        <v>0</v>
      </c>
      <c r="G36" s="1848"/>
      <c r="H36" s="1856"/>
      <c r="I36" s="1857"/>
      <c r="J36" s="1858"/>
      <c r="K36" s="748"/>
      <c r="L36" s="1856"/>
      <c r="M36" s="1856"/>
    </row>
    <row r="37" spans="1:18" ht="18" customHeight="1">
      <c r="A37" s="1198" t="s">
        <v>1047</v>
      </c>
      <c r="B37" s="344" t="s">
        <v>1423</v>
      </c>
      <c r="C37" s="21">
        <f ca="1">ROUND(C13*F37,0)</f>
        <v>0</v>
      </c>
      <c r="D37" s="1795" t="s">
        <v>1424</v>
      </c>
      <c r="E37" s="344" t="s">
        <v>1425</v>
      </c>
      <c r="F37" s="373">
        <f ca="1">INDIRECT("'数据-取费表'!Al"&amp;$G$1)</f>
        <v>0</v>
      </c>
      <c r="G37" s="1848"/>
      <c r="H37" s="1856"/>
      <c r="I37" s="1857"/>
      <c r="J37" s="1858"/>
      <c r="K37" s="748"/>
      <c r="L37" s="1856"/>
      <c r="M37" s="1856"/>
    </row>
    <row r="38" spans="1:18" ht="18" customHeight="1" thickBot="1">
      <c r="A38" s="1336" t="s">
        <v>1363</v>
      </c>
      <c r="B38" s="1337" t="s">
        <v>1409</v>
      </c>
      <c r="C38" s="1338">
        <f ca="1">ROUND(C5*F38,1)</f>
        <v>0</v>
      </c>
      <c r="D38" s="1339" t="s">
        <v>1429</v>
      </c>
      <c r="E38" s="1337" t="s">
        <v>1425</v>
      </c>
      <c r="F38" s="1333">
        <f ca="1">INDIRECT("'数据-取费表'!Am"&amp;$G$1)</f>
        <v>0</v>
      </c>
      <c r="G38" s="1848"/>
      <c r="H38" s="1856"/>
      <c r="I38" s="1857"/>
      <c r="J38" s="1858"/>
      <c r="K38" s="1862"/>
      <c r="L38" s="1856"/>
      <c r="M38" s="1856"/>
    </row>
    <row r="39" spans="1:18" ht="24.6" customHeight="1" thickTop="1">
      <c r="A39" s="1326" t="s">
        <v>1003</v>
      </c>
      <c r="B39" s="1341" t="s">
        <v>1453</v>
      </c>
      <c r="C39" s="352">
        <f ca="1">C5-C30</f>
        <v>0</v>
      </c>
      <c r="D39" s="1342" t="s">
        <v>1454</v>
      </c>
      <c r="E39" s="1343"/>
      <c r="F39" s="1344"/>
      <c r="G39" s="1848"/>
      <c r="H39" s="1856"/>
      <c r="I39" s="1857"/>
      <c r="J39" s="1858"/>
      <c r="K39" s="1862"/>
      <c r="L39" s="1856"/>
      <c r="M39" s="1856"/>
    </row>
    <row r="40" spans="1:18" ht="18" customHeight="1">
      <c r="A40" s="341" t="s">
        <v>1004</v>
      </c>
      <c r="B40" s="342" t="s">
        <v>1455</v>
      </c>
      <c r="C40" s="343" t="e">
        <f ca="1">ROUND(C39*(1-((1+F42)/(1+F40))^F41)/(F40-F42),0)</f>
        <v>#DIV/0!</v>
      </c>
      <c r="D40" s="367" t="s">
        <v>1439</v>
      </c>
      <c r="E40" s="344" t="s">
        <v>1440</v>
      </c>
      <c r="F40" s="354">
        <f ca="1">INDIRECT("'数据-取费表'!I"&amp;$G$1)</f>
        <v>0</v>
      </c>
      <c r="G40" s="1848"/>
      <c r="H40" s="1836"/>
      <c r="I40" s="1857"/>
      <c r="J40" s="1858"/>
      <c r="K40" s="1862"/>
      <c r="L40" s="1836"/>
      <c r="M40" s="1836"/>
    </row>
    <row r="41" spans="1:18" ht="18" customHeight="1">
      <c r="A41" s="346"/>
      <c r="B41" s="347"/>
      <c r="C41" s="348"/>
      <c r="D41" s="375" t="s">
        <v>1456</v>
      </c>
      <c r="E41" s="344" t="s">
        <v>1444</v>
      </c>
      <c r="F41" s="376">
        <f ca="1">IF(INDIRECT("'数据-取费表'!af"&amp;$G$1)=0,INDIRECT("'数据-取费表'!ae"&amp;$G$1),INDIRECT("'数据-取费表'!af"&amp;$G$1))</f>
        <v>0</v>
      </c>
      <c r="G41" s="1848"/>
      <c r="H41" s="729"/>
      <c r="I41" s="1857"/>
      <c r="J41" s="1858"/>
      <c r="K41" s="748"/>
      <c r="L41" s="729"/>
      <c r="M41" s="729"/>
    </row>
    <row r="42" spans="1:18" ht="18" customHeight="1">
      <c r="A42" s="350"/>
      <c r="B42" s="351"/>
      <c r="C42" s="352"/>
      <c r="D42" s="370"/>
      <c r="E42" s="344" t="s">
        <v>1447</v>
      </c>
      <c r="F42" s="354">
        <f ca="1">INDIRECT("'数据-取费表'!v"&amp;$G$1)</f>
        <v>0</v>
      </c>
      <c r="G42" s="1848"/>
      <c r="H42" s="729"/>
      <c r="I42" s="1857"/>
      <c r="J42" s="1858"/>
      <c r="K42" s="748"/>
      <c r="L42" s="729"/>
      <c r="M42" s="729"/>
    </row>
    <row r="43" spans="1:18" ht="18" customHeight="1" thickBot="1">
      <c r="A43" s="377" t="s">
        <v>1005</v>
      </c>
      <c r="B43" s="378" t="s">
        <v>1457</v>
      </c>
      <c r="C43" s="379" t="e">
        <f ca="1">ROUND(C40/F43,0)</f>
        <v>#DIV/0!</v>
      </c>
      <c r="D43" s="380" t="s">
        <v>1458</v>
      </c>
      <c r="E43" s="381" t="s">
        <v>1459</v>
      </c>
      <c r="F43" s="382">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1574</v>
      </c>
      <c r="E45" s="1863"/>
      <c r="F45" s="1863"/>
      <c r="O45" s="1866" t="s">
        <v>1489</v>
      </c>
      <c r="P45" s="1836"/>
      <c r="Q45" s="1836"/>
      <c r="R45" s="1836"/>
    </row>
    <row r="46" spans="1:18" s="1839" customFormat="1" ht="13.5" thickBot="1">
      <c r="A46" s="1867" t="s">
        <v>1490</v>
      </c>
      <c r="C46" s="1868" t="e">
        <f ca="1">ROUND(C45/10000,0)</f>
        <v>#DIV/0!</v>
      </c>
      <c r="D46" s="1869" t="str">
        <f>C2</f>
        <v>万元</v>
      </c>
      <c r="I46" s="1870" t="s">
        <v>1491</v>
      </c>
      <c r="J46" s="1871"/>
      <c r="K46" s="1872"/>
      <c r="L46" s="1873" t="e">
        <f ca="1">IF(M47="住宅",0,IF(L48&gt;J51,L60,J60))</f>
        <v>#DIV/0!</v>
      </c>
      <c r="O46" s="1874" t="s">
        <v>1492</v>
      </c>
      <c r="P46" s="1875" t="s">
        <v>1493</v>
      </c>
      <c r="Q46" s="1876" t="s">
        <v>1494</v>
      </c>
      <c r="R46" s="1876" t="s">
        <v>1495</v>
      </c>
    </row>
    <row r="47" spans="1:18" s="1839" customFormat="1" ht="13.5" thickBot="1">
      <c r="A47" s="1162" t="s">
        <v>1366</v>
      </c>
      <c r="B47" s="1194" t="s">
        <v>1367</v>
      </c>
      <c r="C47" s="1194" t="s">
        <v>1368</v>
      </c>
      <c r="D47" s="1194" t="s">
        <v>1369</v>
      </c>
      <c r="E47" s="1276" t="s">
        <v>1370</v>
      </c>
      <c r="F47" s="1277"/>
      <c r="G47" s="789"/>
      <c r="I47" s="1877" t="s">
        <v>1496</v>
      </c>
      <c r="J47" s="1878"/>
      <c r="K47" s="1879" t="s">
        <v>1497</v>
      </c>
      <c r="L47" s="1880">
        <f ca="1">INDIRECT("'数据-取费表'!d"&amp;$G$1)</f>
        <v>0</v>
      </c>
      <c r="M47" s="1835" t="str">
        <f>IF(ISNUMBER(FIND("住宅",C1)),"住宅","非住宅")</f>
        <v>非住宅</v>
      </c>
      <c r="O47" s="1881" t="s">
        <v>1012</v>
      </c>
      <c r="P47" s="1882" t="s">
        <v>1498</v>
      </c>
      <c r="Q47" s="1883" t="e">
        <f ca="1">C40+J29</f>
        <v>#DIV/0!</v>
      </c>
      <c r="R47" s="1883" t="s">
        <v>1499</v>
      </c>
    </row>
    <row r="48" spans="1:18" s="1839" customFormat="1" ht="28.5" thickBot="1">
      <c r="A48" s="1357" t="s">
        <v>1107</v>
      </c>
      <c r="B48" s="342" t="s">
        <v>1371</v>
      </c>
      <c r="C48" s="1814">
        <f ca="1">C49+C53+C55</f>
        <v>0</v>
      </c>
      <c r="D48" s="1359"/>
      <c r="E48" s="1360"/>
      <c r="F48" s="1178"/>
      <c r="G48" s="789"/>
      <c r="H48" s="790"/>
      <c r="I48" s="1884" t="s">
        <v>1500</v>
      </c>
      <c r="J48" s="1885"/>
      <c r="K48" s="1886" t="s">
        <v>1501</v>
      </c>
      <c r="L48" s="1887">
        <f ca="1">INDIRECT("'数据-取费表'!f"&amp;$G$1)</f>
        <v>0</v>
      </c>
      <c r="O48" s="1881" t="s">
        <v>1013</v>
      </c>
      <c r="P48" s="1882" t="s">
        <v>1502</v>
      </c>
      <c r="Q48" s="1883" t="e">
        <f ca="1">J60</f>
        <v>#DIV/0!</v>
      </c>
      <c r="R48" s="1883" t="s">
        <v>1503</v>
      </c>
    </row>
    <row r="49" spans="1:18" s="1839" customFormat="1" ht="13.5" thickBot="1">
      <c r="A49" s="1191" t="s">
        <v>1108</v>
      </c>
      <c r="B49" s="1826" t="s">
        <v>1460</v>
      </c>
      <c r="C49" s="1361">
        <f ca="1">ROUND(F49*F51*F50*(1-F52),0)</f>
        <v>0</v>
      </c>
      <c r="D49" s="1273" t="s">
        <v>1374</v>
      </c>
      <c r="E49" s="1827" t="s">
        <v>1461</v>
      </c>
      <c r="F49" s="1278"/>
      <c r="G49" s="1888"/>
      <c r="H49" s="790"/>
      <c r="I49" s="1884" t="s">
        <v>1504</v>
      </c>
      <c r="J49" s="1889"/>
      <c r="K49" s="1886" t="s">
        <v>1505</v>
      </c>
      <c r="L49" s="1890"/>
      <c r="O49" s="1891" t="s">
        <v>1014</v>
      </c>
      <c r="P49" s="1882" t="s">
        <v>1506</v>
      </c>
      <c r="Q49" s="1883">
        <f ca="1">C29</f>
        <v>0</v>
      </c>
      <c r="R49" s="1883" t="s">
        <v>1499</v>
      </c>
    </row>
    <row r="50" spans="1:18" s="1839" customFormat="1" ht="13.5" thickBot="1">
      <c r="A50" s="1192"/>
      <c r="B50" s="1195"/>
      <c r="C50" s="1196"/>
      <c r="D50" s="1169"/>
      <c r="E50" s="1274" t="s">
        <v>1376</v>
      </c>
      <c r="F50" s="1275">
        <f ca="1">F7</f>
        <v>0</v>
      </c>
      <c r="H50" s="790"/>
      <c r="I50" s="1884" t="s">
        <v>1507</v>
      </c>
      <c r="J50" s="1892">
        <f>SUMPRODUCT((I63:I65=J47)*(J62:L62=J48)*(J63:L65))</f>
        <v>0</v>
      </c>
      <c r="K50" s="1886" t="s">
        <v>1508</v>
      </c>
      <c r="L50" s="1890"/>
      <c r="M50" s="1893"/>
      <c r="O50" s="1891" t="s">
        <v>1015</v>
      </c>
      <c r="P50" s="1882" t="s">
        <v>1509</v>
      </c>
      <c r="Q50" s="1894" t="e">
        <f ca="1">J58</f>
        <v>#DIV/0!</v>
      </c>
      <c r="R50" s="1883"/>
    </row>
    <row r="51" spans="1:18" s="1839" customFormat="1" ht="13.5" thickBot="1">
      <c r="A51" s="1193"/>
      <c r="B51" s="1195"/>
      <c r="C51" s="1196"/>
      <c r="D51" s="1169"/>
      <c r="E51" s="1197" t="s">
        <v>1377</v>
      </c>
      <c r="F51" s="345">
        <f ca="1">F8</f>
        <v>0</v>
      </c>
      <c r="I51" s="1895" t="s">
        <v>1510</v>
      </c>
      <c r="J51" s="1896">
        <f>IF(J49="",J50,J49+J50-YEAR('数据-取费表'!B2))</f>
        <v>0</v>
      </c>
      <c r="K51" s="1897" t="s">
        <v>1511</v>
      </c>
      <c r="L51" s="1898">
        <f ca="1">ROUND(-PV(INDIRECT("'数据-取费表'!h"&amp;$G$1),L48,(C39-C13*C76),0),0)</f>
        <v>0</v>
      </c>
      <c r="M51" s="1899"/>
      <c r="O51" s="1891" t="s">
        <v>1016</v>
      </c>
      <c r="P51" s="1882" t="s">
        <v>1512</v>
      </c>
      <c r="Q51" s="1894">
        <f>J52</f>
        <v>0</v>
      </c>
      <c r="R51" s="1883"/>
    </row>
    <row r="52" spans="1:18" s="1839" customFormat="1" ht="13.5" thickBot="1">
      <c r="A52" s="1193"/>
      <c r="B52" s="1195"/>
      <c r="C52" s="1196"/>
      <c r="D52" s="1169"/>
      <c r="E52" s="1197" t="s">
        <v>1378</v>
      </c>
      <c r="F52" s="1272"/>
      <c r="I52" s="1900" t="s">
        <v>1513</v>
      </c>
      <c r="J52" s="1901"/>
      <c r="K52" s="1900" t="s">
        <v>1514</v>
      </c>
      <c r="L52" s="1901"/>
      <c r="O52" s="1891" t="s">
        <v>1017</v>
      </c>
      <c r="P52" s="1882" t="s">
        <v>1515</v>
      </c>
      <c r="Q52" s="1883">
        <f ca="1">J53</f>
        <v>-0.10000000000000009</v>
      </c>
      <c r="R52" s="1883" t="s">
        <v>1516</v>
      </c>
    </row>
    <row r="53" spans="1:18" s="1839" customFormat="1" ht="30.75" customHeight="1" thickBot="1">
      <c r="A53" s="1358" t="s">
        <v>1109</v>
      </c>
      <c r="B53" s="366" t="s">
        <v>1379</v>
      </c>
      <c r="C53" s="358">
        <f ca="1">ROUND(IF(F53="押一",C49/12*F11,IF(F53="押二",C49/12*2*F11,IF(F53="押三",C49/12*3*F11,C54*F11))),0)</f>
        <v>0</v>
      </c>
      <c r="D53" s="1821" t="s">
        <v>3014</v>
      </c>
      <c r="E53" s="355" t="s">
        <v>1380</v>
      </c>
      <c r="F53" s="1363"/>
      <c r="I53" s="1902" t="s">
        <v>1517</v>
      </c>
      <c r="J53" s="2947">
        <f ca="1">IF(M47="住宅",IF(D1="——",MAX(J51,L48),MAX(J51,L48-'数据-取费表'!B24)),IF(D1="——",MIN(J51,L48),MIN(J51,L48-'数据-取费表'!B24)))</f>
        <v>-0.10000000000000009</v>
      </c>
      <c r="K53" s="3175" t="s">
        <v>1518</v>
      </c>
      <c r="L53" s="3176"/>
      <c r="O53" s="1881" t="s">
        <v>1018</v>
      </c>
      <c r="P53" s="1882" t="s">
        <v>1519</v>
      </c>
      <c r="Q53" s="1883" t="e">
        <f ca="1">Q47+Q48</f>
        <v>#DIV/0!</v>
      </c>
      <c r="R53" s="1883" t="s">
        <v>1019</v>
      </c>
    </row>
    <row r="54" spans="1:18" s="1839" customFormat="1" ht="13.5" thickBot="1">
      <c r="A54" s="1191"/>
      <c r="B54" s="1937" t="s">
        <v>1573</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1520</v>
      </c>
      <c r="P54" s="1836"/>
      <c r="Q54" s="1836"/>
      <c r="R54" s="1836"/>
    </row>
    <row r="55" spans="1:18" s="1839" customFormat="1" ht="13.5" thickBot="1">
      <c r="A55" s="1330" t="s">
        <v>1047</v>
      </c>
      <c r="B55" s="1824" t="s">
        <v>1383</v>
      </c>
      <c r="C55" s="1331"/>
      <c r="D55" s="1821"/>
      <c r="E55" s="1829"/>
      <c r="F55" s="1903"/>
      <c r="I55" s="1906" t="s">
        <v>1521</v>
      </c>
      <c r="J55" s="1907" t="e">
        <f ca="1">ROUND(IF(J47="钢混",J57/J50,1-(1-2%)*(J50-J57)/J50),3)</f>
        <v>#DIV/0!</v>
      </c>
      <c r="K55" s="1908" t="s">
        <v>1522</v>
      </c>
      <c r="L55" s="1909"/>
      <c r="O55" s="1874" t="s">
        <v>1492</v>
      </c>
      <c r="P55" s="1875" t="s">
        <v>1493</v>
      </c>
      <c r="Q55" s="1876" t="s">
        <v>1494</v>
      </c>
      <c r="R55" s="1876" t="s">
        <v>1495</v>
      </c>
    </row>
    <row r="56" spans="1:18" s="1839" customFormat="1" ht="36" customHeight="1" thickTop="1" thickBot="1">
      <c r="A56" s="1173">
        <v>2</v>
      </c>
      <c r="B56" s="1174" t="s">
        <v>1384</v>
      </c>
      <c r="C56" s="273">
        <f ca="1">C13</f>
        <v>0</v>
      </c>
      <c r="D56" s="1910"/>
      <c r="E56" s="1911"/>
      <c r="F56" s="1903"/>
      <c r="I56" s="1912" t="s">
        <v>1524</v>
      </c>
      <c r="J56" s="1913"/>
      <c r="K56" s="1884" t="s">
        <v>1525</v>
      </c>
      <c r="L56" s="1887">
        <f ca="1">IF(L48&lt;J51,"——",L48-J51)</f>
        <v>0</v>
      </c>
      <c r="O56" s="1881" t="s">
        <v>1012</v>
      </c>
      <c r="P56" s="1882" t="s">
        <v>1498</v>
      </c>
      <c r="Q56" s="1883" t="e">
        <f ca="1">C40+J29</f>
        <v>#DIV/0!</v>
      </c>
      <c r="R56" s="1883" t="s">
        <v>1499</v>
      </c>
    </row>
    <row r="57" spans="1:18" s="1839" customFormat="1" ht="24.75" thickBot="1">
      <c r="A57" s="1914"/>
      <c r="B57" s="1166" t="s">
        <v>1448</v>
      </c>
      <c r="C57" s="279">
        <f ca="1">C29</f>
        <v>0</v>
      </c>
      <c r="D57" s="1915"/>
      <c r="E57" s="1916"/>
      <c r="F57" s="1917"/>
      <c r="I57" s="1918" t="s">
        <v>1526</v>
      </c>
      <c r="J57" s="1919">
        <f ca="1">IF(OR(M47="住宅",J51&lt;L48,J56="是"),"——",J51-L48)</f>
        <v>0</v>
      </c>
      <c r="K57" s="1884" t="s">
        <v>1575</v>
      </c>
      <c r="L57" s="1887">
        <f ca="1">IF(L48&lt;J51,"——",IF(L55="比较法",L49,IF(L55="基准地价",L50,L51)))</f>
        <v>0</v>
      </c>
      <c r="O57" s="1881" t="s">
        <v>1013</v>
      </c>
      <c r="P57" s="1882" t="s">
        <v>1576</v>
      </c>
      <c r="Q57" s="1883" t="e">
        <f ca="1">L60</f>
        <v>#DIV/0!</v>
      </c>
      <c r="R57" s="1883" t="s">
        <v>1577</v>
      </c>
    </row>
    <row r="58" spans="1:18" s="1839" customFormat="1" ht="24.75" thickBot="1">
      <c r="A58" s="357" t="s">
        <v>1002</v>
      </c>
      <c r="B58" s="1174" t="s">
        <v>1394</v>
      </c>
      <c r="C58" s="358">
        <f ca="1">ROUND(C59+C64+C65+C66,0)</f>
        <v>0</v>
      </c>
      <c r="D58" s="1176" t="s">
        <v>1395</v>
      </c>
      <c r="E58" s="1177"/>
      <c r="F58" s="1178"/>
      <c r="I58" s="1918" t="s">
        <v>1530</v>
      </c>
      <c r="J58" s="1920" t="e">
        <f ca="1">IF(J55&lt;0.4,0.4,J55)</f>
        <v>#DIV/0!</v>
      </c>
      <c r="K58" s="1897" t="s">
        <v>1578</v>
      </c>
      <c r="L58" s="1887" t="e">
        <f ca="1">ROUND(POWER(1+L52,L47-L48)*(POWER(1+L52,L48)-1)/(POWER(1+L52,L47)-1),4)</f>
        <v>#DIV/0!</v>
      </c>
      <c r="O58" s="1891" t="s">
        <v>1014</v>
      </c>
      <c r="P58" s="1882" t="s">
        <v>1532</v>
      </c>
      <c r="Q58" s="1883">
        <f>IF(L55="比较法",L49,IF(L55="基准地价",L50,0))</f>
        <v>0</v>
      </c>
      <c r="R58" s="1883" t="s">
        <v>1499</v>
      </c>
    </row>
    <row r="59" spans="1:18" s="1839" customFormat="1" ht="24.75" thickBot="1">
      <c r="A59" s="1198" t="s">
        <v>1007</v>
      </c>
      <c r="B59" s="1166" t="s">
        <v>1399</v>
      </c>
      <c r="C59" s="21">
        <f ca="1">ROUND(IF(项目基本情况!B11="自然人",C48*F59,C60+C61+C62),0)</f>
        <v>0</v>
      </c>
      <c r="D59" s="1179" t="s">
        <v>1400</v>
      </c>
      <c r="E59" s="1180" t="s">
        <v>1401</v>
      </c>
      <c r="F59" s="365" t="str">
        <f ca="1">IF(项目基本情况!B11="企业","",IF(INDIRECT("'数据-取费表'!c"&amp;$G$1)="住宅",5%,IF(F49*F50*F51/12/(1+'数据-取费表'!C42)&gt;20000,12%,7%)))</f>
        <v/>
      </c>
      <c r="I59" s="1918" t="s">
        <v>1533</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1015</v>
      </c>
      <c r="P59" s="1882" t="s">
        <v>1534</v>
      </c>
      <c r="Q59" s="1894">
        <f>L52</f>
        <v>0</v>
      </c>
      <c r="R59" s="1883"/>
    </row>
    <row r="60" spans="1:18" s="1839" customFormat="1" ht="16.5" thickBot="1">
      <c r="A60" s="1198" t="s">
        <v>1006</v>
      </c>
      <c r="B60" s="1166" t="s">
        <v>1403</v>
      </c>
      <c r="C60" s="21">
        <f ca="1">IF(项目基本情况!B11="自然人","——",ROUND(C48*F60/(1+'数据-取费表'!C42),0))</f>
        <v>0</v>
      </c>
      <c r="D60" s="1180" t="s">
        <v>1404</v>
      </c>
      <c r="E60" s="1166" t="s">
        <v>1392</v>
      </c>
      <c r="F60" s="374">
        <f t="shared" ref="F60:F66" si="0">F32</f>
        <v>5.6000000000000001E-2</v>
      </c>
      <c r="I60" s="1921" t="s">
        <v>1535</v>
      </c>
      <c r="J60" s="1922" t="e">
        <f ca="1">IF(OR(M47="住宅",J51&lt;L48,J56="是"),"0",ROUND(J59/(1+J52)^J53,0))</f>
        <v>#DIV/0!</v>
      </c>
      <c r="K60" s="1923" t="s">
        <v>1536</v>
      </c>
      <c r="L60" s="1922" t="e">
        <f ca="1">IF(OR(M47="住宅",L48&lt;J51),0,ROUND(L57*(L58/L59-1),0))</f>
        <v>#DIV/0!</v>
      </c>
      <c r="O60" s="1891" t="s">
        <v>1016</v>
      </c>
      <c r="P60" s="1882" t="s">
        <v>1537</v>
      </c>
      <c r="Q60" s="1883" t="e">
        <f ca="1">L58</f>
        <v>#DIV/0!</v>
      </c>
      <c r="R60" s="1883" t="s">
        <v>1538</v>
      </c>
    </row>
    <row r="61" spans="1:18" s="1839" customFormat="1" ht="13.5" thickBot="1">
      <c r="A61" s="1198" t="s">
        <v>1462</v>
      </c>
      <c r="B61" s="1166" t="s">
        <v>1463</v>
      </c>
      <c r="C61" s="21">
        <f ca="1">IF(项目基本情况!B11="自然人","——",IF(D61="按租金收入计税",ROUND(C48*F61,0),IF(D61="按房产原值计税",ROUND(C57*F61*0.7,0),INDIRECT("'数据-取费表'!Aj"&amp;$G$1))))</f>
        <v>0</v>
      </c>
      <c r="D61" s="1825" t="s">
        <v>1408</v>
      </c>
      <c r="E61" s="1166" t="s">
        <v>1464</v>
      </c>
      <c r="F61" s="364">
        <f t="shared" si="0"/>
        <v>1.2E-2</v>
      </c>
      <c r="I61" s="1924"/>
      <c r="J61" s="1924"/>
      <c r="K61" s="1924"/>
      <c r="L61" s="1924"/>
      <c r="O61" s="1891" t="s">
        <v>1017</v>
      </c>
      <c r="P61" s="1882" t="str">
        <f>K59</f>
        <v>建设期及建筑物耐用年限下的土地年期修正系数Kn</v>
      </c>
      <c r="Q61" s="1883" t="e">
        <f ca="1">L59</f>
        <v>#DIV/0!</v>
      </c>
      <c r="R61" s="1883" t="s">
        <v>1539</v>
      </c>
    </row>
    <row r="62" spans="1:18" s="1839" customFormat="1" ht="13.5" thickBot="1">
      <c r="A62" s="1198" t="s">
        <v>1465</v>
      </c>
      <c r="B62" s="1165" t="s">
        <v>1466</v>
      </c>
      <c r="C62" s="22">
        <f ca="1">IF(项目基本情况!B11="自然人","——",ROUND(F62*F63,0))</f>
        <v>0</v>
      </c>
      <c r="D62" s="1181" t="s">
        <v>1467</v>
      </c>
      <c r="E62" s="1166" t="s">
        <v>1468</v>
      </c>
      <c r="F62" s="368">
        <f t="shared" si="0"/>
        <v>1.5</v>
      </c>
      <c r="I62" s="1925" t="s">
        <v>1540</v>
      </c>
      <c r="J62" s="1926" t="s">
        <v>1541</v>
      </c>
      <c r="K62" s="1926" t="s">
        <v>1542</v>
      </c>
      <c r="L62" s="1926" t="s">
        <v>1543</v>
      </c>
      <c r="M62" s="1927" t="s">
        <v>1544</v>
      </c>
      <c r="O62" s="1881" t="s">
        <v>1018</v>
      </c>
      <c r="P62" s="1882" t="s">
        <v>1545</v>
      </c>
      <c r="Q62" s="1883" t="e">
        <f ca="1">Q56+Q57</f>
        <v>#DIV/0!</v>
      </c>
      <c r="R62" s="1883" t="s">
        <v>1019</v>
      </c>
    </row>
    <row r="63" spans="1:18" s="1839" customFormat="1" ht="13.5" thickBot="1">
      <c r="A63" s="369"/>
      <c r="B63" s="1172"/>
      <c r="C63" s="26"/>
      <c r="D63" s="1182"/>
      <c r="E63" s="1166" t="s">
        <v>1469</v>
      </c>
      <c r="F63" s="345">
        <f t="shared" ca="1" si="0"/>
        <v>0</v>
      </c>
      <c r="I63" s="1925" t="s">
        <v>1546</v>
      </c>
      <c r="J63" s="1926">
        <v>70</v>
      </c>
      <c r="K63" s="1926">
        <v>50</v>
      </c>
      <c r="L63" s="1926">
        <v>80</v>
      </c>
      <c r="M63" s="1928">
        <v>0.02</v>
      </c>
      <c r="O63" s="1866" t="s">
        <v>1547</v>
      </c>
      <c r="P63" s="1836"/>
      <c r="Q63" s="1836"/>
      <c r="R63" s="1836"/>
    </row>
    <row r="64" spans="1:18" s="1839" customFormat="1" ht="13.5" thickBot="1">
      <c r="A64" s="1198" t="s">
        <v>1470</v>
      </c>
      <c r="B64" s="1166" t="s">
        <v>1471</v>
      </c>
      <c r="C64" s="21">
        <f ca="1">ROUND(C57*F64,0)</f>
        <v>0</v>
      </c>
      <c r="D64" s="1180" t="s">
        <v>1472</v>
      </c>
      <c r="E64" s="1166" t="s">
        <v>1464</v>
      </c>
      <c r="F64" s="371">
        <f t="shared" ca="1" si="0"/>
        <v>0</v>
      </c>
      <c r="I64" s="1925" t="s">
        <v>1548</v>
      </c>
      <c r="J64" s="1926">
        <v>50</v>
      </c>
      <c r="K64" s="1926">
        <v>35</v>
      </c>
      <c r="L64" s="1926">
        <v>60</v>
      </c>
      <c r="M64" s="1927">
        <v>0</v>
      </c>
      <c r="O64" s="1874" t="s">
        <v>1492</v>
      </c>
      <c r="P64" s="1875" t="s">
        <v>1493</v>
      </c>
      <c r="Q64" s="1876" t="s">
        <v>1494</v>
      </c>
      <c r="R64" s="1876" t="s">
        <v>1495</v>
      </c>
    </row>
    <row r="65" spans="1:18" s="1839" customFormat="1" ht="13.5" thickBot="1">
      <c r="A65" s="1198" t="s">
        <v>1473</v>
      </c>
      <c r="B65" s="1166" t="s">
        <v>1423</v>
      </c>
      <c r="C65" s="21">
        <f ca="1">ROUND(C56*F65,0)</f>
        <v>0</v>
      </c>
      <c r="D65" s="1180" t="s">
        <v>1424</v>
      </c>
      <c r="E65" s="1166" t="s">
        <v>1425</v>
      </c>
      <c r="F65" s="373">
        <f t="shared" ca="1" si="0"/>
        <v>0</v>
      </c>
      <c r="I65" s="1925" t="s">
        <v>1549</v>
      </c>
      <c r="J65" s="1926">
        <v>40</v>
      </c>
      <c r="K65" s="1926">
        <v>30</v>
      </c>
      <c r="L65" s="1926">
        <v>50</v>
      </c>
      <c r="M65" s="1928">
        <v>0.02</v>
      </c>
      <c r="O65" s="1881" t="s">
        <v>1012</v>
      </c>
      <c r="P65" s="1882" t="s">
        <v>1550</v>
      </c>
      <c r="Q65" s="1883" t="e">
        <f ca="1">C40+J29</f>
        <v>#DIV/0!</v>
      </c>
      <c r="R65" s="1883" t="s">
        <v>1499</v>
      </c>
    </row>
    <row r="66" spans="1:18" s="1839" customFormat="1" ht="16.5" thickBot="1">
      <c r="A66" s="1198" t="s">
        <v>1474</v>
      </c>
      <c r="B66" s="1166" t="s">
        <v>1409</v>
      </c>
      <c r="C66" s="21">
        <f ca="1">ROUND(C48*F66,0)</f>
        <v>0</v>
      </c>
      <c r="D66" s="1180" t="s">
        <v>1475</v>
      </c>
      <c r="E66" s="1166" t="s">
        <v>1392</v>
      </c>
      <c r="F66" s="354">
        <f t="shared" ca="1" si="0"/>
        <v>0</v>
      </c>
      <c r="O66" s="1881" t="s">
        <v>1013</v>
      </c>
      <c r="P66" s="1882" t="s">
        <v>1528</v>
      </c>
      <c r="Q66" s="1883" t="e">
        <f ca="1">L60</f>
        <v>#DIV/0!</v>
      </c>
      <c r="R66" s="1883" t="s">
        <v>1551</v>
      </c>
    </row>
    <row r="67" spans="1:18" s="1839" customFormat="1" ht="16.5" thickBot="1">
      <c r="A67" s="1173" t="s">
        <v>1003</v>
      </c>
      <c r="B67" s="1183" t="s">
        <v>1433</v>
      </c>
      <c r="C67" s="358">
        <f ca="1">C48-C58</f>
        <v>0</v>
      </c>
      <c r="D67" s="1179" t="s">
        <v>1434</v>
      </c>
      <c r="E67" s="1184"/>
      <c r="F67" s="1185"/>
      <c r="O67" s="1891" t="s">
        <v>1014</v>
      </c>
      <c r="P67" s="1882" t="s">
        <v>1532</v>
      </c>
      <c r="Q67" s="1929">
        <f ca="1">L51</f>
        <v>0</v>
      </c>
      <c r="R67" s="1883" t="s">
        <v>1552</v>
      </c>
    </row>
    <row r="68" spans="1:18" s="1839" customFormat="1" ht="16.5" thickBot="1">
      <c r="A68" s="1163" t="s">
        <v>1004</v>
      </c>
      <c r="B68" s="1164" t="s">
        <v>1455</v>
      </c>
      <c r="C68" s="343" t="e">
        <f ca="1">ROUND(C67*(1-((1+F70)/(1+F68))^F69)/(F68-F70),0)</f>
        <v>#DIV/0!</v>
      </c>
      <c r="D68" s="1181" t="s">
        <v>1439</v>
      </c>
      <c r="E68" s="1166" t="s">
        <v>1440</v>
      </c>
      <c r="F68" s="354">
        <f ca="1">F40</f>
        <v>0</v>
      </c>
      <c r="O68" s="1891" t="s">
        <v>1015</v>
      </c>
      <c r="P68" s="1930" t="s">
        <v>1553</v>
      </c>
      <c r="Q68" s="1883">
        <f ca="1">ROUND(Q69-Q70*Q71,0)</f>
        <v>0</v>
      </c>
      <c r="R68" s="1883" t="s">
        <v>1023</v>
      </c>
    </row>
    <row r="69" spans="1:18" s="1839" customFormat="1" ht="13.5" thickBot="1">
      <c r="A69" s="1167"/>
      <c r="B69" s="1168"/>
      <c r="C69" s="348"/>
      <c r="D69" s="1186" t="s">
        <v>1443</v>
      </c>
      <c r="E69" s="1166" t="s">
        <v>1444</v>
      </c>
      <c r="F69" s="376">
        <f ca="1">F41</f>
        <v>0</v>
      </c>
      <c r="O69" s="1891" t="s">
        <v>1020</v>
      </c>
      <c r="P69" s="1930" t="s">
        <v>1554</v>
      </c>
      <c r="Q69" s="1883">
        <f ca="1">C39</f>
        <v>0</v>
      </c>
      <c r="R69" s="1883" t="s">
        <v>1499</v>
      </c>
    </row>
    <row r="70" spans="1:18" s="1839" customFormat="1" ht="13.5" thickBot="1">
      <c r="A70" s="1170"/>
      <c r="B70" s="1171"/>
      <c r="C70" s="352"/>
      <c r="D70" s="1182"/>
      <c r="E70" s="1166" t="s">
        <v>1447</v>
      </c>
      <c r="F70" s="1272">
        <f ca="1">F42</f>
        <v>0</v>
      </c>
      <c r="O70" s="1891" t="s">
        <v>1021</v>
      </c>
      <c r="P70" s="1930" t="s">
        <v>1555</v>
      </c>
      <c r="Q70" s="1883">
        <f ca="1">C13</f>
        <v>0</v>
      </c>
      <c r="R70" s="1883" t="s">
        <v>1499</v>
      </c>
    </row>
    <row r="71" spans="1:18" s="1839" customFormat="1" ht="13.5" thickBot="1">
      <c r="A71" s="1187" t="s">
        <v>1005</v>
      </c>
      <c r="B71" s="1188" t="s">
        <v>1457</v>
      </c>
      <c r="C71" s="379" t="e">
        <f ca="1">ROUND(C68/F71,0)</f>
        <v>#DIV/0!</v>
      </c>
      <c r="D71" s="1189" t="s">
        <v>1458</v>
      </c>
      <c r="E71" s="1190" t="s">
        <v>1459</v>
      </c>
      <c r="F71" s="382">
        <f ca="1">F43</f>
        <v>0</v>
      </c>
      <c r="O71" s="1891" t="s">
        <v>1022</v>
      </c>
      <c r="P71" s="1930" t="s">
        <v>1556</v>
      </c>
      <c r="Q71" s="1894">
        <f ca="1">C76</f>
        <v>0</v>
      </c>
      <c r="R71" s="1883"/>
    </row>
    <row r="72" spans="1:18" s="1839" customFormat="1" ht="13.5" thickBot="1">
      <c r="B72" s="793"/>
      <c r="C72" s="793"/>
      <c r="O72" s="1891" t="s">
        <v>1016</v>
      </c>
      <c r="P72" s="1882" t="s">
        <v>1534</v>
      </c>
      <c r="Q72" s="1894">
        <f>L52</f>
        <v>0</v>
      </c>
      <c r="R72" s="1883"/>
    </row>
    <row r="73" spans="1:18" ht="16.5" thickBot="1">
      <c r="A73" s="1839"/>
      <c r="B73" s="793"/>
      <c r="C73" s="793"/>
      <c r="D73" s="1839"/>
      <c r="E73" s="1839"/>
      <c r="F73" s="1839"/>
      <c r="O73" s="1891" t="s">
        <v>1017</v>
      </c>
      <c r="P73" s="1882" t="s">
        <v>1537</v>
      </c>
      <c r="Q73" s="1883" t="e">
        <f ca="1">L58</f>
        <v>#DIV/0!</v>
      </c>
      <c r="R73" s="1883" t="s">
        <v>1538</v>
      </c>
    </row>
    <row r="74" spans="1:18" ht="13.5" thickBot="1">
      <c r="A74" s="1839"/>
      <c r="B74" s="314" t="s">
        <v>1557</v>
      </c>
      <c r="C74" s="1932"/>
      <c r="D74" s="1839"/>
      <c r="E74" s="1839"/>
      <c r="F74" s="1839"/>
      <c r="O74" s="1891" t="s">
        <v>1024</v>
      </c>
      <c r="P74" s="1882" t="str">
        <f>K59</f>
        <v>建设期及建筑物耐用年限下的土地年期修正系数Kn</v>
      </c>
      <c r="Q74" s="1883" t="e">
        <f ca="1">L59</f>
        <v>#DIV/0!</v>
      </c>
      <c r="R74" s="1883" t="s">
        <v>1539</v>
      </c>
    </row>
    <row r="75" spans="1:18" ht="13.5" thickBot="1">
      <c r="A75" s="1839"/>
      <c r="B75" s="383" t="s">
        <v>1476</v>
      </c>
      <c r="C75" s="384">
        <f ca="1">ROUND(C13*C76,0)</f>
        <v>0</v>
      </c>
      <c r="D75" s="1839"/>
      <c r="E75" s="1839"/>
      <c r="F75" s="1839"/>
      <c r="K75" s="1865"/>
      <c r="L75" s="1839"/>
      <c r="O75" s="1881" t="s">
        <v>1018</v>
      </c>
      <c r="P75" s="1882" t="s">
        <v>1519</v>
      </c>
      <c r="Q75" s="1883" t="e">
        <f ca="1">Q65+Q66</f>
        <v>#DIV/0!</v>
      </c>
      <c r="R75" s="1883" t="s">
        <v>1019</v>
      </c>
    </row>
    <row r="76" spans="1:18">
      <c r="B76" s="385" t="s">
        <v>1477</v>
      </c>
      <c r="C76" s="386">
        <f ca="1">INDIRECT("'数据-取费表'!j"&amp;$G$1)</f>
        <v>0</v>
      </c>
      <c r="I76" s="1839"/>
      <c r="J76" s="1839"/>
      <c r="K76" s="1865"/>
      <c r="L76" s="1839"/>
    </row>
    <row r="77" spans="1:18">
      <c r="B77" s="387" t="s">
        <v>1478</v>
      </c>
      <c r="C77" s="388"/>
      <c r="I77" s="1839"/>
      <c r="J77" s="1839"/>
      <c r="K77" s="1865"/>
      <c r="L77" s="1839"/>
    </row>
    <row r="78" spans="1:18">
      <c r="B78" s="311" t="s">
        <v>1479</v>
      </c>
      <c r="C78" s="389"/>
    </row>
    <row r="79" spans="1:18">
      <c r="B79" s="383" t="s">
        <v>1480</v>
      </c>
      <c r="C79" s="315" t="e">
        <f ca="1">1-C80</f>
        <v>#DIV/0!</v>
      </c>
    </row>
    <row r="80" spans="1:18">
      <c r="B80" s="383" t="s">
        <v>1481</v>
      </c>
      <c r="C80" s="315" t="e">
        <f ca="1">ROUND(C75/C39,3)</f>
        <v>#DIV/0!</v>
      </c>
    </row>
    <row r="81" spans="2:3">
      <c r="B81" s="311" t="s">
        <v>1482</v>
      </c>
      <c r="C81" s="279"/>
    </row>
    <row r="82" spans="2:3">
      <c r="B82" s="314" t="s">
        <v>1483</v>
      </c>
      <c r="C82" s="316" t="e">
        <f ca="1">1-C83</f>
        <v>#DIV/0!</v>
      </c>
    </row>
    <row r="83" spans="2:3">
      <c r="B83" s="314" t="s">
        <v>1484</v>
      </c>
      <c r="C83" s="315"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2498</v>
      </c>
      <c r="B1" s="2559"/>
      <c r="C1" s="2559"/>
      <c r="D1" s="2559"/>
      <c r="E1" s="2560"/>
    </row>
    <row r="2" spans="1:6" ht="15.75">
      <c r="A2" s="2561" t="s">
        <v>2302</v>
      </c>
      <c r="B2" s="2562">
        <f ca="1">SUMIF(B6:B13,"&lt;&gt;#ref!",B6:B13)</f>
        <v>8750</v>
      </c>
      <c r="C2" s="2563" t="s">
        <v>2491</v>
      </c>
      <c r="D2" s="2564" t="s">
        <v>2492</v>
      </c>
      <c r="E2" s="2565">
        <f>SUM(E6:E13)</f>
        <v>8980.48</v>
      </c>
    </row>
    <row r="3" spans="1:6" ht="15.75">
      <c r="A3" s="2561" t="s">
        <v>1365</v>
      </c>
      <c r="B3" s="2562">
        <f ca="1">ROUND(B2*10000/E2,0)</f>
        <v>9743</v>
      </c>
      <c r="C3" s="2563" t="s">
        <v>2499</v>
      </c>
      <c r="D3" s="2566"/>
      <c r="E3" s="2567"/>
    </row>
    <row r="4" spans="1:6" ht="15.75">
      <c r="A4" s="2568"/>
      <c r="B4" s="2566"/>
      <c r="C4" s="2566"/>
      <c r="D4" s="2566"/>
      <c r="E4" s="2567"/>
    </row>
    <row r="5" spans="1:6" ht="15">
      <c r="A5" s="2569" t="s">
        <v>2493</v>
      </c>
      <c r="B5" s="3180" t="s">
        <v>2494</v>
      </c>
      <c r="C5" s="3180"/>
      <c r="D5" s="2570"/>
      <c r="E5" s="2571" t="s">
        <v>2495</v>
      </c>
      <c r="F5" s="2572" t="s">
        <v>2496</v>
      </c>
    </row>
    <row r="6" spans="1:6">
      <c r="A6" s="2573">
        <f>'数据-取费表'!AN6</f>
        <v>0</v>
      </c>
      <c r="B6" s="2572" t="e">
        <f ca="1">IF(F6="是",'数据-取费表'!AO6,0)</f>
        <v>#REF!</v>
      </c>
      <c r="C6" s="2563" t="s">
        <v>2491</v>
      </c>
      <c r="D6" s="2566"/>
      <c r="E6" s="2574">
        <f>IF(OR(A6=0,F6="否"),0,'数据-取费表'!K6+'数据-取费表'!S6)</f>
        <v>0</v>
      </c>
      <c r="F6" s="2575" t="s">
        <v>2497</v>
      </c>
    </row>
    <row r="7" spans="1:6">
      <c r="A7" s="2573" t="str">
        <f>'数据-取费表'!AN7</f>
        <v>收益法</v>
      </c>
      <c r="B7" s="2572">
        <f ca="1">IF(F7="是",'数据-取费表'!AO7,0)</f>
        <v>8750</v>
      </c>
      <c r="C7" s="2563" t="s">
        <v>2491</v>
      </c>
      <c r="D7" s="2566"/>
      <c r="E7" s="2574">
        <f>IF(OR(A7=0,F7="否"),0,'数据-取费表'!K7+'数据-取费表'!S7)</f>
        <v>8980.48</v>
      </c>
      <c r="F7" s="2575" t="s">
        <v>2497</v>
      </c>
    </row>
    <row r="8" spans="1:6">
      <c r="A8" s="2573">
        <f>'数据-取费表'!AN8</f>
        <v>0</v>
      </c>
      <c r="B8" s="2572" t="e">
        <f ca="1">IF(F8="是",'数据-取费表'!AO8,0)</f>
        <v>#REF!</v>
      </c>
      <c r="C8" s="2563" t="s">
        <v>2491</v>
      </c>
      <c r="D8" s="2566"/>
      <c r="E8" s="2574">
        <f>IF(OR(A8=0,F8="否"),0,'数据-取费表'!K8+'数据-取费表'!S8)</f>
        <v>0</v>
      </c>
      <c r="F8" s="2575" t="s">
        <v>2497</v>
      </c>
    </row>
    <row r="9" spans="1:6">
      <c r="A9" s="2573">
        <f>'数据-取费表'!AN9</f>
        <v>0</v>
      </c>
      <c r="B9" s="2572" t="e">
        <f ca="1">IF(F9="是",'数据-取费表'!AO9,0)</f>
        <v>#REF!</v>
      </c>
      <c r="C9" s="2563" t="s">
        <v>2491</v>
      </c>
      <c r="D9" s="2566"/>
      <c r="E9" s="2574">
        <f>IF(OR(A9=0,F9="否"),0,'数据-取费表'!K9+'数据-取费表'!S9)</f>
        <v>0</v>
      </c>
      <c r="F9" s="2575" t="s">
        <v>2497</v>
      </c>
    </row>
    <row r="10" spans="1:6">
      <c r="A10" s="2573">
        <f>'数据-取费表'!AN10</f>
        <v>0</v>
      </c>
      <c r="B10" s="2572" t="e">
        <f ca="1">IF(F10="是",'数据-取费表'!AO10,0)</f>
        <v>#REF!</v>
      </c>
      <c r="C10" s="2563" t="s">
        <v>2491</v>
      </c>
      <c r="D10" s="2566"/>
      <c r="E10" s="2574">
        <f>IF(OR(A10=0,F10="否"),0,'数据-取费表'!K10+'数据-取费表'!S10)</f>
        <v>0</v>
      </c>
      <c r="F10" s="2575" t="s">
        <v>2497</v>
      </c>
    </row>
    <row r="11" spans="1:6">
      <c r="A11" s="2573">
        <f>'数据-取费表'!AN11</f>
        <v>0</v>
      </c>
      <c r="B11" s="2572" t="e">
        <f ca="1">IF(F11="是",'数据-取费表'!AO11,0)</f>
        <v>#REF!</v>
      </c>
      <c r="C11" s="2563" t="s">
        <v>2491</v>
      </c>
      <c r="D11" s="2566"/>
      <c r="E11" s="2574">
        <f>IF(OR(A11=0,F11="否"),0,'数据-取费表'!K11+'数据-取费表'!S11)</f>
        <v>0</v>
      </c>
      <c r="F11" s="2575" t="s">
        <v>2497</v>
      </c>
    </row>
    <row r="12" spans="1:6">
      <c r="A12" s="2573">
        <f>'数据-取费表'!AN12</f>
        <v>0</v>
      </c>
      <c r="B12" s="2572" t="e">
        <f ca="1">IF(F12="是",'数据-取费表'!AO12,0)</f>
        <v>#REF!</v>
      </c>
      <c r="C12" s="2563" t="s">
        <v>2491</v>
      </c>
      <c r="D12" s="2566"/>
      <c r="E12" s="2574">
        <f>IF(OR(A12=0,F12="否"),0,'数据-取费表'!K12+'数据-取费表'!S12)</f>
        <v>0</v>
      </c>
      <c r="F12" s="2575" t="s">
        <v>2497</v>
      </c>
    </row>
    <row r="13" spans="1:6" ht="15" thickBot="1">
      <c r="A13" s="2576">
        <f>'数据-取费表'!AN13</f>
        <v>0</v>
      </c>
      <c r="B13" s="2572" t="e">
        <f ca="1">IF(F13="是",'数据-取费表'!AO13,0)</f>
        <v>#REF!</v>
      </c>
      <c r="C13" s="2577" t="s">
        <v>2491</v>
      </c>
      <c r="D13" s="2578"/>
      <c r="E13" s="2574">
        <f>IF(OR(A13=0,F13="否"),0,'数据-取费表'!K13+'数据-取费表'!S13)</f>
        <v>0</v>
      </c>
      <c r="F13" s="2575" t="s">
        <v>2497</v>
      </c>
    </row>
  </sheetData>
  <sheetProtection password="C66D" sheet="1" objects="1" scenarios="1" formatCell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7" t="s">
        <v>1048</v>
      </c>
      <c r="B1" s="3198"/>
      <c r="C1" s="3199"/>
      <c r="D1" s="3200">
        <f>SUM(I10,I15,I20,I21,I23)</f>
        <v>0</v>
      </c>
      <c r="E1" s="3200"/>
      <c r="F1" s="3200"/>
      <c r="G1" s="3200"/>
      <c r="H1" s="3200"/>
      <c r="I1" s="3201"/>
    </row>
    <row r="2" spans="1:9">
      <c r="A2" s="3187" t="s">
        <v>1049</v>
      </c>
      <c r="B2" s="3188" t="s">
        <v>1050</v>
      </c>
      <c r="C2" s="3188"/>
      <c r="D2" s="1298" t="s">
        <v>1051</v>
      </c>
      <c r="E2" s="1298" t="s">
        <v>1052</v>
      </c>
      <c r="F2" s="1298" t="s">
        <v>1053</v>
      </c>
      <c r="G2" s="1298" t="s">
        <v>1054</v>
      </c>
      <c r="H2" s="1298" t="s">
        <v>1055</v>
      </c>
      <c r="I2" s="1299" t="s">
        <v>1056</v>
      </c>
    </row>
    <row r="3" spans="1:9">
      <c r="A3" s="3187"/>
      <c r="B3" s="3188" t="s">
        <v>1057</v>
      </c>
      <c r="C3" s="3188"/>
      <c r="D3" s="1300"/>
      <c r="E3" s="1298"/>
      <c r="F3" s="1301"/>
      <c r="G3" s="1301"/>
      <c r="H3" s="1302"/>
      <c r="I3" s="1303">
        <f>ROUND(D3*E3*F3*G3*H3/10000,0)</f>
        <v>0</v>
      </c>
    </row>
    <row r="4" spans="1:9">
      <c r="A4" s="3187"/>
      <c r="B4" s="3188" t="s">
        <v>1058</v>
      </c>
      <c r="C4" s="3188"/>
      <c r="D4" s="1300"/>
      <c r="E4" s="1298"/>
      <c r="F4" s="1301"/>
      <c r="G4" s="1301"/>
      <c r="H4" s="1302"/>
      <c r="I4" s="1303">
        <f t="shared" ref="I4:I9" si="0">ROUND(D4*E4*F4*G4*H4/10000,0)</f>
        <v>0</v>
      </c>
    </row>
    <row r="5" spans="1:9">
      <c r="A5" s="3187"/>
      <c r="B5" s="3188" t="s">
        <v>1059</v>
      </c>
      <c r="C5" s="3188"/>
      <c r="D5" s="1300"/>
      <c r="E5" s="1298"/>
      <c r="F5" s="1301"/>
      <c r="G5" s="1301"/>
      <c r="H5" s="1302"/>
      <c r="I5" s="1303">
        <f t="shared" si="0"/>
        <v>0</v>
      </c>
    </row>
    <row r="6" spans="1:9">
      <c r="A6" s="3187"/>
      <c r="B6" s="3188" t="s">
        <v>1060</v>
      </c>
      <c r="C6" s="3188"/>
      <c r="D6" s="1300"/>
      <c r="E6" s="1298"/>
      <c r="F6" s="1301"/>
      <c r="G6" s="1301"/>
      <c r="H6" s="1302"/>
      <c r="I6" s="1303">
        <f t="shared" si="0"/>
        <v>0</v>
      </c>
    </row>
    <row r="7" spans="1:9">
      <c r="A7" s="3187"/>
      <c r="B7" s="3188" t="s">
        <v>1061</v>
      </c>
      <c r="C7" s="3188"/>
      <c r="D7" s="1300"/>
      <c r="E7" s="1298"/>
      <c r="F7" s="1301"/>
      <c r="G7" s="1301"/>
      <c r="H7" s="1302"/>
      <c r="I7" s="1303">
        <f t="shared" si="0"/>
        <v>0</v>
      </c>
    </row>
    <row r="8" spans="1:9">
      <c r="A8" s="3187"/>
      <c r="B8" s="3188" t="s">
        <v>1062</v>
      </c>
      <c r="C8" s="3188"/>
      <c r="D8" s="1300"/>
      <c r="E8" s="1298"/>
      <c r="F8" s="1301"/>
      <c r="G8" s="1301"/>
      <c r="H8" s="1302"/>
      <c r="I8" s="1303">
        <f t="shared" si="0"/>
        <v>0</v>
      </c>
    </row>
    <row r="9" spans="1:9">
      <c r="A9" s="3187"/>
      <c r="B9" s="3188" t="s">
        <v>1063</v>
      </c>
      <c r="C9" s="3188"/>
      <c r="D9" s="1300"/>
      <c r="E9" s="1298"/>
      <c r="F9" s="1301"/>
      <c r="G9" s="1301"/>
      <c r="H9" s="1302"/>
      <c r="I9" s="1303">
        <f t="shared" si="0"/>
        <v>0</v>
      </c>
    </row>
    <row r="10" spans="1:9">
      <c r="A10" s="3187"/>
      <c r="B10" s="3189" t="s">
        <v>1064</v>
      </c>
      <c r="C10" s="3189"/>
      <c r="D10" s="1304"/>
      <c r="E10" s="1304" t="e">
        <f>ROUND(D1*10000/D10/H9,0)</f>
        <v>#DIV/0!</v>
      </c>
      <c r="F10" s="1305"/>
      <c r="G10" s="1305"/>
      <c r="H10" s="1306"/>
      <c r="I10" s="1307">
        <f>SUM(I3:I9)</f>
        <v>0</v>
      </c>
    </row>
    <row r="11" spans="1:9" ht="14.25">
      <c r="A11" s="3187" t="s">
        <v>1065</v>
      </c>
      <c r="B11" s="3188" t="s">
        <v>1066</v>
      </c>
      <c r="C11" s="3188"/>
      <c r="D11" s="1300" t="s">
        <v>1067</v>
      </c>
      <c r="E11" s="1300" t="s">
        <v>1068</v>
      </c>
      <c r="F11" s="1301" t="s">
        <v>1069</v>
      </c>
      <c r="G11" s="1301" t="s">
        <v>1055</v>
      </c>
      <c r="H11" s="1308" t="s">
        <v>1070</v>
      </c>
      <c r="I11" s="1299" t="s">
        <v>1056</v>
      </c>
    </row>
    <row r="12" spans="1:9">
      <c r="A12" s="3187"/>
      <c r="B12" s="3188" t="s">
        <v>1071</v>
      </c>
      <c r="C12" s="3188"/>
      <c r="D12" s="1300"/>
      <c r="E12" s="1300"/>
      <c r="F12" s="1301"/>
      <c r="G12" s="1302"/>
      <c r="H12" s="1309"/>
      <c r="I12" s="1299">
        <f>ROUND(D12*E12*F12*G12/10000,0)</f>
        <v>0</v>
      </c>
    </row>
    <row r="13" spans="1:9">
      <c r="A13" s="3187"/>
      <c r="B13" s="3188" t="s">
        <v>1072</v>
      </c>
      <c r="C13" s="3188"/>
      <c r="D13" s="1300"/>
      <c r="E13" s="1300"/>
      <c r="F13" s="1301"/>
      <c r="G13" s="1302"/>
      <c r="H13" s="1309"/>
      <c r="I13" s="1299">
        <f>ROUND(D13*E13*F13*G13/10000,0)</f>
        <v>0</v>
      </c>
    </row>
    <row r="14" spans="1:9">
      <c r="A14" s="3187"/>
      <c r="B14" s="3188" t="s">
        <v>1073</v>
      </c>
      <c r="C14" s="3188"/>
      <c r="D14" s="1300"/>
      <c r="E14" s="1300"/>
      <c r="F14" s="1301"/>
      <c r="G14" s="1302"/>
      <c r="H14" s="1309"/>
      <c r="I14" s="1299">
        <f>ROUND(D14*E14*F14*G14/10000,0)</f>
        <v>0</v>
      </c>
    </row>
    <row r="15" spans="1:9">
      <c r="A15" s="3187"/>
      <c r="B15" s="3189" t="s">
        <v>1064</v>
      </c>
      <c r="C15" s="3189"/>
      <c r="D15" s="1304"/>
      <c r="E15" s="1304">
        <f>SUM(E12:E14)</f>
        <v>0</v>
      </c>
      <c r="F15" s="1305"/>
      <c r="G15" s="1302"/>
      <c r="H15" s="1309"/>
      <c r="I15" s="1310">
        <f>SUM(I12:I14)</f>
        <v>0</v>
      </c>
    </row>
    <row r="16" spans="1:9" ht="24">
      <c r="A16" s="3187" t="s">
        <v>1074</v>
      </c>
      <c r="B16" s="3188" t="s">
        <v>1075</v>
      </c>
      <c r="C16" s="3188"/>
      <c r="D16" s="1300" t="s">
        <v>1051</v>
      </c>
      <c r="E16" s="1311" t="s">
        <v>1076</v>
      </c>
      <c r="F16" s="1301" t="s">
        <v>1077</v>
      </c>
      <c r="G16" s="1302" t="s">
        <v>1055</v>
      </c>
      <c r="H16" s="1308" t="s">
        <v>1070</v>
      </c>
      <c r="I16" s="1299" t="s">
        <v>1056</v>
      </c>
    </row>
    <row r="17" spans="1:9" ht="14.25">
      <c r="A17" s="3187"/>
      <c r="B17" s="3188" t="s">
        <v>1078</v>
      </c>
      <c r="C17" s="3188"/>
      <c r="D17" s="1300"/>
      <c r="E17" s="1300"/>
      <c r="F17" s="1301"/>
      <c r="G17" s="1302"/>
      <c r="H17" s="1312"/>
      <c r="I17" s="1313">
        <f>ROUND(D17*E17*F17*G17/10000,0)</f>
        <v>0</v>
      </c>
    </row>
    <row r="18" spans="1:9" ht="14.25">
      <c r="A18" s="3187"/>
      <c r="B18" s="3188" t="s">
        <v>1079</v>
      </c>
      <c r="C18" s="3188"/>
      <c r="D18" s="1300"/>
      <c r="E18" s="1300"/>
      <c r="F18" s="1301"/>
      <c r="G18" s="1302"/>
      <c r="H18" s="1312"/>
      <c r="I18" s="1313">
        <f>ROUND(D18*E18*F18*G18/10000,0)</f>
        <v>0</v>
      </c>
    </row>
    <row r="19" spans="1:9" ht="14.25">
      <c r="A19" s="3187"/>
      <c r="B19" s="3188" t="s">
        <v>1080</v>
      </c>
      <c r="C19" s="3188"/>
      <c r="D19" s="1300"/>
      <c r="E19" s="1300"/>
      <c r="F19" s="1301"/>
      <c r="G19" s="1302"/>
      <c r="H19" s="1312"/>
      <c r="I19" s="1313">
        <f>ROUND(D19*E19*F19*G19/10000,0)</f>
        <v>0</v>
      </c>
    </row>
    <row r="20" spans="1:9">
      <c r="A20" s="3187"/>
      <c r="B20" s="3189" t="s">
        <v>1064</v>
      </c>
      <c r="C20" s="3189"/>
      <c r="D20" s="1304">
        <f>SUM(D17:D19)</f>
        <v>0</v>
      </c>
      <c r="E20" s="1304"/>
      <c r="F20" s="1305"/>
      <c r="G20" s="1302"/>
      <c r="H20" s="1309"/>
      <c r="I20" s="1310">
        <f>SUM(I17:I19)</f>
        <v>0</v>
      </c>
    </row>
    <row r="21" spans="1:9">
      <c r="A21" s="3187" t="s">
        <v>1081</v>
      </c>
      <c r="B21" s="3190"/>
      <c r="C21" s="3190"/>
      <c r="D21" s="3190"/>
      <c r="E21" s="3190"/>
      <c r="F21" s="3190"/>
      <c r="G21" s="3190"/>
      <c r="H21" s="1762">
        <v>0.1</v>
      </c>
      <c r="I21" s="1307">
        <f>ROUND(I10*H21,0)</f>
        <v>0</v>
      </c>
    </row>
    <row r="22" spans="1:9" ht="14.25">
      <c r="A22" s="3191" t="s">
        <v>1082</v>
      </c>
      <c r="B22" s="3192"/>
      <c r="C22" s="3193"/>
      <c r="D22" s="1314" t="s">
        <v>1083</v>
      </c>
      <c r="E22" s="1314" t="s">
        <v>1084</v>
      </c>
      <c r="F22" s="1315" t="s">
        <v>1085</v>
      </c>
      <c r="G22" s="1315" t="s">
        <v>1086</v>
      </c>
      <c r="H22" s="1308" t="s">
        <v>1087</v>
      </c>
      <c r="I22" s="1299" t="s">
        <v>1088</v>
      </c>
    </row>
    <row r="23" spans="1:9" ht="14.25" thickBot="1">
      <c r="A23" s="3194"/>
      <c r="B23" s="3195"/>
      <c r="C23" s="3196"/>
      <c r="D23" s="1316"/>
      <c r="E23" s="1316"/>
      <c r="F23" s="1316"/>
      <c r="G23" s="1317"/>
      <c r="H23" s="1318"/>
      <c r="I23" s="1319">
        <f>ROUND(E23*D23*F23*(1-G23)/10000,0)</f>
        <v>0</v>
      </c>
    </row>
    <row r="26" spans="1:9">
      <c r="A26" s="1320" t="s">
        <v>1089</v>
      </c>
      <c r="B26" s="1320"/>
      <c r="C26" s="1320"/>
      <c r="D26" s="1320"/>
      <c r="E26" s="3184">
        <f>C27-C30-C31-C32</f>
        <v>0</v>
      </c>
      <c r="F26" s="3184"/>
      <c r="G26" s="3184"/>
      <c r="H26" s="1734" t="s">
        <v>1311</v>
      </c>
    </row>
    <row r="27" spans="1:9">
      <c r="A27" s="1321">
        <v>1</v>
      </c>
      <c r="B27" s="1322" t="s">
        <v>1090</v>
      </c>
      <c r="C27" s="1322">
        <f>C28+C29</f>
        <v>0</v>
      </c>
      <c r="D27" s="1322"/>
      <c r="E27" s="3185"/>
      <c r="F27" s="3185"/>
      <c r="G27" s="3185"/>
    </row>
    <row r="28" spans="1:9">
      <c r="A28" s="1323" t="s">
        <v>1091</v>
      </c>
      <c r="B28" s="1322" t="s">
        <v>1092</v>
      </c>
      <c r="C28" s="1322"/>
      <c r="D28" s="1322"/>
      <c r="E28" s="3185"/>
      <c r="F28" s="3185"/>
      <c r="G28" s="3185"/>
    </row>
    <row r="29" spans="1:9">
      <c r="A29" s="1323" t="s">
        <v>1093</v>
      </c>
      <c r="B29" s="1322" t="s">
        <v>1094</v>
      </c>
      <c r="C29" s="1322"/>
      <c r="D29" s="1322"/>
      <c r="E29" s="1322" t="s">
        <v>1095</v>
      </c>
      <c r="F29" s="1322"/>
      <c r="G29" s="1322"/>
    </row>
    <row r="30" spans="1:9">
      <c r="A30" s="1321">
        <v>2</v>
      </c>
      <c r="B30" s="1322" t="s">
        <v>1096</v>
      </c>
      <c r="C30" s="1322">
        <f>C27*D30</f>
        <v>0</v>
      </c>
      <c r="D30" s="1324">
        <v>0.2</v>
      </c>
      <c r="E30" s="1322" t="s">
        <v>1097</v>
      </c>
      <c r="F30" s="1322"/>
      <c r="G30" s="1322"/>
    </row>
    <row r="31" spans="1:9">
      <c r="A31" s="1321">
        <v>3</v>
      </c>
      <c r="B31" s="1322" t="s">
        <v>1098</v>
      </c>
      <c r="C31" s="1322">
        <f>C25*D31</f>
        <v>0</v>
      </c>
      <c r="D31" s="1324">
        <v>0.15</v>
      </c>
      <c r="E31" s="1322" t="s">
        <v>1099</v>
      </c>
      <c r="F31" s="1322"/>
      <c r="G31" s="1322"/>
    </row>
    <row r="32" spans="1:9">
      <c r="A32" s="1321">
        <v>4</v>
      </c>
      <c r="B32" s="1322" t="s">
        <v>1100</v>
      </c>
      <c r="C32" s="1322">
        <f>C27*D32</f>
        <v>0</v>
      </c>
      <c r="D32" s="1324">
        <v>0.05</v>
      </c>
      <c r="E32" s="3186"/>
      <c r="F32" s="3186"/>
      <c r="G32" s="3186"/>
    </row>
    <row r="33" spans="1:7" hidden="1">
      <c r="A33" s="3181" t="s">
        <v>1101</v>
      </c>
      <c r="B33" s="3182"/>
      <c r="C33" s="3182"/>
      <c r="D33" s="3183"/>
      <c r="E33" s="3184"/>
      <c r="F33" s="3184"/>
      <c r="G33" s="3184"/>
    </row>
    <row r="34" spans="1:7" hidden="1">
      <c r="A34" s="1325">
        <v>1</v>
      </c>
      <c r="B34" s="1322" t="s">
        <v>1102</v>
      </c>
      <c r="C34" s="1322"/>
      <c r="D34" s="1322"/>
      <c r="E34" s="3185"/>
      <c r="F34" s="3185"/>
      <c r="G34" s="3185"/>
    </row>
    <row r="35" spans="1:7" hidden="1">
      <c r="A35" s="1325">
        <v>2</v>
      </c>
      <c r="B35" s="1322" t="s">
        <v>1103</v>
      </c>
      <c r="C35" s="1322"/>
      <c r="D35" s="1322"/>
      <c r="E35" s="3185"/>
      <c r="F35" s="3185"/>
      <c r="G35" s="3185"/>
    </row>
    <row r="36" spans="1:7" hidden="1">
      <c r="A36" s="1325">
        <v>3</v>
      </c>
      <c r="B36" s="1322" t="s">
        <v>1104</v>
      </c>
      <c r="C36" s="1322"/>
      <c r="D36" s="1322"/>
      <c r="E36" s="3185"/>
      <c r="F36" s="3185"/>
      <c r="G36" s="3185"/>
    </row>
    <row r="37" spans="1:7" hidden="1">
      <c r="A37" s="1325">
        <v>4</v>
      </c>
      <c r="B37" s="1322" t="s">
        <v>1105</v>
      </c>
      <c r="C37" s="1322"/>
      <c r="D37" s="1322"/>
      <c r="E37" s="3185"/>
      <c r="F37" s="3185"/>
      <c r="G37" s="3185"/>
    </row>
    <row r="38" spans="1:7" hidden="1">
      <c r="A38" s="3181" t="s">
        <v>1106</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579" t="s">
        <v>2501</v>
      </c>
      <c r="C1" s="1631" t="s">
        <v>2502</v>
      </c>
      <c r="D1" s="1618"/>
      <c r="E1" s="2580"/>
      <c r="F1" s="2581" t="s">
        <v>2503</v>
      </c>
      <c r="G1" s="1628" t="s">
        <v>2504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0" customFormat="1" ht="28.5" customHeight="1" thickTop="1">
      <c r="A2" s="1614" t="s">
        <v>1364</v>
      </c>
      <c r="B2" s="1415" t="e">
        <f ca="1">IF(C2="——",ROUND(C49*D3/10000,0),ROUND(C49*D3/10000,0)-D2)</f>
        <v>#DIV/0!</v>
      </c>
      <c r="C2" s="2583"/>
      <c r="D2" s="1362" t="e">
        <f ca="1">SUMIF(INDIRECT("'"&amp;F2&amp;"'"&amp;"!A:A"),"承租人权益价值",INDIRECT("'"&amp;F2&amp;"'"&amp;"!c:c"))</f>
        <v>#REF!</v>
      </c>
      <c r="E2" s="2584" t="s">
        <v>2505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1365</v>
      </c>
      <c r="B3" s="396" t="e">
        <f ca="1">IF(C2="——",C49,ROUND(B2*10000/D3,0))</f>
        <v>#DIV/0!</v>
      </c>
      <c r="C3" s="397" t="s">
        <v>2506</v>
      </c>
      <c r="D3" s="396">
        <f>IF(D1="",'数据-汇总表'!E3,SUMIF('数据-汇总表'!$C19:$C33,D1,'数据-汇总表'!$E19:$E33))</f>
        <v>46024.009999999995</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398" t="s">
        <v>2507</v>
      </c>
      <c r="B4" s="399"/>
      <c r="C4" s="3220" t="s">
        <v>2508</v>
      </c>
      <c r="D4" s="3221"/>
      <c r="E4" s="3222" t="s">
        <v>2509</v>
      </c>
      <c r="F4" s="3223"/>
      <c r="G4" s="3220" t="s">
        <v>2510</v>
      </c>
      <c r="H4" s="3221"/>
      <c r="I4" s="3220" t="s">
        <v>2511</v>
      </c>
      <c r="J4" s="3221"/>
      <c r="K4" s="2593" t="s">
        <v>2512</v>
      </c>
      <c r="L4" s="1127"/>
      <c r="M4" s="1128"/>
      <c r="N4" s="1128"/>
      <c r="O4" s="1128"/>
      <c r="P4" s="3224" t="s">
        <v>2513</v>
      </c>
      <c r="Q4" s="3225"/>
      <c r="R4" s="3230" t="s">
        <v>2509</v>
      </c>
      <c r="S4" s="3231"/>
      <c r="T4" s="3230" t="s">
        <v>2510</v>
      </c>
      <c r="U4" s="3231"/>
      <c r="V4" s="3236" t="s">
        <v>2511</v>
      </c>
      <c r="W4" s="3236"/>
      <c r="X4" s="1810"/>
      <c r="Y4" s="3230" t="s">
        <v>2513</v>
      </c>
      <c r="Z4" s="3231"/>
      <c r="AA4" s="3217" t="s">
        <v>2509</v>
      </c>
      <c r="AB4" s="3217" t="s">
        <v>2510</v>
      </c>
      <c r="AC4" s="3217" t="s">
        <v>2511</v>
      </c>
    </row>
    <row r="5" spans="1:29" ht="15">
      <c r="A5" s="401"/>
      <c r="B5" s="402"/>
      <c r="C5" s="3239" t="s">
        <v>2514</v>
      </c>
      <c r="D5" s="3240"/>
      <c r="E5" s="3246" t="s">
        <v>2515</v>
      </c>
      <c r="F5" s="3247"/>
      <c r="G5" s="3239" t="s">
        <v>2516</v>
      </c>
      <c r="H5" s="3240"/>
      <c r="I5" s="3239" t="s">
        <v>2517</v>
      </c>
      <c r="J5" s="3240"/>
      <c r="K5" s="2594"/>
      <c r="L5" s="1127"/>
      <c r="M5" s="1128"/>
      <c r="N5" s="1128"/>
      <c r="O5" s="1128"/>
      <c r="P5" s="3226"/>
      <c r="Q5" s="3227"/>
      <c r="R5" s="3232"/>
      <c r="S5" s="3233"/>
      <c r="T5" s="3232"/>
      <c r="U5" s="3233"/>
      <c r="V5" s="3236"/>
      <c r="W5" s="3236"/>
      <c r="X5" s="1810"/>
      <c r="Y5" s="3232"/>
      <c r="Z5" s="3233"/>
      <c r="AA5" s="3218"/>
      <c r="AB5" s="3218"/>
      <c r="AC5" s="3218"/>
    </row>
    <row r="6" spans="1:29" ht="15.75" thickBot="1">
      <c r="A6" s="403"/>
      <c r="B6" s="404"/>
      <c r="C6" s="3237" t="s">
        <v>2518</v>
      </c>
      <c r="D6" s="3238"/>
      <c r="E6" s="3244" t="s">
        <v>2518</v>
      </c>
      <c r="F6" s="3245"/>
      <c r="G6" s="3237" t="s">
        <v>2518</v>
      </c>
      <c r="H6" s="3238"/>
      <c r="I6" s="3237" t="s">
        <v>2518</v>
      </c>
      <c r="J6" s="3238"/>
      <c r="K6" s="2594" t="s">
        <v>2519</v>
      </c>
      <c r="L6" s="1127"/>
      <c r="M6" s="1128"/>
      <c r="N6" s="1128"/>
      <c r="O6" s="1128"/>
      <c r="P6" s="3228"/>
      <c r="Q6" s="3229"/>
      <c r="R6" s="3232"/>
      <c r="S6" s="3233"/>
      <c r="T6" s="3234"/>
      <c r="U6" s="3235"/>
      <c r="V6" s="3236"/>
      <c r="W6" s="3236"/>
      <c r="X6" s="1810"/>
      <c r="Y6" s="3234"/>
      <c r="Z6" s="3235"/>
      <c r="AA6" s="3219"/>
      <c r="AB6" s="3219"/>
      <c r="AC6" s="3219"/>
    </row>
    <row r="7" spans="1:29" s="114" customFormat="1" ht="15.75" thickBot="1">
      <c r="A7" s="405" t="s">
        <v>2520</v>
      </c>
      <c r="B7" s="406"/>
      <c r="C7" s="407">
        <f>'数据-取费表'!B2</f>
        <v>43832</v>
      </c>
      <c r="D7" s="408">
        <v>100</v>
      </c>
      <c r="E7" s="409"/>
      <c r="F7" s="410">
        <f>SUMIF(58:58,YEAR(E7)&amp;"-"&amp;MONTH(E7),59:59)</f>
        <v>0</v>
      </c>
      <c r="G7" s="409"/>
      <c r="H7" s="408">
        <f>SUMIF(58:58,YEAR(G7)&amp;"-"&amp;MONTH(G7),59:59)</f>
        <v>0</v>
      </c>
      <c r="I7" s="409"/>
      <c r="J7" s="408">
        <f>SUMIF(58:58,YEAR(I7)&amp;"-"&amp;MONTH(I7),59:59)</f>
        <v>0</v>
      </c>
      <c r="K7" s="2595"/>
      <c r="L7" s="1129"/>
      <c r="M7" s="1130"/>
      <c r="N7" s="1130"/>
      <c r="O7" s="1130"/>
      <c r="P7" s="3241" t="s">
        <v>2521</v>
      </c>
      <c r="Q7" s="3243"/>
      <c r="R7" s="767" t="s">
        <v>20</v>
      </c>
      <c r="S7" s="768">
        <f t="shared" ref="S7:S15" si="0">F7</f>
        <v>0</v>
      </c>
      <c r="T7" s="767" t="s">
        <v>20</v>
      </c>
      <c r="U7" s="768">
        <f t="shared" ref="U7:U15" si="1">H7</f>
        <v>0</v>
      </c>
      <c r="V7" s="767" t="s">
        <v>20</v>
      </c>
      <c r="W7" s="768">
        <f t="shared" ref="W7:W15" si="2">J7</f>
        <v>0</v>
      </c>
      <c r="X7" s="769"/>
      <c r="Y7" s="3241" t="s">
        <v>2521</v>
      </c>
      <c r="Z7" s="3242"/>
      <c r="AA7" s="770" t="e">
        <f>D7/F7</f>
        <v>#DIV/0!</v>
      </c>
      <c r="AB7" s="770" t="e">
        <f>D7/H7</f>
        <v>#DIV/0!</v>
      </c>
      <c r="AC7" s="770" t="e">
        <f>D7/J7</f>
        <v>#DIV/0!</v>
      </c>
    </row>
    <row r="8" spans="1:29" s="114" customFormat="1" ht="15.75" thickBot="1">
      <c r="A8" s="405" t="s">
        <v>2522</v>
      </c>
      <c r="B8" s="406"/>
      <c r="C8" s="411" t="s">
        <v>2523</v>
      </c>
      <c r="D8" s="408">
        <v>100</v>
      </c>
      <c r="E8" s="2596"/>
      <c r="F8" s="410">
        <f>SUMIF(61:61,E8,62:62)-SUMIF(61:61,C8,62:62)+100</f>
        <v>0</v>
      </c>
      <c r="G8" s="411"/>
      <c r="H8" s="408">
        <f>SUMIF(61:61,G8,62:62)-SUMIF(61:61,C8,62:62)+100</f>
        <v>0</v>
      </c>
      <c r="I8" s="2596"/>
      <c r="J8" s="408">
        <f>SUMIF(61:61,I8,62:62)-SUMIF(61:61,C8,62:62)+100</f>
        <v>0</v>
      </c>
      <c r="K8" s="2595"/>
      <c r="L8" s="1129"/>
      <c r="M8" s="1130"/>
      <c r="N8" s="1130"/>
      <c r="O8" s="1130"/>
      <c r="P8" s="3241" t="s">
        <v>2524</v>
      </c>
      <c r="Q8" s="3242"/>
      <c r="R8" s="767" t="s">
        <v>20</v>
      </c>
      <c r="S8" s="768">
        <f t="shared" si="0"/>
        <v>0</v>
      </c>
      <c r="T8" s="767" t="s">
        <v>20</v>
      </c>
      <c r="U8" s="768">
        <f t="shared" si="1"/>
        <v>0</v>
      </c>
      <c r="V8" s="767" t="s">
        <v>20</v>
      </c>
      <c r="W8" s="768">
        <f t="shared" si="2"/>
        <v>0</v>
      </c>
      <c r="X8" s="769"/>
      <c r="Y8" s="3241" t="s">
        <v>2524</v>
      </c>
      <c r="Z8" s="3242"/>
      <c r="AA8" s="770" t="e">
        <f t="shared" ref="AA8:AA19" si="3">D8/F8</f>
        <v>#DIV/0!</v>
      </c>
      <c r="AB8" s="770" t="e">
        <f t="shared" ref="AB8:AB19" si="4">D8/H8</f>
        <v>#DIV/0!</v>
      </c>
      <c r="AC8" s="770" t="e">
        <f t="shared" ref="AC8:AC19" si="5">D8/J8</f>
        <v>#DIV/0!</v>
      </c>
    </row>
    <row r="9" spans="1:29" s="114" customFormat="1">
      <c r="A9" s="412" t="s">
        <v>2525</v>
      </c>
      <c r="B9" s="68" t="s">
        <v>2526</v>
      </c>
      <c r="C9" s="413"/>
      <c r="D9" s="132">
        <v>100</v>
      </c>
      <c r="E9" s="414"/>
      <c r="F9" s="415">
        <f>SUMIF(63:63,E9,64:64)-SUMIF(63:63,C9,64:64)+100</f>
        <v>100</v>
      </c>
      <c r="G9" s="416"/>
      <c r="H9" s="132">
        <f>SUMIF(63:63,G9,64:64)-SUMIF(63:63,C9,64:64)+100</f>
        <v>100</v>
      </c>
      <c r="I9" s="416"/>
      <c r="J9" s="132">
        <f>SUMIF(63:63,I9,64:64)-SUMIF(63:63,C9,64:64)+100</f>
        <v>100</v>
      </c>
      <c r="K9" s="2595"/>
      <c r="L9" s="1129"/>
      <c r="M9" s="1130"/>
      <c r="N9" s="1130"/>
      <c r="O9" s="1130"/>
      <c r="P9" s="3216" t="s">
        <v>2527</v>
      </c>
      <c r="Q9" s="1792" t="str">
        <f t="shared" ref="Q9:Q15" si="6">B9</f>
        <v>用途</v>
      </c>
      <c r="R9" s="767" t="s">
        <v>14</v>
      </c>
      <c r="S9" s="768">
        <f t="shared" si="0"/>
        <v>100</v>
      </c>
      <c r="T9" s="767" t="s">
        <v>14</v>
      </c>
      <c r="U9" s="768">
        <f t="shared" si="1"/>
        <v>100</v>
      </c>
      <c r="V9" s="767" t="s">
        <v>14</v>
      </c>
      <c r="W9" s="768">
        <f t="shared" si="2"/>
        <v>100</v>
      </c>
      <c r="X9" s="769"/>
      <c r="Y9" s="3005" t="s">
        <v>2528</v>
      </c>
      <c r="Z9" s="52" t="str">
        <f t="shared" ref="Z9:Z15" si="7">Q9</f>
        <v>用途</v>
      </c>
      <c r="AA9" s="770">
        <f t="shared" si="3"/>
        <v>1</v>
      </c>
      <c r="AB9" s="770">
        <f t="shared" si="4"/>
        <v>1</v>
      </c>
      <c r="AC9" s="770">
        <f t="shared" si="5"/>
        <v>1</v>
      </c>
    </row>
    <row r="10" spans="1:29" s="424" customFormat="1" ht="27">
      <c r="A10" s="418"/>
      <c r="B10" s="419" t="s">
        <v>2529</v>
      </c>
      <c r="C10" s="420"/>
      <c r="D10" s="133">
        <v>100</v>
      </c>
      <c r="E10" s="421"/>
      <c r="F10" s="422">
        <f>SUMIF(65:65,E10,66:66)-SUMIF(65:65,C10,66:66)+100</f>
        <v>100</v>
      </c>
      <c r="G10" s="420"/>
      <c r="H10" s="133">
        <f>SUMIF(65:65,G10,66:66)-SUMIF(65:65,C10,66:66)+100</f>
        <v>100</v>
      </c>
      <c r="I10" s="420"/>
      <c r="J10" s="133">
        <f>SUMIF(65:65,I10,66:66)-SUMIF(65:65,C10,66:66)+100</f>
        <v>100</v>
      </c>
      <c r="K10" s="423"/>
      <c r="L10" s="1132"/>
      <c r="M10" s="1133"/>
      <c r="N10" s="1133"/>
      <c r="O10" s="1133"/>
      <c r="P10" s="3216"/>
      <c r="Q10" s="1792" t="str">
        <f t="shared" si="6"/>
        <v>土地使用年限（年）</v>
      </c>
      <c r="R10" s="767" t="s">
        <v>14</v>
      </c>
      <c r="S10" s="768">
        <f t="shared" si="0"/>
        <v>100</v>
      </c>
      <c r="T10" s="767" t="s">
        <v>14</v>
      </c>
      <c r="U10" s="768">
        <f t="shared" si="1"/>
        <v>100</v>
      </c>
      <c r="V10" s="767" t="s">
        <v>14</v>
      </c>
      <c r="W10" s="768">
        <f t="shared" si="2"/>
        <v>100</v>
      </c>
      <c r="X10" s="769"/>
      <c r="Y10" s="3005"/>
      <c r="Z10" s="52" t="str">
        <f t="shared" si="7"/>
        <v>土地使用年限（年）</v>
      </c>
      <c r="AA10" s="770">
        <f t="shared" si="3"/>
        <v>1</v>
      </c>
      <c r="AB10" s="770">
        <f t="shared" si="4"/>
        <v>1</v>
      </c>
      <c r="AC10" s="770">
        <f t="shared" si="5"/>
        <v>1</v>
      </c>
    </row>
    <row r="11" spans="1:29" ht="15">
      <c r="A11" s="425"/>
      <c r="B11" s="419" t="s">
        <v>2530</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5"/>
      <c r="M11" s="1128"/>
      <c r="N11" s="1128"/>
      <c r="O11" s="1128"/>
      <c r="P11" s="3216"/>
      <c r="Q11" s="1792" t="str">
        <f t="shared" si="6"/>
        <v>容积率</v>
      </c>
      <c r="R11" s="767" t="s">
        <v>18</v>
      </c>
      <c r="S11" s="768" t="e">
        <f t="shared" si="0"/>
        <v>#N/A</v>
      </c>
      <c r="T11" s="767" t="s">
        <v>18</v>
      </c>
      <c r="U11" s="768" t="e">
        <f t="shared" si="1"/>
        <v>#N/A</v>
      </c>
      <c r="V11" s="767" t="s">
        <v>18</v>
      </c>
      <c r="W11" s="768" t="e">
        <f t="shared" si="2"/>
        <v>#N/A</v>
      </c>
      <c r="X11" s="769"/>
      <c r="Y11" s="3005"/>
      <c r="Z11" s="52" t="str">
        <f t="shared" si="7"/>
        <v>容积率</v>
      </c>
      <c r="AA11" s="770" t="e">
        <f t="shared" si="3"/>
        <v>#N/A</v>
      </c>
      <c r="AB11" s="770" t="e">
        <f t="shared" si="4"/>
        <v>#N/A</v>
      </c>
      <c r="AC11" s="770" t="e">
        <f t="shared" si="5"/>
        <v>#N/A</v>
      </c>
    </row>
    <row r="12" spans="1:29" s="114"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9"/>
      <c r="M12" s="1130"/>
      <c r="N12" s="1130"/>
      <c r="O12" s="1130"/>
      <c r="P12" s="3216"/>
      <c r="Q12" s="1792">
        <f t="shared" si="6"/>
        <v>111</v>
      </c>
      <c r="R12" s="767" t="s">
        <v>18</v>
      </c>
      <c r="S12" s="768">
        <f t="shared" si="0"/>
        <v>100</v>
      </c>
      <c r="T12" s="767" t="s">
        <v>18</v>
      </c>
      <c r="U12" s="768">
        <f t="shared" si="1"/>
        <v>100</v>
      </c>
      <c r="V12" s="767" t="s">
        <v>18</v>
      </c>
      <c r="W12" s="768">
        <f t="shared" si="2"/>
        <v>100</v>
      </c>
      <c r="X12" s="769"/>
      <c r="Y12" s="3005"/>
      <c r="Z12" s="52">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7"/>
      <c r="M13" s="1128"/>
      <c r="N13" s="1128"/>
      <c r="O13" s="1128"/>
      <c r="P13" s="3216"/>
      <c r="Q13" s="1792">
        <f t="shared" si="6"/>
        <v>111</v>
      </c>
      <c r="R13" s="767" t="s">
        <v>18</v>
      </c>
      <c r="S13" s="768">
        <f t="shared" si="0"/>
        <v>100</v>
      </c>
      <c r="T13" s="767" t="s">
        <v>18</v>
      </c>
      <c r="U13" s="768">
        <f t="shared" si="1"/>
        <v>100</v>
      </c>
      <c r="V13" s="767" t="s">
        <v>18</v>
      </c>
      <c r="W13" s="768">
        <f t="shared" si="2"/>
        <v>100</v>
      </c>
      <c r="X13" s="769"/>
      <c r="Y13" s="3005"/>
      <c r="Z13" s="52">
        <f t="shared" si="7"/>
        <v>111</v>
      </c>
      <c r="AA13" s="770">
        <f t="shared" si="3"/>
        <v>1</v>
      </c>
      <c r="AB13" s="770">
        <f t="shared" si="4"/>
        <v>1</v>
      </c>
      <c r="AC13" s="770">
        <f t="shared" si="5"/>
        <v>1</v>
      </c>
    </row>
    <row r="14" spans="1:29" ht="15.75"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7"/>
      <c r="M14" s="1128"/>
      <c r="N14" s="1128"/>
      <c r="O14" s="1128"/>
      <c r="P14" s="3216"/>
      <c r="Q14" s="1792">
        <f t="shared" si="6"/>
        <v>111</v>
      </c>
      <c r="R14" s="767" t="s">
        <v>18</v>
      </c>
      <c r="S14" s="768">
        <f t="shared" si="0"/>
        <v>100</v>
      </c>
      <c r="T14" s="767" t="s">
        <v>18</v>
      </c>
      <c r="U14" s="768">
        <f t="shared" si="1"/>
        <v>100</v>
      </c>
      <c r="V14" s="767" t="s">
        <v>18</v>
      </c>
      <c r="W14" s="768">
        <f t="shared" si="2"/>
        <v>100</v>
      </c>
      <c r="X14" s="769"/>
      <c r="Y14" s="3005"/>
      <c r="Z14" s="52">
        <f t="shared" si="7"/>
        <v>111</v>
      </c>
      <c r="AA14" s="770">
        <f t="shared" si="3"/>
        <v>1</v>
      </c>
      <c r="AB14" s="770">
        <f t="shared" si="4"/>
        <v>1</v>
      </c>
      <c r="AC14" s="770">
        <f t="shared" si="5"/>
        <v>1</v>
      </c>
    </row>
    <row r="15" spans="1:29" ht="99.75">
      <c r="A15" s="437" t="s">
        <v>2531</v>
      </c>
      <c r="B15" s="66" t="s">
        <v>2060</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7"/>
      <c r="M15" s="1128"/>
      <c r="N15" s="1128"/>
      <c r="O15" s="1128"/>
      <c r="P15" s="3214" t="s">
        <v>2532</v>
      </c>
      <c r="Q15" s="1807" t="str">
        <f t="shared" si="6"/>
        <v>居住社区成熟度</v>
      </c>
      <c r="R15" s="771" t="s">
        <v>18</v>
      </c>
      <c r="S15" s="772">
        <f t="shared" si="0"/>
        <v>100</v>
      </c>
      <c r="T15" s="771" t="s">
        <v>18</v>
      </c>
      <c r="U15" s="772">
        <f t="shared" si="1"/>
        <v>100</v>
      </c>
      <c r="V15" s="771" t="s">
        <v>18</v>
      </c>
      <c r="W15" s="772">
        <f t="shared" si="2"/>
        <v>100</v>
      </c>
      <c r="X15" s="1810"/>
      <c r="Y15" s="3207" t="s">
        <v>2532</v>
      </c>
      <c r="Z15" s="1811" t="str">
        <f t="shared" si="7"/>
        <v>居住社区成熟度</v>
      </c>
      <c r="AA15" s="1808">
        <f t="shared" si="3"/>
        <v>1</v>
      </c>
      <c r="AB15" s="1808">
        <f t="shared" si="4"/>
        <v>1</v>
      </c>
      <c r="AC15" s="1808">
        <f t="shared" si="5"/>
        <v>1</v>
      </c>
    </row>
    <row r="16" spans="1:29" ht="15">
      <c r="A16" s="425"/>
      <c r="B16" s="443"/>
      <c r="C16" s="444"/>
      <c r="D16" s="445"/>
      <c r="E16" s="2601"/>
      <c r="F16" s="445"/>
      <c r="G16" s="2602"/>
      <c r="H16" s="447"/>
      <c r="I16" s="2602"/>
      <c r="J16" s="445"/>
      <c r="K16" s="2603"/>
      <c r="L16" s="1137"/>
      <c r="M16" s="1128"/>
      <c r="N16" s="1128"/>
      <c r="O16" s="1128"/>
      <c r="P16" s="3215"/>
      <c r="Q16" s="1807"/>
      <c r="R16" s="771"/>
      <c r="S16" s="772"/>
      <c r="T16" s="771"/>
      <c r="U16" s="772"/>
      <c r="V16" s="771"/>
      <c r="W16" s="772"/>
      <c r="X16" s="1810"/>
      <c r="Y16" s="3208"/>
      <c r="Z16" s="1811"/>
      <c r="AA16" s="1808">
        <v>1</v>
      </c>
      <c r="AB16" s="1808">
        <v>1</v>
      </c>
      <c r="AC16" s="1808">
        <v>1</v>
      </c>
    </row>
    <row r="17" spans="1:29" ht="85.5">
      <c r="A17" s="425"/>
      <c r="B17" s="448" t="s">
        <v>2072</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7"/>
      <c r="M17" s="1128"/>
      <c r="N17" s="1128"/>
      <c r="O17" s="1128"/>
      <c r="P17" s="3215"/>
      <c r="Q17" s="1807" t="str">
        <f>B17</f>
        <v>交通便捷度</v>
      </c>
      <c r="R17" s="771" t="s">
        <v>18</v>
      </c>
      <c r="S17" s="772">
        <f>F17</f>
        <v>100</v>
      </c>
      <c r="T17" s="771" t="s">
        <v>18</v>
      </c>
      <c r="U17" s="772">
        <f>H17</f>
        <v>100</v>
      </c>
      <c r="V17" s="771" t="s">
        <v>18</v>
      </c>
      <c r="W17" s="772">
        <f>J17</f>
        <v>100</v>
      </c>
      <c r="X17" s="1810"/>
      <c r="Y17" s="3208"/>
      <c r="Z17" s="1811" t="str">
        <f>Q17</f>
        <v>交通便捷度</v>
      </c>
      <c r="AA17" s="1808">
        <f t="shared" si="3"/>
        <v>1</v>
      </c>
      <c r="AB17" s="1808">
        <f t="shared" si="4"/>
        <v>1</v>
      </c>
      <c r="AC17" s="1808">
        <f t="shared" si="5"/>
        <v>1</v>
      </c>
    </row>
    <row r="18" spans="1:29" ht="15">
      <c r="A18" s="425"/>
      <c r="B18" s="453"/>
      <c r="C18" s="2605"/>
      <c r="D18" s="447"/>
      <c r="E18" s="2606"/>
      <c r="F18" s="447"/>
      <c r="G18" s="2607"/>
      <c r="H18" s="445"/>
      <c r="I18" s="2607"/>
      <c r="J18" s="445"/>
      <c r="K18" s="2603"/>
      <c r="L18" s="1137"/>
      <c r="M18" s="1128"/>
      <c r="N18" s="1128"/>
      <c r="O18" s="1128"/>
      <c r="P18" s="3215"/>
      <c r="Q18" s="1807"/>
      <c r="R18" s="771"/>
      <c r="S18" s="772"/>
      <c r="T18" s="771"/>
      <c r="U18" s="772"/>
      <c r="V18" s="771"/>
      <c r="W18" s="772"/>
      <c r="X18" s="1810"/>
      <c r="Y18" s="3208"/>
      <c r="Z18" s="1811"/>
      <c r="AA18" s="1808">
        <v>1</v>
      </c>
      <c r="AB18" s="1808">
        <v>1</v>
      </c>
      <c r="AC18" s="1808">
        <v>1</v>
      </c>
    </row>
    <row r="19" spans="1:29" ht="42.75">
      <c r="A19" s="425"/>
      <c r="B19" s="448" t="s">
        <v>2070</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7"/>
      <c r="M19" s="1128"/>
      <c r="N19" s="1128"/>
      <c r="O19" s="1128"/>
      <c r="P19" s="3215"/>
      <c r="Q19" s="1807" t="str">
        <f>B19</f>
        <v>公共配套设施</v>
      </c>
      <c r="R19" s="771" t="s">
        <v>18</v>
      </c>
      <c r="S19" s="772">
        <f>F19</f>
        <v>100</v>
      </c>
      <c r="T19" s="771" t="s">
        <v>18</v>
      </c>
      <c r="U19" s="772">
        <f>H19</f>
        <v>100</v>
      </c>
      <c r="V19" s="771" t="s">
        <v>18</v>
      </c>
      <c r="W19" s="772">
        <f>J19</f>
        <v>100</v>
      </c>
      <c r="X19" s="1810"/>
      <c r="Y19" s="3208"/>
      <c r="Z19" s="1811" t="str">
        <f>Q19</f>
        <v>公共配套设施</v>
      </c>
      <c r="AA19" s="1808">
        <f t="shared" si="3"/>
        <v>1</v>
      </c>
      <c r="AB19" s="1808">
        <f t="shared" si="4"/>
        <v>1</v>
      </c>
      <c r="AC19" s="1808">
        <f t="shared" si="5"/>
        <v>1</v>
      </c>
    </row>
    <row r="20" spans="1:29" ht="15">
      <c r="A20" s="425"/>
      <c r="B20" s="453"/>
      <c r="C20" s="444"/>
      <c r="D20" s="445"/>
      <c r="E20" s="2601"/>
      <c r="F20" s="445"/>
      <c r="G20" s="2602"/>
      <c r="H20" s="445"/>
      <c r="I20" s="2602"/>
      <c r="J20" s="445"/>
      <c r="K20" s="2603"/>
      <c r="L20" s="1137"/>
      <c r="M20" s="1128"/>
      <c r="N20" s="1128"/>
      <c r="O20" s="1128"/>
      <c r="P20" s="3215"/>
      <c r="Q20" s="1807"/>
      <c r="R20" s="771"/>
      <c r="S20" s="772"/>
      <c r="T20" s="771"/>
      <c r="U20" s="772"/>
      <c r="V20" s="771"/>
      <c r="W20" s="772"/>
      <c r="X20" s="1810"/>
      <c r="Y20" s="3208"/>
      <c r="Z20" s="1811"/>
      <c r="AA20" s="1808">
        <v>1</v>
      </c>
      <c r="AB20" s="1808">
        <v>1</v>
      </c>
      <c r="AC20" s="1808">
        <v>1</v>
      </c>
    </row>
    <row r="21" spans="1:29" ht="28.5">
      <c r="A21" s="425"/>
      <c r="B21" s="1381" t="s">
        <v>2073</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7"/>
      <c r="M21" s="1128"/>
      <c r="N21" s="1128"/>
      <c r="O21" s="1128"/>
      <c r="P21" s="3215"/>
      <c r="Q21" s="1807" t="str">
        <f>B21</f>
        <v>基础设施水平</v>
      </c>
      <c r="R21" s="771" t="s">
        <v>14</v>
      </c>
      <c r="S21" s="772">
        <f>F21</f>
        <v>100</v>
      </c>
      <c r="T21" s="771" t="s">
        <v>14</v>
      </c>
      <c r="U21" s="772">
        <f>H21</f>
        <v>100</v>
      </c>
      <c r="V21" s="771" t="s">
        <v>14</v>
      </c>
      <c r="W21" s="772">
        <f>J21</f>
        <v>100</v>
      </c>
      <c r="X21" s="1810"/>
      <c r="Y21" s="3208"/>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5"/>
      <c r="G22" s="2608"/>
      <c r="H22" s="445"/>
      <c r="I22" s="444"/>
      <c r="J22" s="445"/>
      <c r="K22" s="2609"/>
      <c r="L22" s="1137"/>
      <c r="M22" s="1128"/>
      <c r="N22" s="1128"/>
      <c r="O22" s="1128"/>
      <c r="P22" s="3215"/>
      <c r="Q22" s="1807"/>
      <c r="R22" s="771"/>
      <c r="S22" s="772"/>
      <c r="T22" s="771"/>
      <c r="U22" s="772"/>
      <c r="V22" s="771"/>
      <c r="W22" s="772"/>
      <c r="X22" s="1810"/>
      <c r="Y22" s="3208"/>
      <c r="Z22" s="1811"/>
      <c r="AA22" s="1808">
        <v>1</v>
      </c>
      <c r="AB22" s="1808">
        <v>1</v>
      </c>
      <c r="AC22" s="1808">
        <v>1</v>
      </c>
    </row>
    <row r="23" spans="1:29" ht="57">
      <c r="A23" s="425"/>
      <c r="B23" s="448" t="s">
        <v>2077</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7"/>
      <c r="M23" s="1128"/>
      <c r="N23" s="1128"/>
      <c r="O23" s="1128"/>
      <c r="P23" s="3215"/>
      <c r="Q23" s="1807" t="str">
        <f>B23</f>
        <v>自然及人文环境</v>
      </c>
      <c r="R23" s="771" t="s">
        <v>18</v>
      </c>
      <c r="S23" s="772">
        <f>F23</f>
        <v>100</v>
      </c>
      <c r="T23" s="771" t="s">
        <v>18</v>
      </c>
      <c r="U23" s="772">
        <f>H23</f>
        <v>100</v>
      </c>
      <c r="V23" s="771" t="s">
        <v>18</v>
      </c>
      <c r="W23" s="772">
        <f>J23</f>
        <v>100</v>
      </c>
      <c r="X23" s="1810"/>
      <c r="Y23" s="3208"/>
      <c r="Z23" s="1811" t="str">
        <f>Q23</f>
        <v>自然及人文环境</v>
      </c>
      <c r="AA23" s="1808">
        <f>D23/F23</f>
        <v>1</v>
      </c>
      <c r="AB23" s="1808">
        <f>D23/H23</f>
        <v>1</v>
      </c>
      <c r="AC23" s="1808">
        <f>D23/J23</f>
        <v>1</v>
      </c>
    </row>
    <row r="24" spans="1:29" ht="15">
      <c r="A24" s="425"/>
      <c r="B24" s="453"/>
      <c r="C24" s="444"/>
      <c r="D24" s="445"/>
      <c r="E24" s="2601"/>
      <c r="F24" s="445"/>
      <c r="G24" s="2602"/>
      <c r="H24" s="445"/>
      <c r="I24" s="2602"/>
      <c r="J24" s="445"/>
      <c r="K24" s="2603"/>
      <c r="L24" s="1137"/>
      <c r="M24" s="1128"/>
      <c r="N24" s="1128"/>
      <c r="O24" s="1128"/>
      <c r="P24" s="3215"/>
      <c r="Q24" s="1807"/>
      <c r="R24" s="771"/>
      <c r="S24" s="772"/>
      <c r="T24" s="771"/>
      <c r="U24" s="772"/>
      <c r="V24" s="771"/>
      <c r="W24" s="772"/>
      <c r="X24" s="1810"/>
      <c r="Y24" s="3208"/>
      <c r="Z24" s="1811"/>
      <c r="AA24" s="1808">
        <v>1</v>
      </c>
      <c r="AB24" s="1808">
        <v>1</v>
      </c>
      <c r="AC24" s="1808">
        <v>1</v>
      </c>
    </row>
    <row r="25" spans="1:29" ht="15">
      <c r="A25" s="425"/>
      <c r="B25" s="419" t="s">
        <v>2533</v>
      </c>
      <c r="C25" s="457"/>
      <c r="D25" s="432">
        <v>100</v>
      </c>
      <c r="E25" s="2610"/>
      <c r="F25" s="432">
        <f>SUMIF(86:86,E25,87:87)-SUMIF(86:86,C25,87:87)+100</f>
        <v>100</v>
      </c>
      <c r="G25" s="2611"/>
      <c r="H25" s="432">
        <f>SUMIF(86:86,G25,87:87)-SUMIF(86:86,C25,87:87)+100</f>
        <v>100</v>
      </c>
      <c r="I25" s="2611"/>
      <c r="J25" s="432">
        <f>SUMIF(86:86,I25,87:87)-SUMIF(86:86,C25,87:87)+100</f>
        <v>100</v>
      </c>
      <c r="K25" s="423"/>
      <c r="L25" s="1137"/>
      <c r="M25" s="1128"/>
      <c r="N25" s="1128"/>
      <c r="O25" s="1128"/>
      <c r="P25" s="3215"/>
      <c r="Q25" s="1807" t="str">
        <f t="shared" ref="Q25:Q46" si="11">B25</f>
        <v>楼层-1</v>
      </c>
      <c r="R25" s="771" t="s">
        <v>18</v>
      </c>
      <c r="S25" s="772">
        <f t="shared" ref="S25:S46" si="12">F25</f>
        <v>100</v>
      </c>
      <c r="T25" s="771" t="s">
        <v>18</v>
      </c>
      <c r="U25" s="772">
        <f t="shared" ref="U25:U46" si="13">H25</f>
        <v>100</v>
      </c>
      <c r="V25" s="771" t="s">
        <v>18</v>
      </c>
      <c r="W25" s="772">
        <f t="shared" ref="W25:W46" si="14">J25</f>
        <v>100</v>
      </c>
      <c r="X25" s="1810"/>
      <c r="Y25" s="3208"/>
      <c r="Z25" s="1811" t="str">
        <f>Q25</f>
        <v>楼层-1</v>
      </c>
      <c r="AA25" s="1808">
        <f t="shared" ref="AA25:AA46" si="15">D25/F25</f>
        <v>1</v>
      </c>
      <c r="AB25" s="1808">
        <f t="shared" ref="AB25:AB46" si="16">D25/H25</f>
        <v>1</v>
      </c>
      <c r="AC25" s="1808">
        <f t="shared" ref="AC25:AC46" si="17">D25/J25</f>
        <v>1</v>
      </c>
    </row>
    <row r="26" spans="1:29" ht="15">
      <c r="A26" s="425"/>
      <c r="B26" s="419" t="s">
        <v>2534</v>
      </c>
      <c r="C26" s="457"/>
      <c r="D26" s="432">
        <v>100</v>
      </c>
      <c r="E26" s="2610"/>
      <c r="F26" s="432">
        <f>SUMIF(88:88,E26,89:89)-SUMIF(88:88,C26,89:89)+100</f>
        <v>100</v>
      </c>
      <c r="G26" s="2611"/>
      <c r="H26" s="432">
        <f>SUMIF(88:88,G26,89:89)-SUMIF(88:88,C26,89:89)+100</f>
        <v>100</v>
      </c>
      <c r="I26" s="2611"/>
      <c r="J26" s="432">
        <f>SUMIF(88:88,I26,89:89)-SUMIF(88:88,C26,89:89)+100</f>
        <v>100</v>
      </c>
      <c r="K26" s="423"/>
      <c r="L26" s="1137"/>
      <c r="M26" s="1128"/>
      <c r="N26" s="1128"/>
      <c r="O26" s="1128"/>
      <c r="P26" s="3215"/>
      <c r="Q26" s="1807" t="str">
        <f t="shared" si="11"/>
        <v>朝向</v>
      </c>
      <c r="R26" s="771" t="s">
        <v>18</v>
      </c>
      <c r="S26" s="772">
        <f t="shared" si="12"/>
        <v>100</v>
      </c>
      <c r="T26" s="771" t="s">
        <v>18</v>
      </c>
      <c r="U26" s="772">
        <f t="shared" si="13"/>
        <v>100</v>
      </c>
      <c r="V26" s="771" t="s">
        <v>18</v>
      </c>
      <c r="W26" s="772">
        <f t="shared" si="14"/>
        <v>100</v>
      </c>
      <c r="X26" s="1810"/>
      <c r="Y26" s="3208"/>
      <c r="Z26" s="1811" t="str">
        <f>Q26</f>
        <v>朝向</v>
      </c>
      <c r="AA26" s="1808">
        <f t="shared" si="15"/>
        <v>1</v>
      </c>
      <c r="AB26" s="1808">
        <f t="shared" si="16"/>
        <v>1</v>
      </c>
      <c r="AC26" s="1808">
        <f t="shared" si="17"/>
        <v>1</v>
      </c>
    </row>
    <row r="27" spans="1:29" s="114" customFormat="1" ht="15">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598"/>
      <c r="L27" s="1129"/>
      <c r="M27" s="1130"/>
      <c r="N27" s="1130"/>
      <c r="O27" s="1130"/>
      <c r="P27" s="3215"/>
      <c r="Q27" s="1792">
        <f t="shared" si="11"/>
        <v>111</v>
      </c>
      <c r="R27" s="767" t="s">
        <v>18</v>
      </c>
      <c r="S27" s="768">
        <f t="shared" si="12"/>
        <v>100</v>
      </c>
      <c r="T27" s="767" t="s">
        <v>18</v>
      </c>
      <c r="U27" s="768">
        <f t="shared" si="13"/>
        <v>100</v>
      </c>
      <c r="V27" s="767" t="s">
        <v>18</v>
      </c>
      <c r="W27" s="768">
        <f t="shared" si="14"/>
        <v>100</v>
      </c>
      <c r="X27" s="769"/>
      <c r="Y27" s="3208"/>
      <c r="Z27" s="52">
        <f>Q27</f>
        <v>111</v>
      </c>
      <c r="AA27" s="1808">
        <f t="shared" si="15"/>
        <v>1</v>
      </c>
      <c r="AB27" s="1808">
        <f t="shared" si="16"/>
        <v>1</v>
      </c>
      <c r="AC27" s="1808">
        <f t="shared" si="17"/>
        <v>1</v>
      </c>
    </row>
    <row r="28" spans="1:29" ht="15">
      <c r="A28" s="425"/>
      <c r="B28" s="1383">
        <v>111</v>
      </c>
      <c r="C28" s="431"/>
      <c r="D28" s="432">
        <v>100</v>
      </c>
      <c r="E28" s="431"/>
      <c r="F28" s="432">
        <f>SUMIF(92:92,E28,93:93)-SUMIF(92:92,C28,93:93)+100</f>
        <v>100</v>
      </c>
      <c r="G28" s="2612"/>
      <c r="H28" s="432">
        <f>SUMIF(92:92,G28,93:93)-SUMIF(92:92,C28,93:93)+100</f>
        <v>100</v>
      </c>
      <c r="I28" s="431"/>
      <c r="J28" s="432">
        <f>SUMIF(92:92,I28,93:93)-SUMIF(92:92,C28,93:93)+100</f>
        <v>100</v>
      </c>
      <c r="K28" s="2598"/>
      <c r="L28" s="1137"/>
      <c r="M28" s="1128"/>
      <c r="N28" s="1128"/>
      <c r="O28" s="1128"/>
      <c r="P28" s="3215"/>
      <c r="Q28" s="1807">
        <f t="shared" si="11"/>
        <v>111</v>
      </c>
      <c r="R28" s="771" t="s">
        <v>18</v>
      </c>
      <c r="S28" s="772">
        <f t="shared" si="12"/>
        <v>100</v>
      </c>
      <c r="T28" s="771" t="s">
        <v>18</v>
      </c>
      <c r="U28" s="772">
        <f t="shared" si="13"/>
        <v>100</v>
      </c>
      <c r="V28" s="771" t="s">
        <v>18</v>
      </c>
      <c r="W28" s="772">
        <f t="shared" si="14"/>
        <v>100</v>
      </c>
      <c r="X28" s="1810"/>
      <c r="Y28" s="3208"/>
      <c r="Z28" s="1811">
        <f t="shared" ref="Z28:Z46" si="18">Q28</f>
        <v>111</v>
      </c>
      <c r="AA28" s="1808">
        <f t="shared" si="15"/>
        <v>1</v>
      </c>
      <c r="AB28" s="1808">
        <f t="shared" si="16"/>
        <v>1</v>
      </c>
      <c r="AC28" s="1808">
        <f t="shared" si="17"/>
        <v>1</v>
      </c>
    </row>
    <row r="29" spans="1:29" ht="15">
      <c r="A29" s="425"/>
      <c r="B29" s="1383">
        <v>111</v>
      </c>
      <c r="C29" s="431"/>
      <c r="D29" s="432">
        <v>100</v>
      </c>
      <c r="E29" s="431"/>
      <c r="F29" s="432">
        <f>SUMIF(94:94,E29,95:95)-SUMIF(94:94,C29,95:95)+100</f>
        <v>100</v>
      </c>
      <c r="G29" s="2612"/>
      <c r="H29" s="432">
        <f>SUMIF(94:94,G29,95:95)-SUMIF(94:94,C29,95:95)+100</f>
        <v>100</v>
      </c>
      <c r="I29" s="431"/>
      <c r="J29" s="432">
        <f>SUMIF(94:94,I29,95:95)-SUMIF(94:94,C29,95:95)+100</f>
        <v>100</v>
      </c>
      <c r="K29" s="2598"/>
      <c r="L29" s="1137"/>
      <c r="M29" s="1128"/>
      <c r="N29" s="1128"/>
      <c r="O29" s="1128"/>
      <c r="P29" s="3215"/>
      <c r="Q29" s="1807">
        <f t="shared" si="11"/>
        <v>111</v>
      </c>
      <c r="R29" s="771" t="s">
        <v>18</v>
      </c>
      <c r="S29" s="772">
        <f t="shared" si="12"/>
        <v>100</v>
      </c>
      <c r="T29" s="771" t="s">
        <v>18</v>
      </c>
      <c r="U29" s="772">
        <f t="shared" si="13"/>
        <v>100</v>
      </c>
      <c r="V29" s="771" t="s">
        <v>18</v>
      </c>
      <c r="W29" s="772">
        <f t="shared" si="14"/>
        <v>100</v>
      </c>
      <c r="X29" s="1810"/>
      <c r="Y29" s="3208"/>
      <c r="Z29" s="1811">
        <f t="shared" si="18"/>
        <v>111</v>
      </c>
      <c r="AA29" s="1808">
        <f t="shared" si="15"/>
        <v>1</v>
      </c>
      <c r="AB29" s="1808">
        <f t="shared" si="16"/>
        <v>1</v>
      </c>
      <c r="AC29" s="1808">
        <f t="shared" si="17"/>
        <v>1</v>
      </c>
    </row>
    <row r="30" spans="1:29" ht="15">
      <c r="A30" s="425"/>
      <c r="B30" s="1383">
        <v>111</v>
      </c>
      <c r="C30" s="431"/>
      <c r="D30" s="432">
        <v>100</v>
      </c>
      <c r="E30" s="431"/>
      <c r="F30" s="432">
        <f>SUMIF(96:96,E30,97:97)-SUMIF(96:96,C30,97:97)+100</f>
        <v>100</v>
      </c>
      <c r="G30" s="2612"/>
      <c r="H30" s="432">
        <f>SUMIF(96:96,G30,97:97)-SUMIF(96:96,C30,97:97)+100</f>
        <v>100</v>
      </c>
      <c r="I30" s="431"/>
      <c r="J30" s="432">
        <f>SUMIF(96:96,I30,97:97)-SUMIF(96:96,C30,97:97)+100</f>
        <v>100</v>
      </c>
      <c r="K30" s="2598"/>
      <c r="L30" s="1137"/>
      <c r="M30" s="1128"/>
      <c r="N30" s="1128"/>
      <c r="O30" s="1128"/>
      <c r="P30" s="3215"/>
      <c r="Q30" s="1807">
        <f t="shared" si="11"/>
        <v>111</v>
      </c>
      <c r="R30" s="771" t="s">
        <v>18</v>
      </c>
      <c r="S30" s="772">
        <f t="shared" si="12"/>
        <v>100</v>
      </c>
      <c r="T30" s="771" t="s">
        <v>18</v>
      </c>
      <c r="U30" s="772">
        <f t="shared" si="13"/>
        <v>100</v>
      </c>
      <c r="V30" s="771" t="s">
        <v>18</v>
      </c>
      <c r="W30" s="772">
        <f t="shared" si="14"/>
        <v>100</v>
      </c>
      <c r="X30" s="1810"/>
      <c r="Y30" s="3208"/>
      <c r="Z30" s="1811">
        <f t="shared" si="18"/>
        <v>111</v>
      </c>
      <c r="AA30" s="1808">
        <f t="shared" si="15"/>
        <v>1</v>
      </c>
      <c r="AB30" s="1808">
        <f t="shared" si="16"/>
        <v>1</v>
      </c>
      <c r="AC30" s="1808">
        <f t="shared" si="17"/>
        <v>1</v>
      </c>
    </row>
    <row r="31" spans="1:29" ht="15.75" thickBot="1">
      <c r="A31" s="433"/>
      <c r="B31" s="1383">
        <v>111</v>
      </c>
      <c r="C31" s="434"/>
      <c r="D31" s="435">
        <v>100</v>
      </c>
      <c r="E31" s="434"/>
      <c r="F31" s="435">
        <f>SUMIF(98:98,E31,99:99)-SUMIF(98:98,C31,99:99)+100</f>
        <v>100</v>
      </c>
      <c r="G31" s="2613"/>
      <c r="H31" s="435">
        <f>SUMIF(98:98,G31,99:99)-SUMIF(98:98,C31,99:99)+100</f>
        <v>100</v>
      </c>
      <c r="I31" s="434"/>
      <c r="J31" s="435">
        <f>SUMIF(98:98,I31,99:99)-SUMIF(98:98,C31,99:99)+100</f>
        <v>100</v>
      </c>
      <c r="K31" s="2598"/>
      <c r="L31" s="1137"/>
      <c r="M31" s="1128"/>
      <c r="N31" s="1128"/>
      <c r="O31" s="1128"/>
      <c r="P31" s="3215"/>
      <c r="Q31" s="1807">
        <f t="shared" si="11"/>
        <v>111</v>
      </c>
      <c r="R31" s="771" t="s">
        <v>18</v>
      </c>
      <c r="S31" s="772">
        <f t="shared" si="12"/>
        <v>100</v>
      </c>
      <c r="T31" s="771" t="s">
        <v>18</v>
      </c>
      <c r="U31" s="772">
        <f t="shared" si="13"/>
        <v>100</v>
      </c>
      <c r="V31" s="771" t="s">
        <v>18</v>
      </c>
      <c r="W31" s="772">
        <f t="shared" si="14"/>
        <v>100</v>
      </c>
      <c r="X31" s="1810"/>
      <c r="Y31" s="3208"/>
      <c r="Z31" s="1811">
        <f t="shared" si="18"/>
        <v>111</v>
      </c>
      <c r="AA31" s="1808">
        <f t="shared" si="15"/>
        <v>1</v>
      </c>
      <c r="AB31" s="1808">
        <f t="shared" si="16"/>
        <v>1</v>
      </c>
      <c r="AC31" s="1808">
        <f t="shared" si="17"/>
        <v>1</v>
      </c>
    </row>
    <row r="32" spans="1:29" ht="15">
      <c r="A32" s="437" t="s">
        <v>2535</v>
      </c>
      <c r="B32" s="68" t="s">
        <v>2536</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7"/>
      <c r="M32" s="1128"/>
      <c r="N32" s="1128"/>
      <c r="O32" s="1128"/>
      <c r="P32" s="3209" t="s">
        <v>2537</v>
      </c>
      <c r="Q32" s="1807" t="str">
        <f t="shared" si="11"/>
        <v>建筑类型</v>
      </c>
      <c r="R32" s="771" t="s">
        <v>18</v>
      </c>
      <c r="S32" s="772">
        <f t="shared" si="12"/>
        <v>100</v>
      </c>
      <c r="T32" s="771" t="s">
        <v>18</v>
      </c>
      <c r="U32" s="772">
        <f t="shared" si="13"/>
        <v>100</v>
      </c>
      <c r="V32" s="771" t="s">
        <v>18</v>
      </c>
      <c r="W32" s="772">
        <f t="shared" si="14"/>
        <v>100</v>
      </c>
      <c r="X32" s="1810"/>
      <c r="Y32" s="3212" t="s">
        <v>2537</v>
      </c>
      <c r="Z32" s="1811" t="str">
        <f t="shared" si="18"/>
        <v>建筑类型</v>
      </c>
      <c r="AA32" s="1808">
        <f t="shared" si="15"/>
        <v>1</v>
      </c>
      <c r="AB32" s="1808">
        <f t="shared" si="16"/>
        <v>1</v>
      </c>
      <c r="AC32" s="1808">
        <f t="shared" si="17"/>
        <v>1</v>
      </c>
    </row>
    <row r="33" spans="1:29" s="468" customFormat="1" ht="15">
      <c r="A33" s="465"/>
      <c r="B33" s="419" t="s">
        <v>2538</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5"/>
      <c r="M33" s="1138"/>
      <c r="N33" s="1138"/>
      <c r="O33" s="1138"/>
      <c r="P33" s="3210"/>
      <c r="Q33" s="773" t="str">
        <f t="shared" si="11"/>
        <v>项目建筑规模</v>
      </c>
      <c r="R33" s="774" t="s">
        <v>18</v>
      </c>
      <c r="S33" s="775" t="e">
        <f t="shared" si="12"/>
        <v>#N/A</v>
      </c>
      <c r="T33" s="774" t="s">
        <v>18</v>
      </c>
      <c r="U33" s="775" t="e">
        <f t="shared" si="13"/>
        <v>#N/A</v>
      </c>
      <c r="V33" s="774" t="s">
        <v>18</v>
      </c>
      <c r="W33" s="775" t="e">
        <f t="shared" si="14"/>
        <v>#N/A</v>
      </c>
      <c r="X33" s="776"/>
      <c r="Y33" s="3212"/>
      <c r="Z33" s="777" t="str">
        <f t="shared" si="18"/>
        <v>项目建筑规模</v>
      </c>
      <c r="AA33" s="1808" t="e">
        <f t="shared" si="15"/>
        <v>#N/A</v>
      </c>
      <c r="AB33" s="1808" t="e">
        <f t="shared" si="16"/>
        <v>#N/A</v>
      </c>
      <c r="AC33" s="1808" t="e">
        <f t="shared" si="17"/>
        <v>#N/A</v>
      </c>
    </row>
    <row r="34" spans="1:29" ht="15">
      <c r="A34" s="469"/>
      <c r="B34" s="419" t="s">
        <v>2539</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7"/>
      <c r="M34" s="1128"/>
      <c r="N34" s="1128"/>
      <c r="O34" s="1128"/>
      <c r="P34" s="3210"/>
      <c r="Q34" s="1807" t="str">
        <f t="shared" si="11"/>
        <v>建筑结构</v>
      </c>
      <c r="R34" s="771" t="s">
        <v>18</v>
      </c>
      <c r="S34" s="772">
        <f t="shared" si="12"/>
        <v>100</v>
      </c>
      <c r="T34" s="771" t="s">
        <v>18</v>
      </c>
      <c r="U34" s="772">
        <f t="shared" si="13"/>
        <v>100</v>
      </c>
      <c r="V34" s="771" t="s">
        <v>18</v>
      </c>
      <c r="W34" s="772">
        <f t="shared" si="14"/>
        <v>100</v>
      </c>
      <c r="X34" s="1810"/>
      <c r="Y34" s="3212"/>
      <c r="Z34" s="1811" t="str">
        <f t="shared" si="18"/>
        <v>建筑结构</v>
      </c>
      <c r="AA34" s="1808">
        <f t="shared" si="15"/>
        <v>1</v>
      </c>
      <c r="AB34" s="1808">
        <f t="shared" si="16"/>
        <v>1</v>
      </c>
      <c r="AC34" s="1808">
        <f t="shared" si="17"/>
        <v>1</v>
      </c>
    </row>
    <row r="35" spans="1:29" ht="15">
      <c r="A35" s="469"/>
      <c r="B35" s="419" t="s">
        <v>2540</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7"/>
      <c r="M35" s="1128"/>
      <c r="N35" s="1128"/>
      <c r="O35" s="1128"/>
      <c r="P35" s="3210"/>
      <c r="Q35" s="1807" t="str">
        <f t="shared" si="11"/>
        <v>建筑品质</v>
      </c>
      <c r="R35" s="771" t="s">
        <v>18</v>
      </c>
      <c r="S35" s="772">
        <f t="shared" si="12"/>
        <v>100</v>
      </c>
      <c r="T35" s="771" t="s">
        <v>18</v>
      </c>
      <c r="U35" s="772">
        <f t="shared" si="13"/>
        <v>100</v>
      </c>
      <c r="V35" s="771" t="s">
        <v>18</v>
      </c>
      <c r="W35" s="772">
        <f t="shared" si="14"/>
        <v>100</v>
      </c>
      <c r="X35" s="1810"/>
      <c r="Y35" s="3212"/>
      <c r="Z35" s="1811" t="str">
        <f t="shared" si="18"/>
        <v>建筑品质</v>
      </c>
      <c r="AA35" s="1808">
        <f t="shared" si="15"/>
        <v>1</v>
      </c>
      <c r="AB35" s="1808">
        <f t="shared" si="16"/>
        <v>1</v>
      </c>
      <c r="AC35" s="1808">
        <f t="shared" si="17"/>
        <v>1</v>
      </c>
    </row>
    <row r="36" spans="1:29" ht="15">
      <c r="A36" s="469"/>
      <c r="B36" s="419" t="s">
        <v>2541</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7"/>
      <c r="M36" s="1128"/>
      <c r="N36" s="1128"/>
      <c r="O36" s="1128"/>
      <c r="P36" s="3210"/>
      <c r="Q36" s="1807" t="str">
        <f t="shared" si="11"/>
        <v>公共部分装修</v>
      </c>
      <c r="R36" s="771" t="s">
        <v>18</v>
      </c>
      <c r="S36" s="772">
        <f t="shared" si="12"/>
        <v>100</v>
      </c>
      <c r="T36" s="771" t="s">
        <v>18</v>
      </c>
      <c r="U36" s="772">
        <f t="shared" si="13"/>
        <v>100</v>
      </c>
      <c r="V36" s="771" t="s">
        <v>18</v>
      </c>
      <c r="W36" s="772">
        <f t="shared" si="14"/>
        <v>100</v>
      </c>
      <c r="X36" s="1810"/>
      <c r="Y36" s="3212"/>
      <c r="Z36" s="1811" t="str">
        <f t="shared" si="18"/>
        <v>公共部分装修</v>
      </c>
      <c r="AA36" s="1808">
        <f t="shared" si="15"/>
        <v>1</v>
      </c>
      <c r="AB36" s="1808">
        <f t="shared" si="16"/>
        <v>1</v>
      </c>
      <c r="AC36" s="1808">
        <f t="shared" si="17"/>
        <v>1</v>
      </c>
    </row>
    <row r="37" spans="1:29" s="114" customFormat="1" ht="15">
      <c r="A37" s="470"/>
      <c r="B37" s="419" t="s">
        <v>2542</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9"/>
      <c r="M37" s="1130"/>
      <c r="N37" s="1130"/>
      <c r="O37" s="1130"/>
      <c r="P37" s="3210"/>
      <c r="Q37" s="1792" t="str">
        <f t="shared" si="11"/>
        <v>成新度</v>
      </c>
      <c r="R37" s="767" t="s">
        <v>18</v>
      </c>
      <c r="S37" s="768" t="e">
        <f t="shared" si="12"/>
        <v>#N/A</v>
      </c>
      <c r="T37" s="767" t="s">
        <v>18</v>
      </c>
      <c r="U37" s="768" t="e">
        <f t="shared" si="13"/>
        <v>#N/A</v>
      </c>
      <c r="V37" s="767" t="s">
        <v>18</v>
      </c>
      <c r="W37" s="768" t="e">
        <f t="shared" si="14"/>
        <v>#N/A</v>
      </c>
      <c r="X37" s="769"/>
      <c r="Y37" s="3212"/>
      <c r="Z37" s="52" t="str">
        <f t="shared" si="18"/>
        <v>成新度</v>
      </c>
      <c r="AA37" s="770" t="e">
        <f t="shared" si="15"/>
        <v>#N/A</v>
      </c>
      <c r="AB37" s="770" t="e">
        <f t="shared" si="16"/>
        <v>#N/A</v>
      </c>
      <c r="AC37" s="770" t="e">
        <f t="shared" si="17"/>
        <v>#N/A</v>
      </c>
    </row>
    <row r="38" spans="1:29" ht="15">
      <c r="A38" s="469"/>
      <c r="B38" s="419" t="s">
        <v>2543</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7"/>
      <c r="M38" s="1128"/>
      <c r="N38" s="1128"/>
      <c r="O38" s="1128"/>
      <c r="P38" s="3210" t="s">
        <v>2537</v>
      </c>
      <c r="Q38" s="1807" t="str">
        <f t="shared" si="11"/>
        <v>物业管理</v>
      </c>
      <c r="R38" s="771" t="s">
        <v>18</v>
      </c>
      <c r="S38" s="772">
        <f t="shared" si="12"/>
        <v>100</v>
      </c>
      <c r="T38" s="771" t="s">
        <v>18</v>
      </c>
      <c r="U38" s="772">
        <f t="shared" si="13"/>
        <v>100</v>
      </c>
      <c r="V38" s="771" t="s">
        <v>18</v>
      </c>
      <c r="W38" s="772">
        <f t="shared" si="14"/>
        <v>100</v>
      </c>
      <c r="X38" s="1810"/>
      <c r="Y38" s="3212" t="s">
        <v>2537</v>
      </c>
      <c r="Z38" s="1811" t="str">
        <f t="shared" si="18"/>
        <v>物业管理</v>
      </c>
      <c r="AA38" s="1808">
        <f t="shared" si="15"/>
        <v>1</v>
      </c>
      <c r="AB38" s="1808">
        <f t="shared" si="16"/>
        <v>1</v>
      </c>
      <c r="AC38" s="1808">
        <f t="shared" si="17"/>
        <v>1</v>
      </c>
    </row>
    <row r="39" spans="1:29" ht="15">
      <c r="A39" s="469"/>
      <c r="B39" s="419" t="s">
        <v>2544</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7"/>
      <c r="M39" s="1128"/>
      <c r="N39" s="1128"/>
      <c r="O39" s="1128"/>
      <c r="P39" s="3210"/>
      <c r="Q39" s="1807" t="str">
        <f t="shared" si="11"/>
        <v>市政基础设施</v>
      </c>
      <c r="R39" s="771" t="s">
        <v>18</v>
      </c>
      <c r="S39" s="772">
        <f t="shared" si="12"/>
        <v>100</v>
      </c>
      <c r="T39" s="771" t="s">
        <v>18</v>
      </c>
      <c r="U39" s="772">
        <f t="shared" si="13"/>
        <v>100</v>
      </c>
      <c r="V39" s="771" t="s">
        <v>18</v>
      </c>
      <c r="W39" s="772">
        <f t="shared" si="14"/>
        <v>100</v>
      </c>
      <c r="X39" s="1810"/>
      <c r="Y39" s="3212"/>
      <c r="Z39" s="1811" t="str">
        <f t="shared" si="18"/>
        <v>市政基础设施</v>
      </c>
      <c r="AA39" s="1808">
        <f t="shared" si="15"/>
        <v>1</v>
      </c>
      <c r="AB39" s="1808">
        <f t="shared" si="16"/>
        <v>1</v>
      </c>
      <c r="AC39" s="1808">
        <f t="shared" si="17"/>
        <v>1</v>
      </c>
    </row>
    <row r="40" spans="1:29" ht="15">
      <c r="A40" s="469"/>
      <c r="B40" s="419" t="s">
        <v>2545</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7"/>
      <c r="M40" s="1128"/>
      <c r="N40" s="1128"/>
      <c r="O40" s="1128"/>
      <c r="P40" s="3210"/>
      <c r="Q40" s="1807" t="str">
        <f t="shared" si="11"/>
        <v>房型</v>
      </c>
      <c r="R40" s="771" t="s">
        <v>18</v>
      </c>
      <c r="S40" s="772">
        <f t="shared" si="12"/>
        <v>100</v>
      </c>
      <c r="T40" s="771" t="s">
        <v>18</v>
      </c>
      <c r="U40" s="772">
        <f t="shared" si="13"/>
        <v>100</v>
      </c>
      <c r="V40" s="771" t="s">
        <v>18</v>
      </c>
      <c r="W40" s="772">
        <f t="shared" si="14"/>
        <v>100</v>
      </c>
      <c r="X40" s="1810"/>
      <c r="Y40" s="3212"/>
      <c r="Z40" s="1811" t="str">
        <f t="shared" si="18"/>
        <v>房型</v>
      </c>
      <c r="AA40" s="1808">
        <f t="shared" si="15"/>
        <v>1</v>
      </c>
      <c r="AB40" s="1808">
        <f t="shared" si="16"/>
        <v>1</v>
      </c>
      <c r="AC40" s="1808">
        <f t="shared" si="17"/>
        <v>1</v>
      </c>
    </row>
    <row r="41" spans="1:29" s="468" customFormat="1" ht="28.5">
      <c r="A41" s="465"/>
      <c r="B41" s="419" t="s">
        <v>2546</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5"/>
      <c r="M41" s="1138"/>
      <c r="N41" s="1138"/>
      <c r="O41" s="1138"/>
      <c r="P41" s="3210"/>
      <c r="Q41" s="773" t="str">
        <f t="shared" si="11"/>
        <v>单套/主力户型建筑面积</v>
      </c>
      <c r="R41" s="774" t="s">
        <v>18</v>
      </c>
      <c r="S41" s="775">
        <f t="shared" si="12"/>
        <v>100</v>
      </c>
      <c r="T41" s="774" t="s">
        <v>18</v>
      </c>
      <c r="U41" s="775">
        <f t="shared" si="13"/>
        <v>100</v>
      </c>
      <c r="V41" s="774" t="s">
        <v>18</v>
      </c>
      <c r="W41" s="775">
        <f t="shared" si="14"/>
        <v>100</v>
      </c>
      <c r="X41" s="776"/>
      <c r="Y41" s="3212"/>
      <c r="Z41" s="777" t="str">
        <f t="shared" si="18"/>
        <v>单套/主力户型建筑面积</v>
      </c>
      <c r="AA41" s="1808">
        <f t="shared" si="15"/>
        <v>1</v>
      </c>
      <c r="AB41" s="1808">
        <f t="shared" si="16"/>
        <v>1</v>
      </c>
      <c r="AC41" s="1808">
        <f t="shared" si="17"/>
        <v>1</v>
      </c>
    </row>
    <row r="42" spans="1:29" ht="15">
      <c r="A42" s="469"/>
      <c r="B42" s="419" t="s">
        <v>2547</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7"/>
      <c r="M42" s="1128"/>
      <c r="N42" s="1128"/>
      <c r="O42" s="1128"/>
      <c r="P42" s="3210"/>
      <c r="Q42" s="1807" t="str">
        <f t="shared" si="11"/>
        <v>内部装修</v>
      </c>
      <c r="R42" s="771" t="s">
        <v>18</v>
      </c>
      <c r="S42" s="772">
        <f t="shared" si="12"/>
        <v>100</v>
      </c>
      <c r="T42" s="771" t="s">
        <v>18</v>
      </c>
      <c r="U42" s="772">
        <f t="shared" si="13"/>
        <v>100</v>
      </c>
      <c r="V42" s="771" t="s">
        <v>18</v>
      </c>
      <c r="W42" s="772">
        <f t="shared" si="14"/>
        <v>100</v>
      </c>
      <c r="X42" s="1810"/>
      <c r="Y42" s="3212"/>
      <c r="Z42" s="1811" t="str">
        <f t="shared" si="18"/>
        <v>内部装修</v>
      </c>
      <c r="AA42" s="1808">
        <f t="shared" si="15"/>
        <v>1</v>
      </c>
      <c r="AB42" s="1808">
        <f t="shared" si="16"/>
        <v>1</v>
      </c>
      <c r="AC42" s="1808">
        <f t="shared" si="17"/>
        <v>1</v>
      </c>
    </row>
    <row r="43" spans="1:29" ht="15">
      <c r="A43" s="469"/>
      <c r="B43" s="419" t="s">
        <v>2548</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7"/>
      <c r="M43" s="1128"/>
      <c r="N43" s="1128"/>
      <c r="O43" s="1128"/>
      <c r="P43" s="3210"/>
      <c r="Q43" s="1807" t="str">
        <f t="shared" si="11"/>
        <v>内部装修维护情况</v>
      </c>
      <c r="R43" s="771" t="s">
        <v>18</v>
      </c>
      <c r="S43" s="772">
        <f t="shared" si="12"/>
        <v>100</v>
      </c>
      <c r="T43" s="771" t="s">
        <v>18</v>
      </c>
      <c r="U43" s="772">
        <f t="shared" si="13"/>
        <v>100</v>
      </c>
      <c r="V43" s="771" t="s">
        <v>18</v>
      </c>
      <c r="W43" s="772">
        <f t="shared" si="14"/>
        <v>100</v>
      </c>
      <c r="X43" s="1810"/>
      <c r="Y43" s="3212"/>
      <c r="Z43" s="1811" t="str">
        <f t="shared" si="18"/>
        <v>内部装修维护情况</v>
      </c>
      <c r="AA43" s="1808">
        <f t="shared" si="15"/>
        <v>1</v>
      </c>
      <c r="AB43" s="1808">
        <f t="shared" si="16"/>
        <v>1</v>
      </c>
      <c r="AC43" s="1808">
        <f t="shared" si="17"/>
        <v>1</v>
      </c>
    </row>
    <row r="44" spans="1:29" s="114" customFormat="1" ht="15">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9"/>
      <c r="M44" s="1130"/>
      <c r="N44" s="1130"/>
      <c r="O44" s="1130"/>
      <c r="P44" s="3210"/>
      <c r="Q44" s="1792">
        <f t="shared" si="11"/>
        <v>111</v>
      </c>
      <c r="R44" s="767" t="s">
        <v>18</v>
      </c>
      <c r="S44" s="768">
        <f t="shared" si="12"/>
        <v>100</v>
      </c>
      <c r="T44" s="767" t="s">
        <v>18</v>
      </c>
      <c r="U44" s="768">
        <f t="shared" si="13"/>
        <v>100</v>
      </c>
      <c r="V44" s="767" t="s">
        <v>18</v>
      </c>
      <c r="W44" s="768">
        <f t="shared" si="14"/>
        <v>100</v>
      </c>
      <c r="X44" s="769"/>
      <c r="Y44" s="3212"/>
      <c r="Z44" s="52">
        <f t="shared" si="18"/>
        <v>111</v>
      </c>
      <c r="AA44" s="770">
        <f t="shared" si="15"/>
        <v>1</v>
      </c>
      <c r="AB44" s="770">
        <f t="shared" si="16"/>
        <v>1</v>
      </c>
      <c r="AC44" s="770">
        <f t="shared" si="17"/>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7"/>
      <c r="M45" s="1128"/>
      <c r="N45" s="1128"/>
      <c r="O45" s="1128"/>
      <c r="P45" s="3210"/>
      <c r="Q45" s="1807">
        <f t="shared" si="11"/>
        <v>111</v>
      </c>
      <c r="R45" s="771" t="s">
        <v>18</v>
      </c>
      <c r="S45" s="772">
        <f t="shared" si="12"/>
        <v>100</v>
      </c>
      <c r="T45" s="771" t="s">
        <v>18</v>
      </c>
      <c r="U45" s="772">
        <f t="shared" si="13"/>
        <v>100</v>
      </c>
      <c r="V45" s="771" t="s">
        <v>18</v>
      </c>
      <c r="W45" s="772">
        <f t="shared" si="14"/>
        <v>100</v>
      </c>
      <c r="X45" s="1810"/>
      <c r="Y45" s="3212"/>
      <c r="Z45" s="1811">
        <f t="shared" si="18"/>
        <v>111</v>
      </c>
      <c r="AA45" s="1808">
        <f t="shared" si="15"/>
        <v>1</v>
      </c>
      <c r="AB45" s="1808">
        <f t="shared" si="16"/>
        <v>1</v>
      </c>
      <c r="AC45" s="1808">
        <f t="shared" si="17"/>
        <v>1</v>
      </c>
    </row>
    <row r="46" spans="1:29" ht="15.75"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7"/>
      <c r="M46" s="1128"/>
      <c r="N46" s="1128"/>
      <c r="O46" s="1128"/>
      <c r="P46" s="3211"/>
      <c r="Q46" s="1807">
        <f t="shared" si="11"/>
        <v>111</v>
      </c>
      <c r="R46" s="771" t="s">
        <v>17</v>
      </c>
      <c r="S46" s="772">
        <f t="shared" si="12"/>
        <v>100</v>
      </c>
      <c r="T46" s="771" t="s">
        <v>17</v>
      </c>
      <c r="U46" s="772">
        <f t="shared" si="13"/>
        <v>100</v>
      </c>
      <c r="V46" s="771" t="s">
        <v>17</v>
      </c>
      <c r="W46" s="772">
        <f t="shared" si="14"/>
        <v>100</v>
      </c>
      <c r="X46" s="1810"/>
      <c r="Y46" s="3213"/>
      <c r="Z46" s="1811">
        <f t="shared" si="18"/>
        <v>111</v>
      </c>
      <c r="AA46" s="1808">
        <f t="shared" si="15"/>
        <v>1</v>
      </c>
      <c r="AB46" s="1808">
        <f t="shared" si="16"/>
        <v>1</v>
      </c>
      <c r="AC46" s="1808">
        <f t="shared" si="17"/>
        <v>1</v>
      </c>
    </row>
    <row r="47" spans="1:29" ht="15">
      <c r="A47" s="476" t="s">
        <v>2549</v>
      </c>
      <c r="B47" s="477"/>
      <c r="C47" s="1404" t="s">
        <v>16</v>
      </c>
      <c r="D47" s="1405"/>
      <c r="E47" s="1406"/>
      <c r="F47" s="1407"/>
      <c r="G47" s="1408"/>
      <c r="H47" s="1409"/>
      <c r="I47" s="1406"/>
      <c r="J47" s="1409"/>
      <c r="K47" s="2618"/>
      <c r="L47" s="1140"/>
      <c r="M47" s="1141"/>
      <c r="N47" s="1128"/>
      <c r="O47" s="1141"/>
      <c r="P47" s="3205" t="str">
        <f>A47</f>
        <v>成交单价（元/平方米）</v>
      </c>
      <c r="Q47" s="3205"/>
      <c r="R47" s="3206">
        <f>E47</f>
        <v>0</v>
      </c>
      <c r="S47" s="3206"/>
      <c r="T47" s="3206">
        <f>G47</f>
        <v>0</v>
      </c>
      <c r="U47" s="3206"/>
      <c r="V47" s="3206">
        <f>I47</f>
        <v>0</v>
      </c>
      <c r="W47" s="3206"/>
      <c r="X47" s="756"/>
      <c r="Y47" s="778"/>
      <c r="Z47" s="756"/>
      <c r="AA47" s="756"/>
      <c r="AB47" s="756"/>
      <c r="AC47" s="756"/>
    </row>
    <row r="48" spans="1:29" ht="15.75" thickBot="1">
      <c r="A48" s="483" t="s">
        <v>2550</v>
      </c>
      <c r="B48" s="484"/>
      <c r="C48" s="1410" t="e">
        <f>R49</f>
        <v>#DIV/0!</v>
      </c>
      <c r="D48" s="1411"/>
      <c r="E48" s="1412" t="e">
        <f>R48</f>
        <v>#DIV/0!</v>
      </c>
      <c r="F48" s="1412"/>
      <c r="G48" s="1410" t="e">
        <f>T48</f>
        <v>#DIV/0!</v>
      </c>
      <c r="H48" s="1411"/>
      <c r="I48" s="1412" t="e">
        <f>V48</f>
        <v>#DIV/0!</v>
      </c>
      <c r="J48" s="1411"/>
      <c r="K48" s="2619"/>
      <c r="L48" s="1140"/>
      <c r="M48" s="1141"/>
      <c r="N48" s="1141"/>
      <c r="O48" s="1141"/>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6"/>
      <c r="Y48" s="756"/>
      <c r="Z48" s="756"/>
      <c r="AA48" s="756"/>
      <c r="AB48" s="756"/>
      <c r="AC48" s="756"/>
    </row>
    <row r="49" spans="1:29" ht="15.75" thickBot="1">
      <c r="A49" s="489" t="s">
        <v>2551</v>
      </c>
      <c r="B49" s="490"/>
      <c r="C49" s="1413" t="e">
        <f>R49</f>
        <v>#DIV/0!</v>
      </c>
      <c r="D49" s="1414"/>
      <c r="E49" s="1414"/>
      <c r="F49" s="1414"/>
      <c r="G49" s="1414"/>
      <c r="H49" s="1414"/>
      <c r="I49" s="1414"/>
      <c r="J49" s="1414"/>
      <c r="K49" s="2620"/>
      <c r="L49" s="1140"/>
      <c r="M49" s="1141"/>
      <c r="N49" s="1141"/>
      <c r="O49" s="1141"/>
      <c r="P49" s="3202" t="str">
        <f>A49</f>
        <v>估价对象XX用房的比较价值（楼面单价，元/平方米）</v>
      </c>
      <c r="Q49" s="3203"/>
      <c r="R49" s="3204" t="e">
        <f>IF(F1="售价",ROUND(AVERAGE(R48:V48),0),ROUND(AVERAGE(R48:V48),1))</f>
        <v>#DIV/0!</v>
      </c>
      <c r="S49" s="3204"/>
      <c r="T49" s="3204"/>
      <c r="U49" s="3204"/>
      <c r="V49" s="3204"/>
      <c r="W49" s="320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2552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row>
    <row r="53" spans="1:29" ht="13.5" customHeight="1">
      <c r="A53" s="1141"/>
      <c r="B53" s="1141"/>
      <c r="C53" s="494" t="s">
        <v>2553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row>
    <row r="54" spans="1:29" s="499" customFormat="1" ht="13.5" customHeight="1">
      <c r="A54" s="1142"/>
      <c r="B54" s="1142"/>
      <c r="C54" s="494" t="s">
        <v>2554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22"/>
    </row>
    <row r="55" spans="1:29" s="499"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0" t="s">
        <v>2555</v>
      </c>
      <c r="B57" s="756"/>
      <c r="C57" s="761"/>
      <c r="D57" s="761"/>
      <c r="E57" s="761"/>
      <c r="F57" s="762"/>
      <c r="G57" s="762"/>
      <c r="H57" s="761"/>
      <c r="I57" s="761"/>
      <c r="J57" s="761"/>
      <c r="K57" s="1157"/>
      <c r="L57" s="1158"/>
      <c r="M57" s="1156"/>
      <c r="N57" s="1156"/>
      <c r="O57" s="1156"/>
      <c r="P57" s="2623"/>
      <c r="Q57" s="501"/>
    </row>
    <row r="58" spans="1:29" s="505" customFormat="1" ht="15">
      <c r="A58" s="502" t="s">
        <v>2556</v>
      </c>
      <c r="B58" s="503"/>
      <c r="C58" s="1573" t="str">
        <f>YEAR(C7)&amp;"-"&amp;MONTH(C7)</f>
        <v>2020-1</v>
      </c>
      <c r="D58" s="1572">
        <f>EDATE(C58,-1)</f>
        <v>43800</v>
      </c>
      <c r="E58" s="1572">
        <f>EDATE(D58,-1)</f>
        <v>43770</v>
      </c>
      <c r="F58" s="1572">
        <f t="shared" ref="F58:O58" si="19">EDATE(E58,-1)</f>
        <v>43739</v>
      </c>
      <c r="G58" s="1572">
        <f t="shared" si="19"/>
        <v>43709</v>
      </c>
      <c r="H58" s="1572">
        <f t="shared" si="19"/>
        <v>43678</v>
      </c>
      <c r="I58" s="1572">
        <f t="shared" si="19"/>
        <v>43647</v>
      </c>
      <c r="J58" s="1572">
        <f t="shared" si="19"/>
        <v>43617</v>
      </c>
      <c r="K58" s="1572">
        <f t="shared" si="19"/>
        <v>43586</v>
      </c>
      <c r="L58" s="1572">
        <f t="shared" si="19"/>
        <v>43556</v>
      </c>
      <c r="M58" s="1572">
        <f t="shared" si="19"/>
        <v>43525</v>
      </c>
      <c r="N58" s="1572">
        <f t="shared" si="19"/>
        <v>43497</v>
      </c>
      <c r="O58" s="1572">
        <f t="shared" si="19"/>
        <v>43466</v>
      </c>
      <c r="P58" s="1567"/>
    </row>
    <row r="59" spans="1:29" s="114" customFormat="1" ht="15">
      <c r="A59" s="506"/>
      <c r="B59" s="2624"/>
      <c r="C59" s="1570">
        <v>100</v>
      </c>
      <c r="D59" s="508"/>
      <c r="E59" s="509"/>
      <c r="F59" s="509"/>
      <c r="G59" s="509"/>
      <c r="H59" s="509"/>
      <c r="I59" s="509"/>
      <c r="J59" s="509"/>
      <c r="K59" s="509"/>
      <c r="L59" s="509"/>
      <c r="M59" s="510"/>
      <c r="N59" s="509"/>
      <c r="O59" s="510"/>
      <c r="P59" s="2625"/>
    </row>
    <row r="60" spans="1:29" s="114" customFormat="1" ht="15.75" thickBot="1">
      <c r="A60" s="512" t="s">
        <v>2557</v>
      </c>
      <c r="B60" s="513"/>
      <c r="C60" s="514"/>
      <c r="D60" s="515"/>
      <c r="E60" s="515"/>
      <c r="F60" s="515"/>
      <c r="G60" s="515"/>
      <c r="H60" s="515"/>
      <c r="I60" s="515"/>
      <c r="J60" s="515"/>
      <c r="K60" s="515"/>
      <c r="L60" s="515"/>
      <c r="M60" s="516"/>
      <c r="N60" s="515"/>
      <c r="O60" s="516"/>
      <c r="P60" s="2625"/>
      <c r="Q60" s="501"/>
    </row>
    <row r="61" spans="1:29" s="114" customFormat="1" ht="15">
      <c r="A61" s="518" t="s">
        <v>2558</v>
      </c>
      <c r="B61" s="507"/>
      <c r="C61" s="519" t="s">
        <v>2559</v>
      </c>
      <c r="D61" s="520"/>
      <c r="E61" s="520"/>
      <c r="F61" s="520"/>
      <c r="G61" s="520"/>
      <c r="H61" s="520"/>
      <c r="I61" s="520"/>
      <c r="J61" s="520"/>
      <c r="K61" s="520"/>
      <c r="L61" s="521"/>
      <c r="M61" s="522"/>
      <c r="N61" s="1148"/>
      <c r="O61" s="1148"/>
      <c r="P61" s="2626"/>
      <c r="Q61" s="501"/>
    </row>
    <row r="62" spans="1:29" s="114" customFormat="1" ht="15.75" thickBot="1">
      <c r="A62" s="518"/>
      <c r="B62" s="507"/>
      <c r="C62" s="508">
        <v>100</v>
      </c>
      <c r="D62" s="509"/>
      <c r="E62" s="509"/>
      <c r="F62" s="509"/>
      <c r="G62" s="509"/>
      <c r="H62" s="509"/>
      <c r="I62" s="509"/>
      <c r="J62" s="509"/>
      <c r="K62" s="509"/>
      <c r="L62" s="509"/>
      <c r="M62" s="511"/>
      <c r="N62" s="1148"/>
      <c r="O62" s="1148"/>
      <c r="P62" s="2625"/>
      <c r="Q62" s="501"/>
    </row>
    <row r="63" spans="1:29">
      <c r="A63" s="524" t="s">
        <v>2560</v>
      </c>
      <c r="B63" s="525" t="s">
        <v>2526</v>
      </c>
      <c r="C63" s="526">
        <f>C9</f>
        <v>0</v>
      </c>
      <c r="D63" s="527"/>
      <c r="E63" s="527"/>
      <c r="F63" s="527"/>
      <c r="G63" s="527"/>
      <c r="H63" s="527"/>
      <c r="I63" s="527"/>
      <c r="J63" s="527"/>
      <c r="K63" s="528"/>
      <c r="L63" s="529"/>
      <c r="M63" s="530"/>
      <c r="N63" s="1149"/>
      <c r="O63" s="1149"/>
      <c r="P63" s="2627"/>
      <c r="Q63" s="501"/>
    </row>
    <row r="64" spans="1:29" ht="15.75" thickBot="1">
      <c r="A64" s="531"/>
      <c r="B64" s="532"/>
      <c r="C64" s="533">
        <v>100</v>
      </c>
      <c r="D64" s="533"/>
      <c r="E64" s="533"/>
      <c r="F64" s="533"/>
      <c r="G64" s="533"/>
      <c r="H64" s="533"/>
      <c r="I64" s="533"/>
      <c r="J64" s="533"/>
      <c r="K64" s="533"/>
      <c r="L64" s="533"/>
      <c r="M64" s="534"/>
      <c r="N64" s="1150"/>
      <c r="O64" s="1150"/>
      <c r="P64" s="2627"/>
      <c r="Q64" s="501"/>
    </row>
    <row r="65" spans="1:17" ht="27.75" thickTop="1">
      <c r="A65" s="531"/>
      <c r="B65" s="535" t="s">
        <v>2529</v>
      </c>
      <c r="C65" s="536" t="s">
        <v>2561</v>
      </c>
      <c r="D65" s="536" t="s">
        <v>2562</v>
      </c>
      <c r="E65" s="536" t="s">
        <v>2563</v>
      </c>
      <c r="F65" s="536" t="s">
        <v>2564</v>
      </c>
      <c r="G65" s="536" t="s">
        <v>2565</v>
      </c>
      <c r="H65" s="536" t="s">
        <v>2566</v>
      </c>
      <c r="I65" s="536" t="s">
        <v>2567</v>
      </c>
      <c r="J65" s="536"/>
      <c r="K65" s="537"/>
      <c r="L65" s="538"/>
      <c r="M65" s="539"/>
      <c r="N65" s="1149"/>
      <c r="O65" s="1149"/>
      <c r="P65" s="2627"/>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0"/>
      <c r="O66" s="1150"/>
      <c r="P66" s="2627"/>
      <c r="Q66" s="501"/>
    </row>
    <row r="67" spans="1:17" ht="15.75" thickTop="1">
      <c r="A67" s="531"/>
      <c r="B67" s="543" t="s">
        <v>2530</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27"/>
      <c r="Q67" s="501"/>
    </row>
    <row r="68" spans="1:17" ht="15">
      <c r="A68" s="531"/>
      <c r="B68" s="545"/>
      <c r="C68" s="546"/>
      <c r="D68" s="546"/>
      <c r="E68" s="546"/>
      <c r="F68" s="546"/>
      <c r="G68" s="546"/>
      <c r="H68" s="546"/>
      <c r="I68" s="546"/>
      <c r="J68" s="546"/>
      <c r="K68" s="547"/>
      <c r="L68" s="548"/>
      <c r="M68" s="549"/>
      <c r="N68" s="1149"/>
      <c r="O68" s="1149"/>
      <c r="P68" s="2627"/>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0"/>
      <c r="O69" s="1150"/>
      <c r="P69" s="2627"/>
      <c r="Q69" s="501"/>
    </row>
    <row r="70" spans="1:17" s="468" customFormat="1" ht="15.75" thickTop="1">
      <c r="A70" s="550"/>
      <c r="B70" s="535">
        <f>B12</f>
        <v>111</v>
      </c>
      <c r="C70" s="551"/>
      <c r="D70" s="551"/>
      <c r="E70" s="551"/>
      <c r="F70" s="551"/>
      <c r="G70" s="551"/>
      <c r="H70" s="552"/>
      <c r="I70" s="552"/>
      <c r="J70" s="552"/>
      <c r="K70" s="552"/>
      <c r="L70" s="553"/>
      <c r="M70" s="554"/>
      <c r="N70" s="1151"/>
      <c r="O70" s="1151"/>
      <c r="P70" s="2628"/>
      <c r="Q70" s="556"/>
    </row>
    <row r="71" spans="1:17" s="468" customFormat="1" ht="15.75" thickBot="1">
      <c r="A71" s="550"/>
      <c r="B71" s="540"/>
      <c r="C71" s="557"/>
      <c r="D71" s="533"/>
      <c r="E71" s="533"/>
      <c r="F71" s="533"/>
      <c r="G71" s="533"/>
      <c r="H71" s="533"/>
      <c r="I71" s="533"/>
      <c r="J71" s="533"/>
      <c r="K71" s="533"/>
      <c r="L71" s="533"/>
      <c r="M71" s="534"/>
      <c r="N71" s="1150"/>
      <c r="O71" s="1150"/>
      <c r="P71" s="2628"/>
      <c r="Q71" s="556"/>
    </row>
    <row r="72" spans="1:17" s="468" customFormat="1" ht="15.75" thickTop="1">
      <c r="A72" s="550"/>
      <c r="B72" s="535">
        <f>B13</f>
        <v>111</v>
      </c>
      <c r="C72" s="551"/>
      <c r="D72" s="551"/>
      <c r="E72" s="551"/>
      <c r="F72" s="551"/>
      <c r="G72" s="551"/>
      <c r="H72" s="552"/>
      <c r="I72" s="552"/>
      <c r="J72" s="552"/>
      <c r="K72" s="552"/>
      <c r="L72" s="553"/>
      <c r="M72" s="554"/>
      <c r="N72" s="1151"/>
      <c r="O72" s="1151"/>
      <c r="P72" s="2629"/>
      <c r="Q72" s="558"/>
    </row>
    <row r="73" spans="1:17" s="468" customFormat="1" ht="15.75" thickBot="1">
      <c r="A73" s="550"/>
      <c r="B73" s="540"/>
      <c r="C73" s="557"/>
      <c r="D73" s="557"/>
      <c r="E73" s="557"/>
      <c r="F73" s="557"/>
      <c r="G73" s="557"/>
      <c r="H73" s="559"/>
      <c r="I73" s="559"/>
      <c r="J73" s="559"/>
      <c r="K73" s="559"/>
      <c r="L73" s="559"/>
      <c r="M73" s="560"/>
      <c r="N73" s="1151"/>
      <c r="O73" s="1151"/>
      <c r="P73" s="2628"/>
      <c r="Q73" s="556"/>
    </row>
    <row r="74" spans="1:17" s="468" customFormat="1" ht="15.75" thickTop="1">
      <c r="A74" s="550"/>
      <c r="B74" s="543">
        <f>B14</f>
        <v>111</v>
      </c>
      <c r="C74" s="551"/>
      <c r="D74" s="551"/>
      <c r="E74" s="551"/>
      <c r="F74" s="551"/>
      <c r="G74" s="520"/>
      <c r="H74" s="561"/>
      <c r="I74" s="561"/>
      <c r="J74" s="561"/>
      <c r="K74" s="561"/>
      <c r="L74" s="562"/>
      <c r="M74" s="563"/>
      <c r="N74" s="1151"/>
      <c r="O74" s="1151"/>
      <c r="P74" s="2630"/>
      <c r="Q74" s="556"/>
    </row>
    <row r="75" spans="1:17" s="468" customFormat="1" ht="15.75" thickBot="1">
      <c r="A75" s="565"/>
      <c r="B75" s="566"/>
      <c r="C75" s="567"/>
      <c r="D75" s="567"/>
      <c r="E75" s="567"/>
      <c r="F75" s="567"/>
      <c r="G75" s="567"/>
      <c r="H75" s="568"/>
      <c r="I75" s="568"/>
      <c r="J75" s="568"/>
      <c r="K75" s="568"/>
      <c r="L75" s="568"/>
      <c r="M75" s="569"/>
      <c r="N75" s="1151"/>
      <c r="O75" s="1151"/>
      <c r="P75" s="2628"/>
      <c r="Q75" s="556"/>
    </row>
    <row r="76" spans="1:17">
      <c r="A76" s="524" t="s">
        <v>2531</v>
      </c>
      <c r="B76" s="525" t="s">
        <v>2568</v>
      </c>
      <c r="C76" s="570" t="s">
        <v>2569</v>
      </c>
      <c r="D76" s="570" t="s">
        <v>2570</v>
      </c>
      <c r="E76" s="570" t="s">
        <v>2571</v>
      </c>
      <c r="F76" s="570" t="s">
        <v>2572</v>
      </c>
      <c r="G76" s="570" t="s">
        <v>2573</v>
      </c>
      <c r="H76" s="526"/>
      <c r="I76" s="526"/>
      <c r="J76" s="526"/>
      <c r="K76" s="571"/>
      <c r="L76" s="572"/>
      <c r="M76" s="573"/>
      <c r="N76" s="1149"/>
      <c r="O76" s="1149"/>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7"/>
      <c r="Q77" s="501"/>
    </row>
    <row r="78" spans="1:17" ht="15.75" thickTop="1">
      <c r="A78" s="531"/>
      <c r="B78" s="535" t="s">
        <v>2574</v>
      </c>
      <c r="C78" s="575" t="s">
        <v>2569</v>
      </c>
      <c r="D78" s="575" t="s">
        <v>2570</v>
      </c>
      <c r="E78" s="575" t="s">
        <v>2571</v>
      </c>
      <c r="F78" s="575" t="s">
        <v>2572</v>
      </c>
      <c r="G78" s="575" t="s">
        <v>2573</v>
      </c>
      <c r="H78" s="536"/>
      <c r="I78" s="536"/>
      <c r="J78" s="536"/>
      <c r="K78" s="537"/>
      <c r="L78" s="538"/>
      <c r="M78" s="539"/>
      <c r="N78" s="1149"/>
      <c r="O78" s="1149"/>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7"/>
      <c r="Q79" s="501"/>
    </row>
    <row r="80" spans="1:17" ht="15.75" thickTop="1">
      <c r="A80" s="531"/>
      <c r="B80" s="535" t="s">
        <v>2575</v>
      </c>
      <c r="C80" s="575" t="s">
        <v>2569</v>
      </c>
      <c r="D80" s="575" t="s">
        <v>2570</v>
      </c>
      <c r="E80" s="575" t="s">
        <v>2571</v>
      </c>
      <c r="F80" s="575" t="s">
        <v>2572</v>
      </c>
      <c r="G80" s="575" t="s">
        <v>2573</v>
      </c>
      <c r="H80" s="536"/>
      <c r="I80" s="536"/>
      <c r="J80" s="536"/>
      <c r="K80" s="537"/>
      <c r="L80" s="538"/>
      <c r="M80" s="539"/>
      <c r="N80" s="1149"/>
      <c r="O80" s="1149"/>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7"/>
      <c r="Q81" s="501"/>
    </row>
    <row r="82" spans="1:17" ht="15.75" thickTop="1">
      <c r="A82" s="531"/>
      <c r="B82" s="543" t="s">
        <v>2073</v>
      </c>
      <c r="C82" s="536" t="s">
        <v>2576</v>
      </c>
      <c r="D82" s="536" t="s">
        <v>2577</v>
      </c>
      <c r="E82" s="536" t="s">
        <v>2578</v>
      </c>
      <c r="F82" s="536" t="s">
        <v>2579</v>
      </c>
      <c r="G82" s="536" t="s">
        <v>2580</v>
      </c>
      <c r="H82" s="536"/>
      <c r="I82" s="536"/>
      <c r="J82" s="536"/>
      <c r="K82" s="536"/>
      <c r="L82" s="536"/>
      <c r="M82" s="1379"/>
      <c r="N82" s="1150"/>
      <c r="O82" s="1150"/>
      <c r="P82" s="2627"/>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0"/>
      <c r="O83" s="1150"/>
      <c r="P83" s="2627"/>
      <c r="Q83" s="501"/>
    </row>
    <row r="84" spans="1:17" ht="15.75" thickTop="1">
      <c r="A84" s="531"/>
      <c r="B84" s="535" t="s">
        <v>2581</v>
      </c>
      <c r="C84" s="575" t="s">
        <v>2569</v>
      </c>
      <c r="D84" s="575" t="s">
        <v>2570</v>
      </c>
      <c r="E84" s="575" t="s">
        <v>2571</v>
      </c>
      <c r="F84" s="575" t="s">
        <v>2572</v>
      </c>
      <c r="G84" s="575" t="s">
        <v>2573</v>
      </c>
      <c r="H84" s="536"/>
      <c r="I84" s="536"/>
      <c r="J84" s="536"/>
      <c r="K84" s="537"/>
      <c r="L84" s="538"/>
      <c r="M84" s="539"/>
      <c r="N84" s="1149"/>
      <c r="O84" s="1149"/>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7"/>
      <c r="Q85" s="501"/>
    </row>
    <row r="86" spans="1:17" s="114" customFormat="1" ht="15.75" thickTop="1">
      <c r="A86" s="576"/>
      <c r="B86" s="535" t="s">
        <v>2582</v>
      </c>
      <c r="C86" s="551"/>
      <c r="D86" s="551"/>
      <c r="E86" s="551"/>
      <c r="F86" s="551"/>
      <c r="G86" s="551"/>
      <c r="H86" s="551"/>
      <c r="I86" s="551"/>
      <c r="J86" s="551"/>
      <c r="K86" s="551"/>
      <c r="L86" s="577"/>
      <c r="M86" s="578"/>
      <c r="N86" s="1148"/>
      <c r="O86" s="1148"/>
      <c r="P86" s="2627"/>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27"/>
      <c r="Q87" s="501"/>
    </row>
    <row r="88" spans="1:17" s="114" customFormat="1" ht="15.75" thickTop="1">
      <c r="A88" s="576"/>
      <c r="B88" s="535" t="s">
        <v>2583</v>
      </c>
      <c r="C88" s="551"/>
      <c r="D88" s="551"/>
      <c r="E88" s="551"/>
      <c r="F88" s="2632"/>
      <c r="G88" s="551"/>
      <c r="H88" s="551"/>
      <c r="I88" s="551"/>
      <c r="J88" s="551"/>
      <c r="K88" s="551"/>
      <c r="L88" s="551"/>
      <c r="M88" s="578"/>
      <c r="N88" s="1148"/>
      <c r="O88" s="1148"/>
      <c r="P88" s="2627"/>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27"/>
      <c r="Q89" s="501"/>
    </row>
    <row r="90" spans="1:17" s="468" customFormat="1" ht="15.75" thickTop="1">
      <c r="A90" s="550"/>
      <c r="B90" s="535">
        <f>B27</f>
        <v>111</v>
      </c>
      <c r="C90" s="551"/>
      <c r="D90" s="551"/>
      <c r="E90" s="551"/>
      <c r="F90" s="551"/>
      <c r="G90" s="551"/>
      <c r="H90" s="552"/>
      <c r="I90" s="552"/>
      <c r="J90" s="552"/>
      <c r="K90" s="552"/>
      <c r="L90" s="553"/>
      <c r="M90" s="554"/>
      <c r="N90" s="1151"/>
      <c r="O90" s="1151"/>
      <c r="P90" s="2628"/>
      <c r="Q90" s="556"/>
    </row>
    <row r="91" spans="1:17" s="468" customFormat="1" ht="15.75" thickBot="1">
      <c r="A91" s="550"/>
      <c r="B91" s="540"/>
      <c r="C91" s="557"/>
      <c r="D91" s="557"/>
      <c r="E91" s="557"/>
      <c r="F91" s="557"/>
      <c r="G91" s="557"/>
      <c r="H91" s="559"/>
      <c r="I91" s="559"/>
      <c r="J91" s="559"/>
      <c r="K91" s="559"/>
      <c r="L91" s="559"/>
      <c r="M91" s="560"/>
      <c r="N91" s="1151"/>
      <c r="O91" s="1151"/>
      <c r="P91" s="2628"/>
      <c r="Q91" s="556"/>
    </row>
    <row r="92" spans="1:17" ht="15.75" thickTop="1">
      <c r="A92" s="531"/>
      <c r="B92" s="535">
        <f>B28</f>
        <v>111</v>
      </c>
      <c r="C92" s="551"/>
      <c r="D92" s="551"/>
      <c r="E92" s="551"/>
      <c r="F92" s="551"/>
      <c r="G92" s="580"/>
      <c r="H92" s="580"/>
      <c r="I92" s="580"/>
      <c r="J92" s="580"/>
      <c r="K92" s="581"/>
      <c r="L92" s="582"/>
      <c r="M92" s="583"/>
      <c r="N92" s="1149"/>
      <c r="O92" s="1149"/>
      <c r="P92" s="2627"/>
      <c r="Q92" s="501"/>
    </row>
    <row r="93" spans="1:17" ht="15.75" thickBot="1">
      <c r="A93" s="531"/>
      <c r="B93" s="540"/>
      <c r="C93" s="557"/>
      <c r="D93" s="533"/>
      <c r="E93" s="533"/>
      <c r="F93" s="533"/>
      <c r="G93" s="533"/>
      <c r="H93" s="533"/>
      <c r="I93" s="533"/>
      <c r="J93" s="533"/>
      <c r="K93" s="533"/>
      <c r="L93" s="533"/>
      <c r="M93" s="534"/>
      <c r="N93" s="1150"/>
      <c r="O93" s="1150"/>
      <c r="P93" s="2627"/>
      <c r="Q93" s="501"/>
    </row>
    <row r="94" spans="1:17" ht="15.75" thickTop="1">
      <c r="A94" s="531"/>
      <c r="B94" s="535">
        <f>B29</f>
        <v>111</v>
      </c>
      <c r="C94" s="551"/>
      <c r="D94" s="551"/>
      <c r="E94" s="551"/>
      <c r="F94" s="551"/>
      <c r="G94" s="580"/>
      <c r="H94" s="580"/>
      <c r="I94" s="580"/>
      <c r="J94" s="580"/>
      <c r="K94" s="581"/>
      <c r="L94" s="582"/>
      <c r="M94" s="583"/>
      <c r="N94" s="1149"/>
      <c r="O94" s="1149"/>
      <c r="P94" s="2627"/>
      <c r="Q94" s="501"/>
    </row>
    <row r="95" spans="1:17" ht="15.75" thickBot="1">
      <c r="A95" s="531"/>
      <c r="B95" s="540"/>
      <c r="C95" s="557"/>
      <c r="D95" s="557"/>
      <c r="E95" s="557"/>
      <c r="F95" s="557"/>
      <c r="G95" s="533"/>
      <c r="H95" s="533"/>
      <c r="I95" s="533"/>
      <c r="J95" s="533"/>
      <c r="K95" s="533"/>
      <c r="L95" s="533"/>
      <c r="M95" s="534"/>
      <c r="N95" s="1150"/>
      <c r="O95" s="1150"/>
      <c r="P95" s="2627"/>
      <c r="Q95" s="501"/>
    </row>
    <row r="96" spans="1:17" ht="15.75" thickTop="1">
      <c r="A96" s="531"/>
      <c r="B96" s="535">
        <f>B30</f>
        <v>111</v>
      </c>
      <c r="C96" s="551"/>
      <c r="D96" s="551"/>
      <c r="E96" s="551"/>
      <c r="F96" s="551"/>
      <c r="G96" s="580"/>
      <c r="H96" s="580"/>
      <c r="I96" s="580"/>
      <c r="J96" s="580"/>
      <c r="K96" s="581"/>
      <c r="L96" s="582"/>
      <c r="M96" s="583"/>
      <c r="N96" s="1149"/>
      <c r="O96" s="1149"/>
      <c r="P96" s="2627"/>
      <c r="Q96" s="501"/>
    </row>
    <row r="97" spans="1:17" ht="15.75" thickBot="1">
      <c r="A97" s="531"/>
      <c r="B97" s="540"/>
      <c r="C97" s="567"/>
      <c r="D97" s="567"/>
      <c r="E97" s="567"/>
      <c r="F97" s="567"/>
      <c r="G97" s="533"/>
      <c r="H97" s="533"/>
      <c r="I97" s="533"/>
      <c r="J97" s="533"/>
      <c r="K97" s="533"/>
      <c r="L97" s="533"/>
      <c r="M97" s="534"/>
      <c r="N97" s="1150"/>
      <c r="O97" s="1150"/>
      <c r="P97" s="2627"/>
      <c r="Q97" s="501"/>
    </row>
    <row r="98" spans="1:17" ht="15.75" thickTop="1">
      <c r="A98" s="531"/>
      <c r="B98" s="543">
        <f>B31</f>
        <v>111</v>
      </c>
      <c r="C98" s="584"/>
      <c r="D98" s="584"/>
      <c r="E98" s="584"/>
      <c r="F98" s="584"/>
      <c r="G98" s="584"/>
      <c r="H98" s="584"/>
      <c r="I98" s="584"/>
      <c r="J98" s="584"/>
      <c r="K98" s="585"/>
      <c r="L98" s="586"/>
      <c r="M98" s="587"/>
      <c r="N98" s="1149"/>
      <c r="O98" s="1149"/>
      <c r="P98" s="2627"/>
      <c r="Q98" s="501"/>
    </row>
    <row r="99" spans="1:17" ht="15.75" thickBot="1">
      <c r="A99" s="2633"/>
      <c r="B99" s="566"/>
      <c r="C99" s="588"/>
      <c r="D99" s="588"/>
      <c r="E99" s="588"/>
      <c r="F99" s="588"/>
      <c r="G99" s="588"/>
      <c r="H99" s="588"/>
      <c r="I99" s="588"/>
      <c r="J99" s="588"/>
      <c r="K99" s="588"/>
      <c r="L99" s="588"/>
      <c r="M99" s="589"/>
      <c r="N99" s="1150"/>
      <c r="O99" s="1150"/>
      <c r="P99" s="2627"/>
      <c r="Q99" s="501"/>
    </row>
    <row r="100" spans="1:17">
      <c r="A100" s="524" t="s">
        <v>2535</v>
      </c>
      <c r="B100" s="525" t="s">
        <v>2584</v>
      </c>
      <c r="C100" s="527"/>
      <c r="D100" s="527"/>
      <c r="E100" s="527"/>
      <c r="F100" s="527"/>
      <c r="G100" s="527"/>
      <c r="H100" s="527"/>
      <c r="I100" s="527"/>
      <c r="J100" s="527"/>
      <c r="K100" s="528"/>
      <c r="L100" s="529"/>
      <c r="M100" s="530"/>
      <c r="N100" s="1149"/>
      <c r="O100" s="1149"/>
      <c r="P100" s="2627"/>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0"/>
      <c r="O101" s="1150"/>
      <c r="P101" s="2627"/>
      <c r="Q101" s="501"/>
    </row>
    <row r="102" spans="1:17" ht="15.75" thickTop="1">
      <c r="A102" s="531"/>
      <c r="B102" s="535" t="s">
        <v>2585</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27"/>
      <c r="Q102" s="501"/>
    </row>
    <row r="103" spans="1:17" s="468" customFormat="1">
      <c r="A103" s="590"/>
      <c r="B103" s="591"/>
      <c r="C103" s="592"/>
      <c r="D103" s="592"/>
      <c r="E103" s="592"/>
      <c r="F103" s="592"/>
      <c r="G103" s="592"/>
      <c r="H103" s="592"/>
      <c r="I103" s="592"/>
      <c r="J103" s="593"/>
      <c r="K103" s="593"/>
      <c r="L103" s="594"/>
      <c r="M103" s="595"/>
      <c r="N103" s="1151"/>
      <c r="O103" s="1151"/>
      <c r="P103" s="2628"/>
      <c r="Q103" s="556"/>
    </row>
    <row r="104" spans="1:17" s="468" customFormat="1" ht="15.75" thickBot="1">
      <c r="A104" s="550"/>
      <c r="B104" s="540"/>
      <c r="C104" s="557"/>
      <c r="D104" s="533"/>
      <c r="E104" s="533"/>
      <c r="F104" s="533"/>
      <c r="G104" s="533"/>
      <c r="H104" s="533"/>
      <c r="I104" s="533"/>
      <c r="J104" s="533"/>
      <c r="K104" s="533"/>
      <c r="L104" s="533"/>
      <c r="M104" s="533"/>
      <c r="N104" s="1150"/>
      <c r="O104" s="1150"/>
      <c r="P104" s="2628"/>
      <c r="Q104" s="556"/>
    </row>
    <row r="105" spans="1:17" ht="15" thickTop="1">
      <c r="A105" s="596"/>
      <c r="B105" s="535" t="s">
        <v>2586</v>
      </c>
      <c r="C105" s="551"/>
      <c r="D105" s="551"/>
      <c r="E105" s="580"/>
      <c r="F105" s="580"/>
      <c r="G105" s="580"/>
      <c r="H105" s="580"/>
      <c r="I105" s="580"/>
      <c r="J105" s="580"/>
      <c r="K105" s="581"/>
      <c r="L105" s="582"/>
      <c r="M105" s="583"/>
      <c r="N105" s="1149"/>
      <c r="O105" s="1149"/>
      <c r="P105" s="2627"/>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0"/>
      <c r="O106" s="1150"/>
      <c r="P106" s="2627"/>
      <c r="Q106" s="501"/>
    </row>
    <row r="107" spans="1:17" ht="15" thickTop="1">
      <c r="A107" s="596"/>
      <c r="B107" s="535" t="s">
        <v>2587</v>
      </c>
      <c r="C107" s="580"/>
      <c r="D107" s="580"/>
      <c r="E107" s="580"/>
      <c r="F107" s="580"/>
      <c r="G107" s="580"/>
      <c r="H107" s="580"/>
      <c r="I107" s="580"/>
      <c r="J107" s="580"/>
      <c r="K107" s="581"/>
      <c r="L107" s="582"/>
      <c r="M107" s="583"/>
      <c r="N107" s="1149"/>
      <c r="O107" s="1149"/>
      <c r="P107" s="2627"/>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0"/>
      <c r="O108" s="1150"/>
      <c r="P108" s="2627"/>
      <c r="Q108" s="501"/>
    </row>
    <row r="109" spans="1:17" ht="15" thickTop="1">
      <c r="A109" s="596"/>
      <c r="B109" s="535" t="s">
        <v>2588</v>
      </c>
      <c r="C109" s="551"/>
      <c r="D109" s="551"/>
      <c r="E109" s="551"/>
      <c r="F109" s="580"/>
      <c r="G109" s="580"/>
      <c r="H109" s="580"/>
      <c r="I109" s="580"/>
      <c r="J109" s="580"/>
      <c r="K109" s="581"/>
      <c r="L109" s="582"/>
      <c r="M109" s="583"/>
      <c r="N109" s="1149"/>
      <c r="O109" s="1149"/>
      <c r="P109" s="2627"/>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0"/>
      <c r="O110" s="1150"/>
      <c r="P110" s="2627"/>
      <c r="Q110" s="501"/>
    </row>
    <row r="111" spans="1:17" s="468" customFormat="1" ht="15" thickTop="1">
      <c r="A111" s="590"/>
      <c r="B111" s="535" t="s">
        <v>1970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8"/>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1"/>
      <c r="O113" s="1151"/>
      <c r="P113" s="2628"/>
      <c r="Q113" s="556"/>
    </row>
    <row r="114" spans="1:17" ht="15" thickTop="1">
      <c r="A114" s="596"/>
      <c r="B114" s="535" t="s">
        <v>2589</v>
      </c>
      <c r="C114" s="551"/>
      <c r="D114" s="551"/>
      <c r="E114" s="580"/>
      <c r="F114" s="580"/>
      <c r="G114" s="580"/>
      <c r="H114" s="580"/>
      <c r="I114" s="580"/>
      <c r="J114" s="580"/>
      <c r="K114" s="581"/>
      <c r="L114" s="582"/>
      <c r="M114" s="583"/>
      <c r="N114" s="1149"/>
      <c r="O114" s="1149"/>
      <c r="P114" s="2627"/>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0"/>
      <c r="O115" s="1150"/>
      <c r="P115" s="2627"/>
      <c r="Q115" s="501"/>
    </row>
    <row r="116" spans="1:17" ht="15" thickTop="1">
      <c r="A116" s="596"/>
      <c r="B116" s="535" t="s">
        <v>2590</v>
      </c>
      <c r="C116" s="551"/>
      <c r="D116" s="551"/>
      <c r="E116" s="551"/>
      <c r="F116" s="551"/>
      <c r="G116" s="551"/>
      <c r="H116" s="580"/>
      <c r="I116" s="580"/>
      <c r="J116" s="580"/>
      <c r="K116" s="581"/>
      <c r="L116" s="582"/>
      <c r="M116" s="583"/>
      <c r="N116" s="1149"/>
      <c r="O116" s="1149"/>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7"/>
      <c r="Q117" s="501"/>
    </row>
    <row r="118" spans="1:17" ht="15" thickTop="1">
      <c r="A118" s="596"/>
      <c r="B118" s="535" t="s">
        <v>2591</v>
      </c>
      <c r="C118" s="580"/>
      <c r="D118" s="580"/>
      <c r="E118" s="580"/>
      <c r="F118" s="580"/>
      <c r="G118" s="580"/>
      <c r="H118" s="580"/>
      <c r="I118" s="580"/>
      <c r="J118" s="580"/>
      <c r="K118" s="581"/>
      <c r="L118" s="582"/>
      <c r="M118" s="583"/>
      <c r="N118" s="1149"/>
      <c r="O118" s="1149"/>
      <c r="P118" s="2627"/>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27"/>
      <c r="Q119" s="501"/>
    </row>
    <row r="120" spans="1:17" s="468" customFormat="1" ht="28.5" thickTop="1">
      <c r="A120" s="590"/>
      <c r="B120" s="535" t="s">
        <v>2546</v>
      </c>
      <c r="C120" s="551"/>
      <c r="D120" s="551"/>
      <c r="E120" s="551"/>
      <c r="F120" s="551"/>
      <c r="G120" s="551"/>
      <c r="H120" s="551"/>
      <c r="I120" s="551"/>
      <c r="J120" s="551"/>
      <c r="K120" s="551"/>
      <c r="L120" s="577"/>
      <c r="M120" s="578"/>
      <c r="N120" s="1151"/>
      <c r="O120" s="1151"/>
      <c r="P120" s="2628"/>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8"/>
      <c r="Q121" s="556"/>
    </row>
    <row r="122" spans="1:17" ht="15" thickTop="1">
      <c r="A122" s="596"/>
      <c r="B122" s="535" t="s">
        <v>2592</v>
      </c>
      <c r="C122" s="551"/>
      <c r="D122" s="551"/>
      <c r="E122" s="551"/>
      <c r="F122" s="580"/>
      <c r="G122" s="580"/>
      <c r="H122" s="580"/>
      <c r="I122" s="580"/>
      <c r="J122" s="580"/>
      <c r="K122" s="581"/>
      <c r="L122" s="582"/>
      <c r="M122" s="583"/>
      <c r="N122" s="1149"/>
      <c r="O122" s="1149"/>
      <c r="P122" s="2627"/>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0"/>
      <c r="O123" s="1150"/>
      <c r="P123" s="2627"/>
      <c r="Q123" s="501"/>
    </row>
    <row r="124" spans="1:17" ht="15" thickTop="1">
      <c r="A124" s="596"/>
      <c r="B124" s="535" t="s">
        <v>2593</v>
      </c>
      <c r="C124" s="575" t="s">
        <v>2569</v>
      </c>
      <c r="D124" s="575" t="s">
        <v>2570</v>
      </c>
      <c r="E124" s="575" t="s">
        <v>2571</v>
      </c>
      <c r="F124" s="575" t="s">
        <v>2572</v>
      </c>
      <c r="G124" s="575" t="s">
        <v>2573</v>
      </c>
      <c r="H124" s="536"/>
      <c r="I124" s="536"/>
      <c r="J124" s="536"/>
      <c r="K124" s="537"/>
      <c r="L124" s="538"/>
      <c r="M124" s="539"/>
      <c r="N124" s="1149"/>
      <c r="O124" s="1149"/>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7"/>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8"/>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8"/>
      <c r="Q127" s="556"/>
    </row>
    <row r="128" spans="1:17" ht="15" thickTop="1">
      <c r="A128" s="596"/>
      <c r="B128" s="535">
        <f>B45</f>
        <v>111</v>
      </c>
      <c r="C128" s="551"/>
      <c r="D128" s="551"/>
      <c r="E128" s="551"/>
      <c r="F128" s="551"/>
      <c r="G128" s="580"/>
      <c r="H128" s="580"/>
      <c r="I128" s="580"/>
      <c r="J128" s="580"/>
      <c r="K128" s="581"/>
      <c r="L128" s="582"/>
      <c r="M128" s="583"/>
      <c r="N128" s="1149"/>
      <c r="O128" s="1149"/>
      <c r="P128" s="2627"/>
      <c r="Q128" s="501"/>
    </row>
    <row r="129" spans="1:17" ht="15.75" thickBot="1">
      <c r="A129" s="531"/>
      <c r="B129" s="540"/>
      <c r="C129" s="557"/>
      <c r="D129" s="557"/>
      <c r="E129" s="557"/>
      <c r="F129" s="557"/>
      <c r="G129" s="533"/>
      <c r="H129" s="533"/>
      <c r="I129" s="533"/>
      <c r="J129" s="533"/>
      <c r="K129" s="533"/>
      <c r="L129" s="533"/>
      <c r="M129" s="534"/>
      <c r="N129" s="1150"/>
      <c r="O129" s="1150"/>
      <c r="P129" s="2627"/>
      <c r="Q129" s="501"/>
    </row>
    <row r="130" spans="1:17" ht="15" thickTop="1">
      <c r="A130" s="596"/>
      <c r="B130" s="543">
        <f>B46</f>
        <v>111</v>
      </c>
      <c r="C130" s="551"/>
      <c r="D130" s="551"/>
      <c r="E130" s="551"/>
      <c r="F130" s="551"/>
      <c r="G130" s="584"/>
      <c r="H130" s="584"/>
      <c r="I130" s="584"/>
      <c r="J130" s="584"/>
      <c r="K130" s="520"/>
      <c r="L130" s="521"/>
      <c r="M130" s="587"/>
      <c r="N130" s="1149"/>
      <c r="O130" s="1149"/>
      <c r="P130" s="2627"/>
      <c r="Q130" s="501"/>
    </row>
    <row r="131" spans="1:17" ht="15.75" thickBot="1">
      <c r="A131" s="2633"/>
      <c r="B131" s="566"/>
      <c r="C131" s="567"/>
      <c r="D131" s="567"/>
      <c r="E131" s="567"/>
      <c r="F131" s="567"/>
      <c r="G131" s="588"/>
      <c r="H131" s="588"/>
      <c r="I131" s="588"/>
      <c r="J131" s="588"/>
      <c r="K131" s="588"/>
      <c r="L131" s="588"/>
      <c r="M131" s="589"/>
      <c r="N131" s="1150"/>
      <c r="O131" s="1150"/>
      <c r="P131" s="2627"/>
      <c r="Q131" s="501"/>
    </row>
    <row r="136" spans="1:17" ht="15" thickBot="1">
      <c r="B136" s="2634" t="s">
        <v>2594</v>
      </c>
    </row>
    <row r="137" spans="1:17" ht="15">
      <c r="B137" s="2635" t="s">
        <v>2595</v>
      </c>
      <c r="C137" s="2636"/>
      <c r="D137" s="2636"/>
      <c r="E137" s="2636"/>
      <c r="F137" s="2636"/>
      <c r="G137" s="2637"/>
      <c r="H137" s="2638"/>
      <c r="I137" s="2639" t="s">
        <v>2596</v>
      </c>
      <c r="J137" s="2636"/>
      <c r="K137" s="2640"/>
    </row>
    <row r="138" spans="1:17" ht="15">
      <c r="B138" s="2641"/>
      <c r="C138" s="143" t="s">
        <v>2597</v>
      </c>
      <c r="D138" s="143" t="s">
        <v>2598</v>
      </c>
      <c r="E138" s="2642" t="s">
        <v>2599</v>
      </c>
      <c r="F138" s="2643" t="s">
        <v>2600</v>
      </c>
      <c r="G138" s="143" t="s">
        <v>2598</v>
      </c>
      <c r="H138" s="144" t="s">
        <v>2599</v>
      </c>
      <c r="I138" s="2644"/>
      <c r="J138" s="143" t="s">
        <v>2601</v>
      </c>
      <c r="K138" s="144" t="s">
        <v>2602</v>
      </c>
    </row>
    <row r="139" spans="1:17" ht="15">
      <c r="B139" s="1081">
        <v>6</v>
      </c>
      <c r="C139" s="1082">
        <v>96</v>
      </c>
      <c r="D139" s="2645" t="s">
        <v>2603</v>
      </c>
      <c r="E139" s="1083">
        <v>100</v>
      </c>
      <c r="F139" s="1084">
        <v>102.5</v>
      </c>
      <c r="G139" s="2645" t="s">
        <v>2603</v>
      </c>
      <c r="H139" s="1085">
        <v>105</v>
      </c>
      <c r="I139" s="2646" t="s">
        <v>2604</v>
      </c>
      <c r="J139" s="1082">
        <v>20</v>
      </c>
      <c r="K139" s="1086">
        <f>C145/(J139-2)</f>
        <v>4.0555555555555553E-3</v>
      </c>
    </row>
    <row r="140" spans="1:17" ht="15">
      <c r="B140" s="1087">
        <v>5</v>
      </c>
      <c r="C140" s="1088">
        <v>100</v>
      </c>
      <c r="D140" s="1088"/>
      <c r="E140" s="1089"/>
      <c r="F140" s="1090">
        <v>102</v>
      </c>
      <c r="G140" s="1088"/>
      <c r="H140" s="1091"/>
      <c r="I140" s="2647" t="s">
        <v>2605</v>
      </c>
      <c r="J140" s="312">
        <f>ROUNDUP((J139-1)/2,0)</f>
        <v>10</v>
      </c>
      <c r="K140" s="1092">
        <v>100</v>
      </c>
    </row>
    <row r="141" spans="1:17" ht="15">
      <c r="B141" s="1087">
        <v>4</v>
      </c>
      <c r="C141" s="1088">
        <v>102</v>
      </c>
      <c r="D141" s="1088"/>
      <c r="E141" s="1089"/>
      <c r="F141" s="1090">
        <v>101.5</v>
      </c>
      <c r="G141" s="1088"/>
      <c r="H141" s="1091"/>
      <c r="I141" s="2647" t="s">
        <v>2606</v>
      </c>
      <c r="J141" s="312">
        <v>1</v>
      </c>
      <c r="K141" s="1093">
        <f>ROUND(100+(J141-J140)*K139*100,1)</f>
        <v>96.4</v>
      </c>
    </row>
    <row r="142" spans="1:17" ht="15">
      <c r="B142" s="1087">
        <v>3</v>
      </c>
      <c r="C142" s="1088">
        <v>103</v>
      </c>
      <c r="D142" s="1088"/>
      <c r="E142" s="1089"/>
      <c r="F142" s="1090">
        <v>101</v>
      </c>
      <c r="G142" s="1088"/>
      <c r="H142" s="1091"/>
      <c r="I142" s="2647" t="s">
        <v>2607</v>
      </c>
      <c r="J142" s="312">
        <f>J139</f>
        <v>20</v>
      </c>
      <c r="K142" s="1094">
        <v>95</v>
      </c>
    </row>
    <row r="143" spans="1:17" ht="15">
      <c r="B143" s="1087">
        <v>2</v>
      </c>
      <c r="C143" s="1088">
        <v>100</v>
      </c>
      <c r="D143" s="1088"/>
      <c r="E143" s="1089"/>
      <c r="F143" s="1090">
        <v>100.5</v>
      </c>
      <c r="G143" s="1088"/>
      <c r="H143" s="1091"/>
      <c r="I143" s="2647" t="s">
        <v>2608</v>
      </c>
      <c r="J143" s="1088">
        <v>15</v>
      </c>
      <c r="K143" s="1093">
        <f>ROUND(100+(J143-J140)*K139*100,1)</f>
        <v>102</v>
      </c>
    </row>
    <row r="144" spans="1:17" ht="15">
      <c r="B144" s="1087">
        <v>1</v>
      </c>
      <c r="C144" s="1088">
        <v>98</v>
      </c>
      <c r="D144" s="2648" t="s">
        <v>2609</v>
      </c>
      <c r="E144" s="1089">
        <v>102</v>
      </c>
      <c r="F144" s="1095">
        <v>100</v>
      </c>
      <c r="G144" s="2648" t="s">
        <v>2609</v>
      </c>
      <c r="H144" s="1091">
        <v>105</v>
      </c>
      <c r="I144" s="2647" t="s">
        <v>2608</v>
      </c>
      <c r="J144" s="1088">
        <v>18</v>
      </c>
      <c r="K144" s="1093">
        <f>ROUND(100+(J144-J140)*K139*100,1)</f>
        <v>103.2</v>
      </c>
    </row>
    <row r="145" spans="2:11" ht="15.75" thickBot="1">
      <c r="B145" s="2649" t="s">
        <v>2610</v>
      </c>
      <c r="C145" s="1096">
        <f>ROUND(MAX(C139:C144)/MIN(C139:C144)-1,3)</f>
        <v>7.2999999999999995E-2</v>
      </c>
      <c r="D145" s="1097"/>
      <c r="E145" s="1097"/>
      <c r="F145" s="2650" t="s">
        <v>2611</v>
      </c>
      <c r="G145" s="2651"/>
      <c r="H145" s="2652"/>
      <c r="I145" s="2653" t="s">
        <v>2608</v>
      </c>
      <c r="J145" s="1098">
        <v>8</v>
      </c>
      <c r="K145" s="1099">
        <f>ROUND(100+(J145-J140)*K139*100,1)</f>
        <v>99.2</v>
      </c>
    </row>
    <row r="147" spans="2:11">
      <c r="B147" s="2634" t="s">
        <v>2612</v>
      </c>
    </row>
    <row r="148" spans="2:11">
      <c r="B148" s="2634" t="s">
        <v>2613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579" t="s">
        <v>2614</v>
      </c>
      <c r="C1" s="1631" t="s">
        <v>2502</v>
      </c>
      <c r="D1" s="1618"/>
      <c r="E1" s="2654"/>
      <c r="F1" s="2581"/>
      <c r="G1" s="1628" t="s">
        <v>2615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5" customFormat="1" ht="28.5" customHeight="1" thickTop="1">
      <c r="A2" s="1614" t="s">
        <v>2302</v>
      </c>
      <c r="B2" s="1415" t="e">
        <f ca="1">IF(C2="——",ROUND(C49*D3/10000,0),ROUND(C49*D3/10000,0)-D2)</f>
        <v>#DIV/0!</v>
      </c>
      <c r="C2" s="2583"/>
      <c r="D2" s="1362" t="e">
        <f ca="1">SUMIF(INDIRECT("'"&amp;F2&amp;"'"&amp;"!A:A"),"承租人权益价值",INDIRECT("'"&amp;F2&amp;"'"&amp;"!c:c"))</f>
        <v>#REF!</v>
      </c>
      <c r="E2" s="2584" t="s">
        <v>2303</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5" customFormat="1" ht="28.5" customHeight="1" thickBot="1">
      <c r="A3" s="244" t="s">
        <v>2304</v>
      </c>
      <c r="B3" s="606" t="e">
        <f ca="1">IF(C2="——",C49,ROUND(B2*10000/D3,0))</f>
        <v>#DIV/0!</v>
      </c>
      <c r="C3" s="397" t="s">
        <v>2616</v>
      </c>
      <c r="D3" s="396">
        <f>IF(D1="",'数据-汇总表'!E3,SUMIF('数据-汇总表'!$C19:$C33,D1,'数据-汇总表'!$E19:$E33))</f>
        <v>46024.009999999995</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398" t="s">
        <v>2617</v>
      </c>
      <c r="B4" s="399"/>
      <c r="C4" s="3220" t="s">
        <v>2618</v>
      </c>
      <c r="D4" s="3221"/>
      <c r="E4" s="3222" t="s">
        <v>2619</v>
      </c>
      <c r="F4" s="3223"/>
      <c r="G4" s="3220" t="s">
        <v>2620</v>
      </c>
      <c r="H4" s="3221"/>
      <c r="I4" s="3220" t="s">
        <v>2621</v>
      </c>
      <c r="J4" s="3221"/>
      <c r="K4" s="607" t="s">
        <v>2622</v>
      </c>
      <c r="L4" s="1127"/>
      <c r="M4" s="1128"/>
      <c r="N4" s="1128"/>
      <c r="O4" s="1128"/>
      <c r="P4" s="3224" t="s">
        <v>2623</v>
      </c>
      <c r="Q4" s="3225"/>
      <c r="R4" s="3230" t="s">
        <v>2619</v>
      </c>
      <c r="S4" s="3231"/>
      <c r="T4" s="3230" t="s">
        <v>2620</v>
      </c>
      <c r="U4" s="3231"/>
      <c r="V4" s="3236" t="s">
        <v>2621</v>
      </c>
      <c r="W4" s="3236"/>
      <c r="X4" s="1810"/>
      <c r="Y4" s="3230" t="s">
        <v>2623</v>
      </c>
      <c r="Z4" s="3231"/>
      <c r="AA4" s="3217" t="s">
        <v>2619</v>
      </c>
      <c r="AB4" s="3236" t="s">
        <v>2620</v>
      </c>
      <c r="AC4" s="3217" t="s">
        <v>2621</v>
      </c>
    </row>
    <row r="5" spans="1:29" ht="15">
      <c r="A5" s="401"/>
      <c r="B5" s="402"/>
      <c r="C5" s="3239" t="s">
        <v>2514</v>
      </c>
      <c r="D5" s="3240"/>
      <c r="E5" s="3246" t="s">
        <v>2515</v>
      </c>
      <c r="F5" s="3247"/>
      <c r="G5" s="3239" t="s">
        <v>2516</v>
      </c>
      <c r="H5" s="3240"/>
      <c r="I5" s="3239" t="s">
        <v>2517</v>
      </c>
      <c r="J5" s="3240"/>
      <c r="K5" s="607"/>
      <c r="L5" s="1127"/>
      <c r="M5" s="1128"/>
      <c r="N5" s="1128"/>
      <c r="O5" s="1128"/>
      <c r="P5" s="3226"/>
      <c r="Q5" s="3227"/>
      <c r="R5" s="3232"/>
      <c r="S5" s="3233"/>
      <c r="T5" s="3232"/>
      <c r="U5" s="3233"/>
      <c r="V5" s="3236"/>
      <c r="W5" s="3236"/>
      <c r="X5" s="1810"/>
      <c r="Y5" s="3232"/>
      <c r="Z5" s="3233"/>
      <c r="AA5" s="3218"/>
      <c r="AB5" s="3236"/>
      <c r="AC5" s="3218"/>
    </row>
    <row r="6" spans="1:29" ht="15.75" thickBot="1">
      <c r="A6" s="403"/>
      <c r="B6" s="404"/>
      <c r="C6" s="3237" t="s">
        <v>2518</v>
      </c>
      <c r="D6" s="3238"/>
      <c r="E6" s="3244" t="s">
        <v>2518</v>
      </c>
      <c r="F6" s="3245"/>
      <c r="G6" s="3237" t="s">
        <v>2518</v>
      </c>
      <c r="H6" s="3238"/>
      <c r="I6" s="3237" t="s">
        <v>2518</v>
      </c>
      <c r="J6" s="3238"/>
      <c r="K6" s="607" t="s">
        <v>2519</v>
      </c>
      <c r="L6" s="1127"/>
      <c r="M6" s="1128"/>
      <c r="N6" s="1128"/>
      <c r="O6" s="1128"/>
      <c r="P6" s="3228"/>
      <c r="Q6" s="3229"/>
      <c r="R6" s="3232"/>
      <c r="S6" s="3233"/>
      <c r="T6" s="3234"/>
      <c r="U6" s="3235"/>
      <c r="V6" s="3236"/>
      <c r="W6" s="3236"/>
      <c r="X6" s="1810"/>
      <c r="Y6" s="3234"/>
      <c r="Z6" s="3235"/>
      <c r="AA6" s="3219"/>
      <c r="AB6" s="3236"/>
      <c r="AC6" s="3219"/>
    </row>
    <row r="7" spans="1:29" s="114" customFormat="1" ht="15.75" thickBot="1">
      <c r="A7" s="405" t="s">
        <v>2520</v>
      </c>
      <c r="B7" s="406"/>
      <c r="C7" s="407">
        <f>'数据-取费表'!B2</f>
        <v>43832</v>
      </c>
      <c r="D7" s="408">
        <v>100</v>
      </c>
      <c r="E7" s="409"/>
      <c r="F7" s="410">
        <f>SUMIF(58:58,YEAR(E7)&amp;"-"&amp;MONTH(E7),59:59)</f>
        <v>0</v>
      </c>
      <c r="G7" s="409"/>
      <c r="H7" s="408">
        <f>SUMIF(58:58,YEAR(G7)&amp;"-"&amp;MONTH(G7),59:59)</f>
        <v>0</v>
      </c>
      <c r="I7" s="409"/>
      <c r="J7" s="408">
        <f>SUMIF(58:58,YEAR(I7)&amp;"-"&amp;MONTH(I7),59:59)</f>
        <v>0</v>
      </c>
      <c r="K7" s="608"/>
      <c r="L7" s="1129"/>
      <c r="M7" s="1130"/>
      <c r="N7" s="1130"/>
      <c r="O7" s="1130"/>
      <c r="P7" s="3241" t="s">
        <v>2521</v>
      </c>
      <c r="Q7" s="3243"/>
      <c r="R7" s="767" t="s">
        <v>14</v>
      </c>
      <c r="S7" s="768">
        <f t="shared" ref="S7:S15" si="0">F7</f>
        <v>0</v>
      </c>
      <c r="T7" s="767" t="s">
        <v>14</v>
      </c>
      <c r="U7" s="768">
        <f t="shared" ref="U7:U15" si="1">H7</f>
        <v>0</v>
      </c>
      <c r="V7" s="767" t="s">
        <v>14</v>
      </c>
      <c r="W7" s="768">
        <f t="shared" ref="W7:W15" si="2">J7</f>
        <v>0</v>
      </c>
      <c r="X7" s="769"/>
      <c r="Y7" s="3241" t="s">
        <v>2521</v>
      </c>
      <c r="Z7" s="3242"/>
      <c r="AA7" s="770" t="e">
        <f>D7/F7</f>
        <v>#DIV/0!</v>
      </c>
      <c r="AB7" s="770" t="e">
        <f>D7/H7</f>
        <v>#DIV/0!</v>
      </c>
      <c r="AC7" s="770" t="e">
        <f>D7/J7</f>
        <v>#DIV/0!</v>
      </c>
    </row>
    <row r="8" spans="1:29" s="114" customFormat="1" ht="15.75" thickBot="1">
      <c r="A8" s="405" t="s">
        <v>2522</v>
      </c>
      <c r="B8" s="406"/>
      <c r="C8" s="411" t="s">
        <v>2624</v>
      </c>
      <c r="D8" s="408">
        <v>100</v>
      </c>
      <c r="E8" s="411"/>
      <c r="F8" s="410">
        <f>SUMIF(61:61,E8,62:62)-SUMIF(61:61,C8,62:62)+100</f>
        <v>0</v>
      </c>
      <c r="G8" s="411"/>
      <c r="H8" s="408">
        <f>SUMIF(61:61,G8,62:62)-SUMIF(61:61,C8,62:62)+100</f>
        <v>0</v>
      </c>
      <c r="I8" s="411"/>
      <c r="J8" s="408">
        <f>SUMIF(61:61,I8,62:62)-SUMIF(61:61,C8,62:62)+100</f>
        <v>0</v>
      </c>
      <c r="K8" s="608"/>
      <c r="L8" s="1129"/>
      <c r="M8" s="1130"/>
      <c r="N8" s="1130"/>
      <c r="O8" s="1130"/>
      <c r="P8" s="3241" t="s">
        <v>2524</v>
      </c>
      <c r="Q8" s="3242"/>
      <c r="R8" s="767" t="s">
        <v>14</v>
      </c>
      <c r="S8" s="768">
        <f t="shared" si="0"/>
        <v>0</v>
      </c>
      <c r="T8" s="767" t="s">
        <v>14</v>
      </c>
      <c r="U8" s="768">
        <f t="shared" si="1"/>
        <v>0</v>
      </c>
      <c r="V8" s="767" t="s">
        <v>14</v>
      </c>
      <c r="W8" s="768">
        <f t="shared" si="2"/>
        <v>0</v>
      </c>
      <c r="X8" s="769"/>
      <c r="Y8" s="3241" t="s">
        <v>2524</v>
      </c>
      <c r="Z8" s="3242"/>
      <c r="AA8" s="770" t="e">
        <f t="shared" ref="AA8:AA46" si="3">D8/F8</f>
        <v>#DIV/0!</v>
      </c>
      <c r="AB8" s="770" t="e">
        <f t="shared" ref="AB8:AB46" si="4">D8/H8</f>
        <v>#DIV/0!</v>
      </c>
      <c r="AC8" s="770" t="e">
        <f t="shared" ref="AC8:AC46" si="5">D8/J8</f>
        <v>#DIV/0!</v>
      </c>
    </row>
    <row r="9" spans="1:29" s="114" customFormat="1">
      <c r="A9" s="412" t="s">
        <v>2525</v>
      </c>
      <c r="B9" s="68" t="s">
        <v>2526</v>
      </c>
      <c r="C9" s="413"/>
      <c r="D9" s="132">
        <v>100</v>
      </c>
      <c r="E9" s="414"/>
      <c r="F9" s="415">
        <f>SUMIF(63:63,E9,64:64)-SUMIF(63:63,C9,64:64)+100</f>
        <v>100</v>
      </c>
      <c r="G9" s="414"/>
      <c r="H9" s="132">
        <f>SUMIF(63:63,G9,64:64)-SUMIF(63:63,C9,64:64)+100</f>
        <v>100</v>
      </c>
      <c r="I9" s="414"/>
      <c r="J9" s="132">
        <f>SUMIF(63:63,I9,64:64)-SUMIF(63:63,C9,64:64)+100</f>
        <v>100</v>
      </c>
      <c r="K9" s="608"/>
      <c r="L9" s="1129"/>
      <c r="M9" s="1130"/>
      <c r="N9" s="1130"/>
      <c r="O9" s="1130"/>
      <c r="P9" s="3216" t="s">
        <v>2527</v>
      </c>
      <c r="Q9" s="1792" t="str">
        <f t="shared" ref="Q9:Q15" si="6">B9</f>
        <v>用途</v>
      </c>
      <c r="R9" s="767" t="s">
        <v>14</v>
      </c>
      <c r="S9" s="768">
        <f t="shared" si="0"/>
        <v>100</v>
      </c>
      <c r="T9" s="767" t="s">
        <v>14</v>
      </c>
      <c r="U9" s="768">
        <f t="shared" si="1"/>
        <v>100</v>
      </c>
      <c r="V9" s="767" t="s">
        <v>14</v>
      </c>
      <c r="W9" s="768">
        <f t="shared" si="2"/>
        <v>100</v>
      </c>
      <c r="X9" s="769"/>
      <c r="Y9" s="3005" t="s">
        <v>2528</v>
      </c>
      <c r="Z9" s="52" t="str">
        <f t="shared" ref="Z9:Z15" si="7">Q9</f>
        <v>用途</v>
      </c>
      <c r="AA9" s="770">
        <f t="shared" si="3"/>
        <v>1</v>
      </c>
      <c r="AB9" s="770">
        <f t="shared" si="4"/>
        <v>1</v>
      </c>
      <c r="AC9" s="770">
        <f t="shared" si="5"/>
        <v>1</v>
      </c>
    </row>
    <row r="10" spans="1:29" s="424" customFormat="1" ht="27">
      <c r="A10" s="418"/>
      <c r="B10" s="419" t="s">
        <v>2529</v>
      </c>
      <c r="C10" s="420"/>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216"/>
      <c r="Q10" s="1792" t="str">
        <f t="shared" si="6"/>
        <v>土地使用年限（年）</v>
      </c>
      <c r="R10" s="767" t="s">
        <v>14</v>
      </c>
      <c r="S10" s="768">
        <f t="shared" si="0"/>
        <v>100</v>
      </c>
      <c r="T10" s="767" t="s">
        <v>14</v>
      </c>
      <c r="U10" s="768">
        <f t="shared" si="1"/>
        <v>100</v>
      </c>
      <c r="V10" s="767" t="s">
        <v>14</v>
      </c>
      <c r="W10" s="768">
        <f t="shared" si="2"/>
        <v>100</v>
      </c>
      <c r="X10" s="769"/>
      <c r="Y10" s="3005"/>
      <c r="Z10" s="52" t="str">
        <f t="shared" si="7"/>
        <v>土地使用年限（年）</v>
      </c>
      <c r="AA10" s="770">
        <f t="shared" si="3"/>
        <v>1</v>
      </c>
      <c r="AB10" s="770">
        <f t="shared" si="4"/>
        <v>1</v>
      </c>
      <c r="AC10" s="770">
        <f t="shared" si="5"/>
        <v>1</v>
      </c>
    </row>
    <row r="11" spans="1:29" ht="15">
      <c r="A11" s="425"/>
      <c r="B11" s="419" t="s">
        <v>2530</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5"/>
      <c r="M11" s="1128"/>
      <c r="N11" s="1128"/>
      <c r="O11" s="1128"/>
      <c r="P11" s="3216"/>
      <c r="Q11" s="1792" t="str">
        <f t="shared" si="6"/>
        <v>容积率</v>
      </c>
      <c r="R11" s="767" t="s">
        <v>14</v>
      </c>
      <c r="S11" s="768" t="e">
        <f t="shared" si="0"/>
        <v>#N/A</v>
      </c>
      <c r="T11" s="767" t="s">
        <v>14</v>
      </c>
      <c r="U11" s="768" t="e">
        <f t="shared" si="1"/>
        <v>#N/A</v>
      </c>
      <c r="V11" s="767" t="s">
        <v>14</v>
      </c>
      <c r="W11" s="768" t="e">
        <f t="shared" si="2"/>
        <v>#N/A</v>
      </c>
      <c r="X11" s="769"/>
      <c r="Y11" s="3005"/>
      <c r="Z11" s="52" t="str">
        <f t="shared" si="7"/>
        <v>容积率</v>
      </c>
      <c r="AA11" s="770" t="e">
        <f t="shared" si="3"/>
        <v>#N/A</v>
      </c>
      <c r="AB11" s="770" t="e">
        <f t="shared" si="4"/>
        <v>#N/A</v>
      </c>
      <c r="AC11" s="770" t="e">
        <f t="shared" si="5"/>
        <v>#N/A</v>
      </c>
    </row>
    <row r="12" spans="1:29" s="114"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216"/>
      <c r="Q12" s="1792">
        <f t="shared" si="6"/>
        <v>111</v>
      </c>
      <c r="R12" s="767" t="s">
        <v>14</v>
      </c>
      <c r="S12" s="768">
        <f t="shared" si="0"/>
        <v>100</v>
      </c>
      <c r="T12" s="767" t="s">
        <v>14</v>
      </c>
      <c r="U12" s="768">
        <f t="shared" si="1"/>
        <v>100</v>
      </c>
      <c r="V12" s="767" t="s">
        <v>14</v>
      </c>
      <c r="W12" s="768">
        <f t="shared" si="2"/>
        <v>100</v>
      </c>
      <c r="X12" s="769"/>
      <c r="Y12" s="3005"/>
      <c r="Z12" s="52">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216"/>
      <c r="Q13" s="1792">
        <f t="shared" si="6"/>
        <v>111</v>
      </c>
      <c r="R13" s="767" t="s">
        <v>14</v>
      </c>
      <c r="S13" s="768">
        <f t="shared" si="0"/>
        <v>100</v>
      </c>
      <c r="T13" s="767" t="s">
        <v>14</v>
      </c>
      <c r="U13" s="768">
        <f t="shared" si="1"/>
        <v>100</v>
      </c>
      <c r="V13" s="767" t="s">
        <v>14</v>
      </c>
      <c r="W13" s="768">
        <f t="shared" si="2"/>
        <v>100</v>
      </c>
      <c r="X13" s="769"/>
      <c r="Y13" s="3005"/>
      <c r="Z13" s="52">
        <f t="shared" si="7"/>
        <v>111</v>
      </c>
      <c r="AA13" s="770">
        <f t="shared" si="3"/>
        <v>1</v>
      </c>
      <c r="AB13" s="770">
        <f t="shared" si="4"/>
        <v>1</v>
      </c>
      <c r="AC13" s="770">
        <f t="shared" si="5"/>
        <v>1</v>
      </c>
    </row>
    <row r="14" spans="1:29" ht="15.75"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216"/>
      <c r="Q14" s="1792">
        <f t="shared" si="6"/>
        <v>111</v>
      </c>
      <c r="R14" s="767" t="s">
        <v>14</v>
      </c>
      <c r="S14" s="768">
        <f t="shared" si="0"/>
        <v>100</v>
      </c>
      <c r="T14" s="767" t="s">
        <v>14</v>
      </c>
      <c r="U14" s="768">
        <f t="shared" si="1"/>
        <v>100</v>
      </c>
      <c r="V14" s="767" t="s">
        <v>14</v>
      </c>
      <c r="W14" s="768">
        <f t="shared" si="2"/>
        <v>100</v>
      </c>
      <c r="X14" s="769"/>
      <c r="Y14" s="3005"/>
      <c r="Z14" s="52">
        <f t="shared" si="7"/>
        <v>111</v>
      </c>
      <c r="AA14" s="770">
        <f t="shared" si="3"/>
        <v>1</v>
      </c>
      <c r="AB14" s="770">
        <f t="shared" si="4"/>
        <v>1</v>
      </c>
      <c r="AC14" s="770">
        <f t="shared" si="5"/>
        <v>1</v>
      </c>
    </row>
    <row r="15" spans="1:29" ht="71.25">
      <c r="A15" s="437" t="s">
        <v>2531</v>
      </c>
      <c r="B15" s="66" t="s">
        <v>2625</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7"/>
      <c r="M15" s="1128"/>
      <c r="N15" s="1128"/>
      <c r="O15" s="1128"/>
      <c r="P15" s="3214" t="s">
        <v>2532</v>
      </c>
      <c r="Q15" s="1807" t="str">
        <f t="shared" si="6"/>
        <v>商业繁华度</v>
      </c>
      <c r="R15" s="771" t="s">
        <v>14</v>
      </c>
      <c r="S15" s="772">
        <f t="shared" si="0"/>
        <v>100</v>
      </c>
      <c r="T15" s="771" t="s">
        <v>14</v>
      </c>
      <c r="U15" s="772">
        <f t="shared" si="1"/>
        <v>100</v>
      </c>
      <c r="V15" s="771" t="s">
        <v>14</v>
      </c>
      <c r="W15" s="772">
        <f t="shared" si="2"/>
        <v>100</v>
      </c>
      <c r="X15" s="1810"/>
      <c r="Y15" s="3207" t="s">
        <v>2532</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28"/>
      <c r="P16" s="3215"/>
      <c r="Q16" s="1807"/>
      <c r="R16" s="771"/>
      <c r="S16" s="772"/>
      <c r="T16" s="771"/>
      <c r="U16" s="772"/>
      <c r="V16" s="771"/>
      <c r="W16" s="772"/>
      <c r="X16" s="1810"/>
      <c r="Y16" s="3208"/>
      <c r="Z16" s="1811"/>
      <c r="AA16" s="1808">
        <v>1</v>
      </c>
      <c r="AB16" s="1808">
        <v>1</v>
      </c>
      <c r="AC16" s="1808">
        <v>1</v>
      </c>
    </row>
    <row r="17" spans="1:29" ht="85.5">
      <c r="A17" s="425"/>
      <c r="B17" s="448" t="s">
        <v>2072</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7"/>
      <c r="M17" s="1128"/>
      <c r="N17" s="1128"/>
      <c r="O17" s="1128"/>
      <c r="P17" s="3215"/>
      <c r="Q17" s="1807" t="str">
        <f>B17</f>
        <v>交通便捷度</v>
      </c>
      <c r="R17" s="771" t="s">
        <v>14</v>
      </c>
      <c r="S17" s="772">
        <f>F17</f>
        <v>100</v>
      </c>
      <c r="T17" s="771" t="s">
        <v>14</v>
      </c>
      <c r="U17" s="772">
        <f>H17</f>
        <v>100</v>
      </c>
      <c r="V17" s="771" t="s">
        <v>14</v>
      </c>
      <c r="W17" s="772">
        <f>J17</f>
        <v>100</v>
      </c>
      <c r="X17" s="1810"/>
      <c r="Y17" s="3208"/>
      <c r="Z17" s="1811" t="str">
        <f>Q17</f>
        <v>交通便捷度</v>
      </c>
      <c r="AA17" s="1808">
        <f t="shared" si="3"/>
        <v>1</v>
      </c>
      <c r="AB17" s="1808">
        <f t="shared" si="4"/>
        <v>1</v>
      </c>
      <c r="AC17" s="1808">
        <f t="shared" si="5"/>
        <v>1</v>
      </c>
    </row>
    <row r="18" spans="1:29" ht="15">
      <c r="A18" s="425"/>
      <c r="B18" s="453"/>
      <c r="C18" s="2605"/>
      <c r="D18" s="447"/>
      <c r="E18" s="2607"/>
      <c r="F18" s="450"/>
      <c r="G18" s="2606"/>
      <c r="H18" s="445"/>
      <c r="I18" s="2607"/>
      <c r="J18" s="445"/>
      <c r="K18" s="612"/>
      <c r="L18" s="1137"/>
      <c r="M18" s="1128"/>
      <c r="N18" s="1128"/>
      <c r="O18" s="1128"/>
      <c r="P18" s="3215"/>
      <c r="Q18" s="1807"/>
      <c r="R18" s="771"/>
      <c r="S18" s="772"/>
      <c r="T18" s="771"/>
      <c r="U18" s="772"/>
      <c r="V18" s="771"/>
      <c r="W18" s="772"/>
      <c r="X18" s="1810"/>
      <c r="Y18" s="3208"/>
      <c r="Z18" s="1811"/>
      <c r="AA18" s="1808">
        <v>1</v>
      </c>
      <c r="AB18" s="1808">
        <v>1</v>
      </c>
      <c r="AC18" s="1808">
        <v>1</v>
      </c>
    </row>
    <row r="19" spans="1:29" ht="42.75">
      <c r="A19" s="425"/>
      <c r="B19" s="448" t="s">
        <v>2626</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7"/>
      <c r="M19" s="1128"/>
      <c r="N19" s="1128"/>
      <c r="O19" s="1128"/>
      <c r="P19" s="3215"/>
      <c r="Q19" s="1807" t="str">
        <f>B19</f>
        <v>公共配套设施</v>
      </c>
      <c r="R19" s="771" t="s">
        <v>14</v>
      </c>
      <c r="S19" s="772">
        <f>F19</f>
        <v>100</v>
      </c>
      <c r="T19" s="771" t="s">
        <v>14</v>
      </c>
      <c r="U19" s="772">
        <f>H19</f>
        <v>100</v>
      </c>
      <c r="V19" s="771" t="s">
        <v>14</v>
      </c>
      <c r="W19" s="772">
        <f>J19</f>
        <v>100</v>
      </c>
      <c r="X19" s="1810"/>
      <c r="Y19" s="3208"/>
      <c r="Z19" s="1811" t="str">
        <f>Q19</f>
        <v>公共配套设施</v>
      </c>
      <c r="AA19" s="1808">
        <f t="shared" si="3"/>
        <v>1</v>
      </c>
      <c r="AB19" s="1808">
        <f t="shared" si="4"/>
        <v>1</v>
      </c>
      <c r="AC19" s="1808">
        <f t="shared" si="5"/>
        <v>1</v>
      </c>
    </row>
    <row r="20" spans="1:29" ht="15">
      <c r="A20" s="425"/>
      <c r="B20" s="453"/>
      <c r="C20" s="444"/>
      <c r="D20" s="445"/>
      <c r="E20" s="2602"/>
      <c r="F20" s="446"/>
      <c r="G20" s="2601"/>
      <c r="H20" s="445"/>
      <c r="I20" s="2602"/>
      <c r="J20" s="445"/>
      <c r="K20" s="612"/>
      <c r="L20" s="1137"/>
      <c r="M20" s="1128"/>
      <c r="N20" s="1128"/>
      <c r="O20" s="1128"/>
      <c r="P20" s="3215"/>
      <c r="Q20" s="1807"/>
      <c r="R20" s="771"/>
      <c r="S20" s="772"/>
      <c r="T20" s="771"/>
      <c r="U20" s="772"/>
      <c r="V20" s="771"/>
      <c r="W20" s="772"/>
      <c r="X20" s="1810"/>
      <c r="Y20" s="3208"/>
      <c r="Z20" s="1811"/>
      <c r="AA20" s="1808">
        <v>1</v>
      </c>
      <c r="AB20" s="1808">
        <v>1</v>
      </c>
      <c r="AC20" s="1808">
        <v>1</v>
      </c>
    </row>
    <row r="21" spans="1:29" ht="28.5">
      <c r="A21" s="425"/>
      <c r="B21" s="1381" t="s">
        <v>2627</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7"/>
      <c r="M21" s="1128"/>
      <c r="N21" s="1128"/>
      <c r="O21" s="1128"/>
      <c r="P21" s="3215"/>
      <c r="Q21" s="1807" t="str">
        <f>B21</f>
        <v>基础设施水平</v>
      </c>
      <c r="R21" s="771" t="s">
        <v>14</v>
      </c>
      <c r="S21" s="772">
        <f>F21</f>
        <v>100</v>
      </c>
      <c r="T21" s="771" t="s">
        <v>14</v>
      </c>
      <c r="U21" s="772">
        <f>H21</f>
        <v>100</v>
      </c>
      <c r="V21" s="771" t="s">
        <v>14</v>
      </c>
      <c r="W21" s="772">
        <f>J21</f>
        <v>100</v>
      </c>
      <c r="X21" s="1810"/>
      <c r="Y21" s="3208"/>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6"/>
      <c r="G22" s="444"/>
      <c r="H22" s="445"/>
      <c r="I22" s="444"/>
      <c r="J22" s="445"/>
      <c r="K22" s="1380"/>
      <c r="L22" s="1137"/>
      <c r="M22" s="1128"/>
      <c r="N22" s="1128"/>
      <c r="O22" s="1128"/>
      <c r="P22" s="3215"/>
      <c r="Q22" s="1807"/>
      <c r="R22" s="771"/>
      <c r="S22" s="772"/>
      <c r="T22" s="771"/>
      <c r="U22" s="772"/>
      <c r="V22" s="771"/>
      <c r="W22" s="772"/>
      <c r="X22" s="1810"/>
      <c r="Y22" s="3208"/>
      <c r="Z22" s="1811"/>
      <c r="AA22" s="1808">
        <v>1</v>
      </c>
      <c r="AB22" s="1808">
        <v>1</v>
      </c>
      <c r="AC22" s="1808">
        <v>1</v>
      </c>
    </row>
    <row r="23" spans="1:29" ht="57">
      <c r="A23" s="425"/>
      <c r="B23" s="448" t="s">
        <v>2077</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7"/>
      <c r="M23" s="1128"/>
      <c r="N23" s="1128"/>
      <c r="O23" s="1128"/>
      <c r="P23" s="3215"/>
      <c r="Q23" s="1807" t="str">
        <f>B23</f>
        <v>自然及人文环境</v>
      </c>
      <c r="R23" s="771" t="s">
        <v>14</v>
      </c>
      <c r="S23" s="772">
        <f>F23</f>
        <v>100</v>
      </c>
      <c r="T23" s="771" t="s">
        <v>14</v>
      </c>
      <c r="U23" s="772">
        <f>H23</f>
        <v>100</v>
      </c>
      <c r="V23" s="771" t="s">
        <v>14</v>
      </c>
      <c r="W23" s="772">
        <f>J23</f>
        <v>100</v>
      </c>
      <c r="X23" s="1810"/>
      <c r="Y23" s="3208"/>
      <c r="Z23" s="1811" t="str">
        <f>Q23</f>
        <v>自然及人文环境</v>
      </c>
      <c r="AA23" s="1808">
        <f t="shared" si="3"/>
        <v>1</v>
      </c>
      <c r="AB23" s="1808">
        <f t="shared" si="4"/>
        <v>1</v>
      </c>
      <c r="AC23" s="1808">
        <f t="shared" si="5"/>
        <v>1</v>
      </c>
    </row>
    <row r="24" spans="1:29" ht="15">
      <c r="A24" s="425"/>
      <c r="B24" s="453"/>
      <c r="C24" s="444"/>
      <c r="D24" s="445"/>
      <c r="E24" s="2602"/>
      <c r="F24" s="446"/>
      <c r="G24" s="2601"/>
      <c r="H24" s="445"/>
      <c r="I24" s="2602"/>
      <c r="J24" s="445"/>
      <c r="K24" s="612"/>
      <c r="L24" s="1137"/>
      <c r="M24" s="1128"/>
      <c r="N24" s="1128"/>
      <c r="O24" s="1128"/>
      <c r="P24" s="3215"/>
      <c r="Q24" s="1807"/>
      <c r="R24" s="771"/>
      <c r="S24" s="772"/>
      <c r="T24" s="771"/>
      <c r="U24" s="772"/>
      <c r="V24" s="771"/>
      <c r="W24" s="772"/>
      <c r="X24" s="1810"/>
      <c r="Y24" s="3208"/>
      <c r="Z24" s="1811"/>
      <c r="AA24" s="1808">
        <v>1</v>
      </c>
      <c r="AB24" s="1808">
        <v>1</v>
      </c>
      <c r="AC24" s="1808">
        <v>1</v>
      </c>
    </row>
    <row r="25" spans="1:29" ht="15">
      <c r="A25" s="425"/>
      <c r="B25" s="419" t="s">
        <v>2628</v>
      </c>
      <c r="C25" s="613"/>
      <c r="D25" s="432">
        <v>100</v>
      </c>
      <c r="E25" s="613"/>
      <c r="F25" s="458">
        <f>SUMIF(86:86,E25,87:87)-SUMIF(86:86,C25,87:87)+100</f>
        <v>100</v>
      </c>
      <c r="G25" s="613"/>
      <c r="H25" s="432">
        <f>SUMIF(86:86,G25,87:87)-SUMIF(86:86,C25,87:87)+100</f>
        <v>100</v>
      </c>
      <c r="I25" s="613"/>
      <c r="J25" s="432">
        <f>SUMIF(86:86,I25,87:87)-SUMIF(86:86,C25,87:87)+100</f>
        <v>100</v>
      </c>
      <c r="K25" s="609"/>
      <c r="L25" s="1137"/>
      <c r="M25" s="1128"/>
      <c r="N25" s="1128"/>
      <c r="O25" s="1128"/>
      <c r="P25" s="3215"/>
      <c r="Q25" s="1807" t="str">
        <f t="shared" ref="Q25:Q46" si="11">B25</f>
        <v>临街状况</v>
      </c>
      <c r="R25" s="771" t="s">
        <v>14</v>
      </c>
      <c r="S25" s="772">
        <f>F25</f>
        <v>100</v>
      </c>
      <c r="T25" s="771" t="s">
        <v>14</v>
      </c>
      <c r="U25" s="772">
        <f>H25</f>
        <v>100</v>
      </c>
      <c r="V25" s="771" t="s">
        <v>14</v>
      </c>
      <c r="W25" s="772">
        <f>J25</f>
        <v>100</v>
      </c>
      <c r="X25" s="1810"/>
      <c r="Y25" s="3208"/>
      <c r="Z25" s="1811" t="str">
        <f>Q25</f>
        <v>临街状况</v>
      </c>
      <c r="AA25" s="1808">
        <f t="shared" si="3"/>
        <v>1</v>
      </c>
      <c r="AB25" s="1808">
        <f t="shared" si="4"/>
        <v>1</v>
      </c>
      <c r="AC25" s="1808">
        <f t="shared" si="5"/>
        <v>1</v>
      </c>
    </row>
    <row r="26" spans="1:29" ht="15">
      <c r="A26" s="425"/>
      <c r="B26" s="1383" t="s">
        <v>2629</v>
      </c>
      <c r="C26" s="431"/>
      <c r="D26" s="432">
        <v>100</v>
      </c>
      <c r="E26" s="431"/>
      <c r="F26" s="458">
        <f>SUMIF(88:88,E26,89:89)-SUMIF(88:88,C26,89:89)+100</f>
        <v>100</v>
      </c>
      <c r="G26" s="431"/>
      <c r="H26" s="432">
        <f>SUMIF(88:88,G26,89:89)-SUMIF(88:88,C26,89:89)+100</f>
        <v>100</v>
      </c>
      <c r="I26" s="431"/>
      <c r="J26" s="432">
        <f>SUMIF(88:88,I26,89:89)-SUMIF(88:88,C26,89:89)+100</f>
        <v>100</v>
      </c>
      <c r="K26" s="610"/>
      <c r="L26" s="1137"/>
      <c r="M26" s="1128"/>
      <c r="N26" s="1128"/>
      <c r="O26" s="1128"/>
      <c r="P26" s="3215"/>
      <c r="Q26" s="1807" t="str">
        <f t="shared" si="11"/>
        <v>平面位置/可视性</v>
      </c>
      <c r="R26" s="771" t="s">
        <v>14</v>
      </c>
      <c r="S26" s="772">
        <f>F26</f>
        <v>100</v>
      </c>
      <c r="T26" s="771" t="s">
        <v>14</v>
      </c>
      <c r="U26" s="772">
        <f>H26</f>
        <v>100</v>
      </c>
      <c r="V26" s="771" t="s">
        <v>14</v>
      </c>
      <c r="W26" s="772">
        <f>J26</f>
        <v>100</v>
      </c>
      <c r="X26" s="1810"/>
      <c r="Y26" s="3208"/>
      <c r="Z26" s="1811" t="str">
        <f>Q26</f>
        <v>平面位置/可视性</v>
      </c>
      <c r="AA26" s="1808">
        <f t="shared" si="3"/>
        <v>1</v>
      </c>
      <c r="AB26" s="1808">
        <f t="shared" si="4"/>
        <v>1</v>
      </c>
      <c r="AC26" s="1808">
        <f t="shared" si="5"/>
        <v>1</v>
      </c>
    </row>
    <row r="27" spans="1:29" s="114" customFormat="1" ht="15">
      <c r="A27" s="428"/>
      <c r="B27" s="448" t="s">
        <v>2630</v>
      </c>
      <c r="C27" s="2662"/>
      <c r="D27" s="459">
        <v>100</v>
      </c>
      <c r="E27" s="2662"/>
      <c r="F27" s="461">
        <f>SUMIF(90:90,E27,91:91)-SUMIF(90:90,C27,91:91)+100</f>
        <v>100</v>
      </c>
      <c r="G27" s="2662"/>
      <c r="H27" s="459">
        <f>SUMIF(90:90,G27,91:91)-SUMIF(90:90,C27,91:91)+100</f>
        <v>100</v>
      </c>
      <c r="I27" s="2662"/>
      <c r="J27" s="459">
        <f>SUMIF(90:90,I27,91:91)-SUMIF(90:90,C27,91:91)+100</f>
        <v>100</v>
      </c>
      <c r="K27" s="609"/>
      <c r="L27" s="1129"/>
      <c r="M27" s="1130"/>
      <c r="N27" s="1130"/>
      <c r="O27" s="1130"/>
      <c r="P27" s="3215"/>
      <c r="Q27" s="1792" t="str">
        <f t="shared" si="11"/>
        <v>人流量</v>
      </c>
      <c r="R27" s="767" t="s">
        <v>14</v>
      </c>
      <c r="S27" s="768">
        <f>F27</f>
        <v>100</v>
      </c>
      <c r="T27" s="767" t="s">
        <v>14</v>
      </c>
      <c r="U27" s="768">
        <f>H27</f>
        <v>100</v>
      </c>
      <c r="V27" s="767" t="s">
        <v>14</v>
      </c>
      <c r="W27" s="768">
        <f>J27</f>
        <v>100</v>
      </c>
      <c r="X27" s="769"/>
      <c r="Y27" s="3208"/>
      <c r="Z27" s="52" t="str">
        <f>Q27</f>
        <v>人流量</v>
      </c>
      <c r="AA27" s="1808">
        <f>D27/F27</f>
        <v>1</v>
      </c>
      <c r="AB27" s="1808">
        <f>D27/H27</f>
        <v>1</v>
      </c>
      <c r="AC27" s="1808">
        <f>D27/J27</f>
        <v>1</v>
      </c>
    </row>
    <row r="28" spans="1:29" ht="15">
      <c r="A28" s="425"/>
      <c r="B28" s="419" t="s">
        <v>2631</v>
      </c>
      <c r="C28" s="613"/>
      <c r="D28" s="432">
        <v>100</v>
      </c>
      <c r="E28" s="613"/>
      <c r="F28" s="458">
        <f>SUMIF(92:92,E28,93:93)-SUMIF(92:92,C28,93:93)+100</f>
        <v>100</v>
      </c>
      <c r="G28" s="613"/>
      <c r="H28" s="432">
        <f>SUMIF(92:92,G28,93:93)-SUMIF(92:92,C28,93:93)+100</f>
        <v>100</v>
      </c>
      <c r="I28" s="613"/>
      <c r="J28" s="432">
        <f>SUMIF(92:92,I28,93:93)-SUMIF(92:92,C28,93:93)+100</f>
        <v>100</v>
      </c>
      <c r="K28" s="610"/>
      <c r="L28" s="1137"/>
      <c r="M28" s="1128"/>
      <c r="N28" s="1128"/>
      <c r="O28" s="1128"/>
      <c r="P28" s="3215"/>
      <c r="Q28" s="1807" t="str">
        <f t="shared" si="11"/>
        <v>楼层</v>
      </c>
      <c r="R28" s="771" t="s">
        <v>14</v>
      </c>
      <c r="S28" s="772">
        <f t="shared" ref="S28:S46" si="12">F28</f>
        <v>100</v>
      </c>
      <c r="T28" s="771" t="s">
        <v>14</v>
      </c>
      <c r="U28" s="772">
        <f t="shared" ref="U28:U46" si="13">H28</f>
        <v>100</v>
      </c>
      <c r="V28" s="771" t="s">
        <v>14</v>
      </c>
      <c r="W28" s="772">
        <f t="shared" ref="W28:W46" si="14">J28</f>
        <v>100</v>
      </c>
      <c r="X28" s="1810"/>
      <c r="Y28" s="3208"/>
      <c r="Z28" s="1811" t="str">
        <f t="shared" ref="Z28:Z46" si="15">Q28</f>
        <v>楼层</v>
      </c>
      <c r="AA28" s="1808">
        <f t="shared" si="3"/>
        <v>1</v>
      </c>
      <c r="AB28" s="1808">
        <f t="shared" si="4"/>
        <v>1</v>
      </c>
      <c r="AC28" s="1808">
        <f t="shared" si="5"/>
        <v>1</v>
      </c>
    </row>
    <row r="29" spans="1:29" ht="15">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215"/>
      <c r="Q29" s="1807">
        <f t="shared" si="11"/>
        <v>111</v>
      </c>
      <c r="R29" s="771" t="s">
        <v>14</v>
      </c>
      <c r="S29" s="772">
        <f t="shared" si="12"/>
        <v>100</v>
      </c>
      <c r="T29" s="771" t="s">
        <v>14</v>
      </c>
      <c r="U29" s="772">
        <f t="shared" si="13"/>
        <v>100</v>
      </c>
      <c r="V29" s="771" t="s">
        <v>14</v>
      </c>
      <c r="W29" s="772">
        <f t="shared" si="14"/>
        <v>100</v>
      </c>
      <c r="X29" s="1810"/>
      <c r="Y29" s="3208"/>
      <c r="Z29" s="1811">
        <f t="shared" si="15"/>
        <v>111</v>
      </c>
      <c r="AA29" s="1808">
        <f t="shared" si="3"/>
        <v>1</v>
      </c>
      <c r="AB29" s="1808">
        <f t="shared" si="4"/>
        <v>1</v>
      </c>
      <c r="AC29" s="1808">
        <f t="shared" si="5"/>
        <v>1</v>
      </c>
    </row>
    <row r="30" spans="1:29" ht="15">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215"/>
      <c r="Q30" s="1807">
        <f t="shared" si="11"/>
        <v>111</v>
      </c>
      <c r="R30" s="771" t="s">
        <v>14</v>
      </c>
      <c r="S30" s="772">
        <f t="shared" si="12"/>
        <v>100</v>
      </c>
      <c r="T30" s="771" t="s">
        <v>14</v>
      </c>
      <c r="U30" s="772">
        <f t="shared" si="13"/>
        <v>100</v>
      </c>
      <c r="V30" s="771" t="s">
        <v>14</v>
      </c>
      <c r="W30" s="772">
        <f t="shared" si="14"/>
        <v>100</v>
      </c>
      <c r="X30" s="1810"/>
      <c r="Y30" s="3208"/>
      <c r="Z30" s="1811">
        <f t="shared" si="15"/>
        <v>111</v>
      </c>
      <c r="AA30" s="1808">
        <f t="shared" si="3"/>
        <v>1</v>
      </c>
      <c r="AB30" s="1808">
        <f t="shared" si="4"/>
        <v>1</v>
      </c>
      <c r="AC30" s="1808">
        <f t="shared" si="5"/>
        <v>1</v>
      </c>
    </row>
    <row r="31" spans="1:29" ht="15.75"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215"/>
      <c r="Q31" s="1807">
        <f t="shared" si="11"/>
        <v>111</v>
      </c>
      <c r="R31" s="771" t="s">
        <v>14</v>
      </c>
      <c r="S31" s="772">
        <f t="shared" si="12"/>
        <v>100</v>
      </c>
      <c r="T31" s="771" t="s">
        <v>14</v>
      </c>
      <c r="U31" s="772">
        <f t="shared" si="13"/>
        <v>100</v>
      </c>
      <c r="V31" s="771" t="s">
        <v>14</v>
      </c>
      <c r="W31" s="772">
        <f t="shared" si="14"/>
        <v>100</v>
      </c>
      <c r="X31" s="1810"/>
      <c r="Y31" s="3208"/>
      <c r="Z31" s="1811">
        <f t="shared" si="15"/>
        <v>111</v>
      </c>
      <c r="AA31" s="1808">
        <f t="shared" si="3"/>
        <v>1</v>
      </c>
      <c r="AB31" s="1808">
        <f t="shared" si="4"/>
        <v>1</v>
      </c>
      <c r="AC31" s="1808">
        <f t="shared" si="5"/>
        <v>1</v>
      </c>
    </row>
    <row r="32" spans="1:29" ht="15">
      <c r="A32" s="437" t="s">
        <v>2535</v>
      </c>
      <c r="B32" s="68" t="s">
        <v>2632</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7"/>
      <c r="M32" s="1128"/>
      <c r="N32" s="1128"/>
      <c r="O32" s="1128"/>
      <c r="P32" s="3209" t="s">
        <v>2537</v>
      </c>
      <c r="Q32" s="1807" t="str">
        <f t="shared" si="11"/>
        <v>商业类型</v>
      </c>
      <c r="R32" s="771" t="s">
        <v>14</v>
      </c>
      <c r="S32" s="772">
        <f t="shared" si="12"/>
        <v>100</v>
      </c>
      <c r="T32" s="771" t="s">
        <v>14</v>
      </c>
      <c r="U32" s="772">
        <f t="shared" si="13"/>
        <v>100</v>
      </c>
      <c r="V32" s="771" t="s">
        <v>14</v>
      </c>
      <c r="W32" s="772">
        <f t="shared" si="14"/>
        <v>100</v>
      </c>
      <c r="X32" s="1810"/>
      <c r="Y32" s="3212" t="s">
        <v>2537</v>
      </c>
      <c r="Z32" s="1811" t="str">
        <f t="shared" si="15"/>
        <v>商业类型</v>
      </c>
      <c r="AA32" s="1808">
        <f t="shared" si="3"/>
        <v>1</v>
      </c>
      <c r="AB32" s="1808">
        <f t="shared" si="4"/>
        <v>1</v>
      </c>
      <c r="AC32" s="1808">
        <f t="shared" si="5"/>
        <v>1</v>
      </c>
    </row>
    <row r="33" spans="1:29" s="468" customFormat="1" ht="15">
      <c r="A33" s="465"/>
      <c r="B33" s="419" t="s">
        <v>2538</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5"/>
      <c r="M33" s="1138"/>
      <c r="N33" s="1138"/>
      <c r="O33" s="1138"/>
      <c r="P33" s="3210"/>
      <c r="Q33" s="773" t="str">
        <f t="shared" si="11"/>
        <v>项目建筑规模</v>
      </c>
      <c r="R33" s="774" t="s">
        <v>14</v>
      </c>
      <c r="S33" s="775" t="e">
        <f t="shared" si="12"/>
        <v>#N/A</v>
      </c>
      <c r="T33" s="774" t="s">
        <v>14</v>
      </c>
      <c r="U33" s="775" t="e">
        <f t="shared" si="13"/>
        <v>#N/A</v>
      </c>
      <c r="V33" s="774" t="s">
        <v>14</v>
      </c>
      <c r="W33" s="775" t="e">
        <f t="shared" si="14"/>
        <v>#N/A</v>
      </c>
      <c r="X33" s="776"/>
      <c r="Y33" s="3212"/>
      <c r="Z33" s="777" t="str">
        <f t="shared" si="15"/>
        <v>项目建筑规模</v>
      </c>
      <c r="AA33" s="1808" t="e">
        <f t="shared" si="3"/>
        <v>#N/A</v>
      </c>
      <c r="AB33" s="1808" t="e">
        <f t="shared" si="4"/>
        <v>#N/A</v>
      </c>
      <c r="AC33" s="1808" t="e">
        <f t="shared" si="5"/>
        <v>#N/A</v>
      </c>
    </row>
    <row r="34" spans="1:29" ht="15">
      <c r="A34" s="469"/>
      <c r="B34" s="419" t="s">
        <v>2539</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7"/>
      <c r="M34" s="1128"/>
      <c r="N34" s="1128"/>
      <c r="O34" s="1128"/>
      <c r="P34" s="3210"/>
      <c r="Q34" s="1807" t="str">
        <f t="shared" si="11"/>
        <v>建筑结构</v>
      </c>
      <c r="R34" s="771" t="s">
        <v>14</v>
      </c>
      <c r="S34" s="772">
        <f t="shared" si="12"/>
        <v>100</v>
      </c>
      <c r="T34" s="771" t="s">
        <v>14</v>
      </c>
      <c r="U34" s="772">
        <f t="shared" si="13"/>
        <v>100</v>
      </c>
      <c r="V34" s="771" t="s">
        <v>14</v>
      </c>
      <c r="W34" s="772">
        <f t="shared" si="14"/>
        <v>100</v>
      </c>
      <c r="X34" s="1810"/>
      <c r="Y34" s="3212"/>
      <c r="Z34" s="1811" t="str">
        <f t="shared" si="15"/>
        <v>建筑结构</v>
      </c>
      <c r="AA34" s="1808">
        <f t="shared" si="3"/>
        <v>1</v>
      </c>
      <c r="AB34" s="1808">
        <f t="shared" si="4"/>
        <v>1</v>
      </c>
      <c r="AC34" s="1808">
        <f t="shared" si="5"/>
        <v>1</v>
      </c>
    </row>
    <row r="35" spans="1:29" ht="15">
      <c r="A35" s="469"/>
      <c r="B35" s="419" t="s">
        <v>2633</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7"/>
      <c r="M35" s="1128"/>
      <c r="N35" s="1128"/>
      <c r="O35" s="1128"/>
      <c r="P35" s="3210"/>
      <c r="Q35" s="1807" t="str">
        <f t="shared" si="11"/>
        <v>公共部分装修</v>
      </c>
      <c r="R35" s="771" t="s">
        <v>14</v>
      </c>
      <c r="S35" s="772">
        <f t="shared" si="12"/>
        <v>100</v>
      </c>
      <c r="T35" s="771" t="s">
        <v>14</v>
      </c>
      <c r="U35" s="772">
        <f t="shared" si="13"/>
        <v>100</v>
      </c>
      <c r="V35" s="771" t="s">
        <v>14</v>
      </c>
      <c r="W35" s="772">
        <f t="shared" si="14"/>
        <v>100</v>
      </c>
      <c r="X35" s="1810"/>
      <c r="Y35" s="3212"/>
      <c r="Z35" s="1811" t="str">
        <f t="shared" si="15"/>
        <v>公共部分装修</v>
      </c>
      <c r="AA35" s="1808">
        <f t="shared" si="3"/>
        <v>1</v>
      </c>
      <c r="AB35" s="1808">
        <f t="shared" si="4"/>
        <v>1</v>
      </c>
      <c r="AC35" s="1808">
        <f t="shared" si="5"/>
        <v>1</v>
      </c>
    </row>
    <row r="36" spans="1:29" ht="15">
      <c r="A36" s="469"/>
      <c r="B36" s="419" t="s">
        <v>2634</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7"/>
      <c r="M36" s="1128"/>
      <c r="N36" s="1128"/>
      <c r="O36" s="1128"/>
      <c r="P36" s="3210"/>
      <c r="Q36" s="1807" t="str">
        <f t="shared" si="11"/>
        <v>成新度</v>
      </c>
      <c r="R36" s="771" t="s">
        <v>14</v>
      </c>
      <c r="S36" s="772" t="e">
        <f t="shared" si="12"/>
        <v>#N/A</v>
      </c>
      <c r="T36" s="771" t="s">
        <v>14</v>
      </c>
      <c r="U36" s="772" t="e">
        <f t="shared" si="13"/>
        <v>#N/A</v>
      </c>
      <c r="V36" s="771" t="s">
        <v>14</v>
      </c>
      <c r="W36" s="772" t="e">
        <f t="shared" si="14"/>
        <v>#N/A</v>
      </c>
      <c r="X36" s="1810"/>
      <c r="Y36" s="3212"/>
      <c r="Z36" s="1811" t="str">
        <f t="shared" si="15"/>
        <v>成新度</v>
      </c>
      <c r="AA36" s="1808" t="e">
        <f t="shared" si="3"/>
        <v>#N/A</v>
      </c>
      <c r="AB36" s="1808" t="e">
        <f t="shared" si="4"/>
        <v>#N/A</v>
      </c>
      <c r="AC36" s="1808" t="e">
        <f t="shared" si="5"/>
        <v>#N/A</v>
      </c>
    </row>
    <row r="37" spans="1:29" s="114" customFormat="1" ht="15">
      <c r="A37" s="470"/>
      <c r="B37" s="419" t="s">
        <v>2635</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9"/>
      <c r="M37" s="1130"/>
      <c r="N37" s="1130"/>
      <c r="O37" s="1130"/>
      <c r="P37" s="3210"/>
      <c r="Q37" s="1792" t="str">
        <f t="shared" si="11"/>
        <v>市政基础设施</v>
      </c>
      <c r="R37" s="767" t="s">
        <v>14</v>
      </c>
      <c r="S37" s="768">
        <f t="shared" si="12"/>
        <v>100</v>
      </c>
      <c r="T37" s="767" t="s">
        <v>14</v>
      </c>
      <c r="U37" s="768">
        <f t="shared" si="13"/>
        <v>100</v>
      </c>
      <c r="V37" s="767" t="s">
        <v>14</v>
      </c>
      <c r="W37" s="768">
        <f t="shared" si="14"/>
        <v>100</v>
      </c>
      <c r="X37" s="769"/>
      <c r="Y37" s="3212"/>
      <c r="Z37" s="52" t="str">
        <f t="shared" si="15"/>
        <v>市政基础设施</v>
      </c>
      <c r="AA37" s="770">
        <f t="shared" si="3"/>
        <v>1</v>
      </c>
      <c r="AB37" s="770">
        <f t="shared" si="4"/>
        <v>1</v>
      </c>
      <c r="AC37" s="770">
        <f t="shared" si="5"/>
        <v>1</v>
      </c>
    </row>
    <row r="38" spans="1:29" ht="15">
      <c r="A38" s="469"/>
      <c r="B38" s="419" t="s">
        <v>2636</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7"/>
      <c r="M38" s="1128"/>
      <c r="N38" s="1128"/>
      <c r="O38" s="1128"/>
      <c r="P38" s="3210" t="s">
        <v>2537</v>
      </c>
      <c r="Q38" s="1807" t="str">
        <f t="shared" si="11"/>
        <v>业态</v>
      </c>
      <c r="R38" s="771" t="s">
        <v>14</v>
      </c>
      <c r="S38" s="772">
        <f t="shared" si="12"/>
        <v>100</v>
      </c>
      <c r="T38" s="771" t="s">
        <v>14</v>
      </c>
      <c r="U38" s="772">
        <f t="shared" si="13"/>
        <v>100</v>
      </c>
      <c r="V38" s="771" t="s">
        <v>14</v>
      </c>
      <c r="W38" s="772">
        <f t="shared" si="14"/>
        <v>100</v>
      </c>
      <c r="X38" s="1810"/>
      <c r="Y38" s="3212" t="s">
        <v>2537</v>
      </c>
      <c r="Z38" s="1811" t="str">
        <f t="shared" si="15"/>
        <v>业态</v>
      </c>
      <c r="AA38" s="1808">
        <f t="shared" si="3"/>
        <v>1</v>
      </c>
      <c r="AB38" s="1808">
        <f t="shared" si="4"/>
        <v>1</v>
      </c>
      <c r="AC38" s="1808">
        <f t="shared" si="5"/>
        <v>1</v>
      </c>
    </row>
    <row r="39" spans="1:29" ht="15">
      <c r="A39" s="469"/>
      <c r="B39" s="419" t="s">
        <v>2637</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7"/>
      <c r="M39" s="1128"/>
      <c r="N39" s="1128"/>
      <c r="O39" s="1128"/>
      <c r="P39" s="3210"/>
      <c r="Q39" s="1807" t="str">
        <f t="shared" si="11"/>
        <v>层高</v>
      </c>
      <c r="R39" s="771" t="s">
        <v>14</v>
      </c>
      <c r="S39" s="772">
        <f t="shared" si="12"/>
        <v>100</v>
      </c>
      <c r="T39" s="771" t="s">
        <v>14</v>
      </c>
      <c r="U39" s="772">
        <f t="shared" si="13"/>
        <v>100</v>
      </c>
      <c r="V39" s="771" t="s">
        <v>14</v>
      </c>
      <c r="W39" s="772">
        <f t="shared" si="14"/>
        <v>100</v>
      </c>
      <c r="X39" s="1810"/>
      <c r="Y39" s="3212"/>
      <c r="Z39" s="1811" t="str">
        <f t="shared" si="15"/>
        <v>层高</v>
      </c>
      <c r="AA39" s="1808">
        <f t="shared" si="3"/>
        <v>1</v>
      </c>
      <c r="AB39" s="1808">
        <f t="shared" si="4"/>
        <v>1</v>
      </c>
      <c r="AC39" s="1808">
        <f t="shared" si="5"/>
        <v>1</v>
      </c>
    </row>
    <row r="40" spans="1:29" ht="15">
      <c r="A40" s="469"/>
      <c r="B40" s="419" t="s">
        <v>2638</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210"/>
      <c r="Q40" s="1807" t="str">
        <f t="shared" si="11"/>
        <v>单套建筑面积</v>
      </c>
      <c r="R40" s="771" t="s">
        <v>14</v>
      </c>
      <c r="S40" s="772">
        <f t="shared" si="12"/>
        <v>100</v>
      </c>
      <c r="T40" s="771" t="s">
        <v>14</v>
      </c>
      <c r="U40" s="772">
        <f t="shared" si="13"/>
        <v>100</v>
      </c>
      <c r="V40" s="771" t="s">
        <v>14</v>
      </c>
      <c r="W40" s="772">
        <f t="shared" si="14"/>
        <v>100</v>
      </c>
      <c r="X40" s="1810"/>
      <c r="Y40" s="3212"/>
      <c r="Z40" s="1811" t="str">
        <f t="shared" si="15"/>
        <v>单套建筑面积</v>
      </c>
      <c r="AA40" s="1808">
        <f t="shared" si="3"/>
        <v>1</v>
      </c>
      <c r="AB40" s="1808">
        <f t="shared" si="4"/>
        <v>1</v>
      </c>
      <c r="AC40" s="1808">
        <f t="shared" si="5"/>
        <v>1</v>
      </c>
    </row>
    <row r="41" spans="1:29" s="468" customFormat="1" ht="15">
      <c r="A41" s="465"/>
      <c r="B41" s="1809" t="s">
        <v>2639</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210"/>
      <c r="Q41" s="773" t="str">
        <f t="shared" si="11"/>
        <v>进深比</v>
      </c>
      <c r="R41" s="774" t="s">
        <v>14</v>
      </c>
      <c r="S41" s="775">
        <f t="shared" si="12"/>
        <v>100</v>
      </c>
      <c r="T41" s="774" t="s">
        <v>14</v>
      </c>
      <c r="U41" s="775">
        <f t="shared" si="13"/>
        <v>100</v>
      </c>
      <c r="V41" s="774" t="s">
        <v>14</v>
      </c>
      <c r="W41" s="775">
        <f t="shared" si="14"/>
        <v>100</v>
      </c>
      <c r="X41" s="776"/>
      <c r="Y41" s="3212"/>
      <c r="Z41" s="777" t="str">
        <f t="shared" si="15"/>
        <v>进深比</v>
      </c>
      <c r="AA41" s="1808">
        <f t="shared" si="3"/>
        <v>1</v>
      </c>
      <c r="AB41" s="1808">
        <f t="shared" si="4"/>
        <v>1</v>
      </c>
      <c r="AC41" s="1808">
        <f t="shared" si="5"/>
        <v>1</v>
      </c>
    </row>
    <row r="42" spans="1:29" ht="15">
      <c r="A42" s="469"/>
      <c r="B42" s="419" t="s">
        <v>2640</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7"/>
      <c r="M42" s="1128"/>
      <c r="N42" s="1128"/>
      <c r="O42" s="1128"/>
      <c r="P42" s="3210"/>
      <c r="Q42" s="1807" t="str">
        <f t="shared" si="11"/>
        <v>内部装修</v>
      </c>
      <c r="R42" s="771" t="s">
        <v>14</v>
      </c>
      <c r="S42" s="772">
        <f t="shared" si="12"/>
        <v>100</v>
      </c>
      <c r="T42" s="771" t="s">
        <v>14</v>
      </c>
      <c r="U42" s="772">
        <f t="shared" si="13"/>
        <v>100</v>
      </c>
      <c r="V42" s="771" t="s">
        <v>14</v>
      </c>
      <c r="W42" s="772">
        <f t="shared" si="14"/>
        <v>100</v>
      </c>
      <c r="X42" s="1810"/>
      <c r="Y42" s="3212"/>
      <c r="Z42" s="1811" t="str">
        <f t="shared" si="15"/>
        <v>内部装修</v>
      </c>
      <c r="AA42" s="1808">
        <f t="shared" si="3"/>
        <v>1</v>
      </c>
      <c r="AB42" s="1808">
        <f t="shared" si="4"/>
        <v>1</v>
      </c>
      <c r="AC42" s="1808">
        <f t="shared" si="5"/>
        <v>1</v>
      </c>
    </row>
    <row r="43" spans="1:29" ht="15">
      <c r="A43" s="469"/>
      <c r="B43" s="419" t="s">
        <v>2548</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7"/>
      <c r="M43" s="1128"/>
      <c r="N43" s="1128"/>
      <c r="O43" s="1128"/>
      <c r="P43" s="3210"/>
      <c r="Q43" s="1807" t="str">
        <f t="shared" si="11"/>
        <v>内部装修维护情况</v>
      </c>
      <c r="R43" s="771" t="s">
        <v>14</v>
      </c>
      <c r="S43" s="772">
        <f t="shared" si="12"/>
        <v>100</v>
      </c>
      <c r="T43" s="771" t="s">
        <v>14</v>
      </c>
      <c r="U43" s="772">
        <f t="shared" si="13"/>
        <v>100</v>
      </c>
      <c r="V43" s="771" t="s">
        <v>14</v>
      </c>
      <c r="W43" s="772">
        <f t="shared" si="14"/>
        <v>100</v>
      </c>
      <c r="X43" s="1810"/>
      <c r="Y43" s="3212"/>
      <c r="Z43" s="1811" t="str">
        <f t="shared" si="15"/>
        <v>内部装修维护情况</v>
      </c>
      <c r="AA43" s="1808">
        <f t="shared" si="3"/>
        <v>1</v>
      </c>
      <c r="AB43" s="1808">
        <f t="shared" si="4"/>
        <v>1</v>
      </c>
      <c r="AC43" s="1808">
        <f t="shared" si="5"/>
        <v>1</v>
      </c>
    </row>
    <row r="44" spans="1:29" s="114" customFormat="1" ht="15">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210"/>
      <c r="Q44" s="1792">
        <f t="shared" si="11"/>
        <v>111</v>
      </c>
      <c r="R44" s="767" t="s">
        <v>14</v>
      </c>
      <c r="S44" s="768">
        <f t="shared" si="12"/>
        <v>100</v>
      </c>
      <c r="T44" s="767" t="s">
        <v>14</v>
      </c>
      <c r="U44" s="768">
        <f t="shared" si="13"/>
        <v>100</v>
      </c>
      <c r="V44" s="767" t="s">
        <v>14</v>
      </c>
      <c r="W44" s="768">
        <f t="shared" si="14"/>
        <v>100</v>
      </c>
      <c r="X44" s="769"/>
      <c r="Y44" s="3212"/>
      <c r="Z44" s="52">
        <f t="shared" si="15"/>
        <v>111</v>
      </c>
      <c r="AA44" s="770">
        <f t="shared" si="3"/>
        <v>1</v>
      </c>
      <c r="AB44" s="770">
        <f t="shared" si="4"/>
        <v>1</v>
      </c>
      <c r="AC44" s="770">
        <f t="shared" si="5"/>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210"/>
      <c r="Q45" s="1807">
        <f t="shared" si="11"/>
        <v>111</v>
      </c>
      <c r="R45" s="771" t="s">
        <v>14</v>
      </c>
      <c r="S45" s="772">
        <f t="shared" si="12"/>
        <v>100</v>
      </c>
      <c r="T45" s="771" t="s">
        <v>14</v>
      </c>
      <c r="U45" s="772">
        <f t="shared" si="13"/>
        <v>100</v>
      </c>
      <c r="V45" s="771" t="s">
        <v>14</v>
      </c>
      <c r="W45" s="772">
        <f t="shared" si="14"/>
        <v>100</v>
      </c>
      <c r="X45" s="1810"/>
      <c r="Y45" s="3212"/>
      <c r="Z45" s="1811">
        <f t="shared" si="15"/>
        <v>111</v>
      </c>
      <c r="AA45" s="1808">
        <f t="shared" si="3"/>
        <v>1</v>
      </c>
      <c r="AB45" s="1808">
        <f t="shared" si="4"/>
        <v>1</v>
      </c>
      <c r="AC45" s="1808">
        <f t="shared" si="5"/>
        <v>1</v>
      </c>
    </row>
    <row r="46" spans="1:29" ht="15.75"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211"/>
      <c r="Q46" s="1807">
        <f t="shared" si="11"/>
        <v>111</v>
      </c>
      <c r="R46" s="771" t="s">
        <v>14</v>
      </c>
      <c r="S46" s="772">
        <f t="shared" si="12"/>
        <v>100</v>
      </c>
      <c r="T46" s="771" t="s">
        <v>14</v>
      </c>
      <c r="U46" s="772">
        <f t="shared" si="13"/>
        <v>100</v>
      </c>
      <c r="V46" s="771" t="s">
        <v>14</v>
      </c>
      <c r="W46" s="772">
        <f t="shared" si="14"/>
        <v>100</v>
      </c>
      <c r="X46" s="1810"/>
      <c r="Y46" s="3213"/>
      <c r="Z46" s="1811">
        <f t="shared" si="15"/>
        <v>111</v>
      </c>
      <c r="AA46" s="1808">
        <f t="shared" si="3"/>
        <v>1</v>
      </c>
      <c r="AB46" s="1808">
        <f t="shared" si="4"/>
        <v>1</v>
      </c>
      <c r="AC46" s="1808">
        <f t="shared" si="5"/>
        <v>1</v>
      </c>
    </row>
    <row r="47" spans="1:29" ht="15">
      <c r="A47" s="476" t="s">
        <v>2549</v>
      </c>
      <c r="B47" s="477"/>
      <c r="C47" s="1404" t="s">
        <v>0</v>
      </c>
      <c r="D47" s="1405"/>
      <c r="E47" s="1406"/>
      <c r="F47" s="1407"/>
      <c r="G47" s="1408"/>
      <c r="H47" s="1409"/>
      <c r="I47" s="1406"/>
      <c r="J47" s="1409"/>
      <c r="K47" s="780"/>
      <c r="L47" s="1140"/>
      <c r="M47" s="1141"/>
      <c r="N47" s="1128"/>
      <c r="O47" s="1141"/>
      <c r="P47" s="3205" t="str">
        <f>A47</f>
        <v>成交单价（元/平方米）</v>
      </c>
      <c r="Q47" s="3205"/>
      <c r="R47" s="3236">
        <f>E47</f>
        <v>0</v>
      </c>
      <c r="S47" s="3236"/>
      <c r="T47" s="3236">
        <f>G47</f>
        <v>0</v>
      </c>
      <c r="U47" s="3236"/>
      <c r="V47" s="3236">
        <f>I47</f>
        <v>0</v>
      </c>
      <c r="W47" s="3236"/>
      <c r="X47" s="756"/>
      <c r="Y47" s="778"/>
      <c r="Z47" s="756"/>
      <c r="AA47" s="756"/>
      <c r="AB47" s="756"/>
      <c r="AC47" s="756"/>
    </row>
    <row r="48" spans="1:29" ht="15.75" thickBot="1">
      <c r="A48" s="483" t="s">
        <v>2641</v>
      </c>
      <c r="B48" s="484"/>
      <c r="C48" s="1410" t="e">
        <f>R49</f>
        <v>#DIV/0!</v>
      </c>
      <c r="D48" s="1411"/>
      <c r="E48" s="1412" t="e">
        <f>R48</f>
        <v>#DIV/0!</v>
      </c>
      <c r="F48" s="1412"/>
      <c r="G48" s="1410" t="e">
        <f>T48</f>
        <v>#DIV/0!</v>
      </c>
      <c r="H48" s="1411"/>
      <c r="I48" s="1412" t="e">
        <f>V48</f>
        <v>#DIV/0!</v>
      </c>
      <c r="J48" s="1411"/>
      <c r="K48" s="781"/>
      <c r="L48" s="1140"/>
      <c r="M48" s="1141"/>
      <c r="N48" s="1128"/>
      <c r="O48" s="1141"/>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6"/>
      <c r="Y48" s="756"/>
      <c r="Z48" s="756"/>
      <c r="AA48" s="756"/>
      <c r="AB48" s="756"/>
      <c r="AC48" s="756"/>
    </row>
    <row r="49" spans="1:29" ht="15.75" thickBot="1">
      <c r="A49" s="489" t="s">
        <v>2642</v>
      </c>
      <c r="B49" s="490"/>
      <c r="C49" s="1414" t="e">
        <f>R49</f>
        <v>#DIV/0!</v>
      </c>
      <c r="D49" s="1414"/>
      <c r="E49" s="1414"/>
      <c r="F49" s="1414"/>
      <c r="G49" s="1414"/>
      <c r="H49" s="1414"/>
      <c r="I49" s="1414"/>
      <c r="J49" s="1414"/>
      <c r="K49" s="782"/>
      <c r="L49" s="1140"/>
      <c r="M49" s="1141"/>
      <c r="N49" s="1128"/>
      <c r="O49" s="1141"/>
      <c r="P49" s="3202" t="str">
        <f>A49</f>
        <v>估价对象XX用房的比较价值（楼面单价，元/平方米）</v>
      </c>
      <c r="Q49" s="3203"/>
      <c r="R49" s="3204" t="e">
        <f>IF(F1="售价",ROUND(AVERAGE(R48:V48),0),ROUND(AVERAGE(R48:V48),1))</f>
        <v>#DIV/0!</v>
      </c>
      <c r="S49" s="3204"/>
      <c r="T49" s="3204"/>
      <c r="U49" s="3204"/>
      <c r="V49" s="3204"/>
      <c r="W49" s="320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2643</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2644</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2645</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63"/>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663"/>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1.75" thickBot="1">
      <c r="A57" s="760" t="s">
        <v>2646</v>
      </c>
      <c r="B57" s="756"/>
      <c r="C57" s="761"/>
      <c r="D57" s="761"/>
      <c r="E57" s="761"/>
      <c r="F57" s="762"/>
      <c r="G57" s="762"/>
      <c r="H57" s="761"/>
      <c r="I57" s="761"/>
      <c r="J57" s="761"/>
      <c r="K57" s="763"/>
      <c r="L57" s="1158"/>
      <c r="M57" s="1156"/>
      <c r="N57" s="1156"/>
      <c r="O57" s="1156"/>
      <c r="P57" s="2664"/>
      <c r="Q57" s="2665"/>
      <c r="R57" s="756"/>
      <c r="S57" s="756"/>
      <c r="T57" s="756"/>
      <c r="U57" s="756"/>
      <c r="V57" s="756"/>
      <c r="W57" s="756"/>
      <c r="X57" s="756"/>
      <c r="Y57" s="756"/>
      <c r="Z57" s="756"/>
      <c r="AA57" s="756"/>
      <c r="AB57" s="756"/>
      <c r="AC57" s="756"/>
    </row>
    <row r="58" spans="1:29" s="505" customFormat="1" ht="15">
      <c r="A58" s="502" t="s">
        <v>2520</v>
      </c>
      <c r="B58" s="503"/>
      <c r="C58" s="1571" t="str">
        <f>YEAR(C7)&amp;"-"&amp;MONTH(C7)</f>
        <v>2020-1</v>
      </c>
      <c r="D58" s="1572">
        <f>EDATE(C58,-1)</f>
        <v>43800</v>
      </c>
      <c r="E58" s="1572">
        <f t="shared" ref="E58:N58" si="16">EDATE(D58,-1)</f>
        <v>43770</v>
      </c>
      <c r="F58" s="1572">
        <f t="shared" si="16"/>
        <v>43739</v>
      </c>
      <c r="G58" s="1572">
        <f t="shared" si="16"/>
        <v>43709</v>
      </c>
      <c r="H58" s="1572">
        <f t="shared" si="16"/>
        <v>43678</v>
      </c>
      <c r="I58" s="1572">
        <f t="shared" si="16"/>
        <v>43647</v>
      </c>
      <c r="J58" s="1572">
        <f t="shared" si="16"/>
        <v>43617</v>
      </c>
      <c r="K58" s="1572">
        <f t="shared" si="16"/>
        <v>43586</v>
      </c>
      <c r="L58" s="1572">
        <f t="shared" si="16"/>
        <v>43556</v>
      </c>
      <c r="M58" s="1572">
        <f t="shared" si="16"/>
        <v>43525</v>
      </c>
      <c r="N58" s="1572">
        <f t="shared" si="16"/>
        <v>43497</v>
      </c>
      <c r="O58" s="1572">
        <f>EDATE(N58,-1)</f>
        <v>43466</v>
      </c>
      <c r="P58" s="1567"/>
    </row>
    <row r="59" spans="1:29" s="114" customFormat="1" ht="15">
      <c r="A59" s="506"/>
      <c r="B59" s="507"/>
      <c r="C59" s="1570">
        <v>100</v>
      </c>
      <c r="D59" s="509"/>
      <c r="E59" s="509"/>
      <c r="F59" s="509"/>
      <c r="G59" s="509"/>
      <c r="H59" s="509"/>
      <c r="I59" s="509"/>
      <c r="J59" s="509"/>
      <c r="K59" s="509"/>
      <c r="L59" s="509"/>
      <c r="M59" s="510"/>
      <c r="N59" s="509"/>
      <c r="O59" s="510"/>
      <c r="P59" s="2625"/>
    </row>
    <row r="60" spans="1:29" s="114" customFormat="1" ht="15.75" thickBot="1">
      <c r="A60" s="512" t="s">
        <v>2557</v>
      </c>
      <c r="B60" s="513"/>
      <c r="C60" s="514"/>
      <c r="D60" s="515"/>
      <c r="E60" s="515"/>
      <c r="F60" s="515"/>
      <c r="G60" s="515"/>
      <c r="H60" s="515"/>
      <c r="I60" s="515"/>
      <c r="J60" s="515"/>
      <c r="K60" s="515"/>
      <c r="L60" s="515"/>
      <c r="M60" s="516"/>
      <c r="N60" s="515"/>
      <c r="O60" s="516"/>
      <c r="P60" s="2625"/>
      <c r="Q60" s="501"/>
    </row>
    <row r="61" spans="1:29" s="114" customFormat="1" ht="15">
      <c r="A61" s="518" t="s">
        <v>2522</v>
      </c>
      <c r="B61" s="507"/>
      <c r="C61" s="519" t="s">
        <v>2624</v>
      </c>
      <c r="D61" s="520"/>
      <c r="E61" s="520"/>
      <c r="F61" s="520"/>
      <c r="G61" s="520"/>
      <c r="H61" s="520"/>
      <c r="I61" s="520"/>
      <c r="J61" s="520"/>
      <c r="K61" s="520"/>
      <c r="L61" s="521"/>
      <c r="M61" s="522"/>
      <c r="N61" s="1148"/>
      <c r="O61" s="1148"/>
      <c r="P61" s="2626"/>
      <c r="Q61" s="501"/>
    </row>
    <row r="62" spans="1:29" s="114" customFormat="1" ht="15.75" thickBot="1">
      <c r="A62" s="518"/>
      <c r="B62" s="507"/>
      <c r="C62" s="508">
        <v>100</v>
      </c>
      <c r="D62" s="509"/>
      <c r="E62" s="509"/>
      <c r="F62" s="509"/>
      <c r="G62" s="509"/>
      <c r="H62" s="509"/>
      <c r="I62" s="509"/>
      <c r="J62" s="509"/>
      <c r="K62" s="509"/>
      <c r="L62" s="509"/>
      <c r="M62" s="511"/>
      <c r="N62" s="1148"/>
      <c r="O62" s="1148"/>
      <c r="P62" s="2625"/>
      <c r="Q62" s="501"/>
    </row>
    <row r="63" spans="1:29">
      <c r="A63" s="524" t="s">
        <v>2560</v>
      </c>
      <c r="B63" s="525" t="s">
        <v>2526</v>
      </c>
      <c r="C63" s="526">
        <f>C9</f>
        <v>0</v>
      </c>
      <c r="D63" s="527"/>
      <c r="E63" s="527"/>
      <c r="F63" s="527"/>
      <c r="G63" s="527"/>
      <c r="H63" s="527"/>
      <c r="I63" s="527"/>
      <c r="J63" s="527"/>
      <c r="K63" s="528"/>
      <c r="L63" s="529"/>
      <c r="M63" s="530"/>
      <c r="N63" s="1149"/>
      <c r="O63" s="1149"/>
      <c r="P63" s="2627"/>
      <c r="Q63" s="501"/>
    </row>
    <row r="64" spans="1:29" ht="15.75" thickBot="1">
      <c r="A64" s="531"/>
      <c r="B64" s="532"/>
      <c r="C64" s="533">
        <v>100</v>
      </c>
      <c r="D64" s="533"/>
      <c r="E64" s="533"/>
      <c r="F64" s="533"/>
      <c r="G64" s="533"/>
      <c r="H64" s="533"/>
      <c r="I64" s="533"/>
      <c r="J64" s="533"/>
      <c r="K64" s="533"/>
      <c r="L64" s="533"/>
      <c r="M64" s="534"/>
      <c r="N64" s="1150"/>
      <c r="O64" s="1150"/>
      <c r="P64" s="2627"/>
      <c r="Q64" s="501"/>
    </row>
    <row r="65" spans="1:17" ht="27.75" thickTop="1">
      <c r="A65" s="531"/>
      <c r="B65" s="535" t="s">
        <v>2529</v>
      </c>
      <c r="C65" s="536" t="s">
        <v>2561</v>
      </c>
      <c r="D65" s="536" t="s">
        <v>2562</v>
      </c>
      <c r="E65" s="536" t="s">
        <v>2563</v>
      </c>
      <c r="F65" s="536" t="s">
        <v>2564</v>
      </c>
      <c r="G65" s="536" t="s">
        <v>2565</v>
      </c>
      <c r="H65" s="536" t="s">
        <v>2566</v>
      </c>
      <c r="I65" s="536" t="s">
        <v>2567</v>
      </c>
      <c r="J65" s="536"/>
      <c r="K65" s="537"/>
      <c r="L65" s="538"/>
      <c r="M65" s="539"/>
      <c r="N65" s="1149"/>
      <c r="O65" s="1149"/>
      <c r="P65" s="2627"/>
      <c r="Q65" s="501"/>
    </row>
    <row r="66" spans="1:17" ht="15.75" thickBot="1">
      <c r="A66" s="531"/>
      <c r="B66" s="540"/>
      <c r="C66" s="541" t="s">
        <v>21</v>
      </c>
      <c r="D66" s="541" t="s">
        <v>22</v>
      </c>
      <c r="E66" s="541" t="s">
        <v>23</v>
      </c>
      <c r="F66" s="541">
        <v>100</v>
      </c>
      <c r="G66" s="541">
        <f>F66-$K10</f>
        <v>100</v>
      </c>
      <c r="H66" s="541">
        <f>G66-$K10</f>
        <v>100</v>
      </c>
      <c r="I66" s="541">
        <f>H66-$K10</f>
        <v>100</v>
      </c>
      <c r="J66" s="541"/>
      <c r="K66" s="541"/>
      <c r="L66" s="541"/>
      <c r="M66" s="542"/>
      <c r="N66" s="1150"/>
      <c r="O66" s="1150"/>
      <c r="P66" s="2627"/>
      <c r="Q66" s="501"/>
    </row>
    <row r="67" spans="1:17" ht="15.75" thickTop="1">
      <c r="A67" s="531"/>
      <c r="B67" s="543" t="s">
        <v>2530</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27"/>
      <c r="Q67" s="501"/>
    </row>
    <row r="68" spans="1:17" ht="15">
      <c r="A68" s="531"/>
      <c r="B68" s="545"/>
      <c r="C68" s="546"/>
      <c r="D68" s="546"/>
      <c r="E68" s="546"/>
      <c r="F68" s="546"/>
      <c r="G68" s="546"/>
      <c r="H68" s="546"/>
      <c r="I68" s="546"/>
      <c r="J68" s="546"/>
      <c r="K68" s="547"/>
      <c r="L68" s="548"/>
      <c r="M68" s="549"/>
      <c r="N68" s="1149"/>
      <c r="O68" s="1149"/>
      <c r="P68" s="2627"/>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27"/>
      <c r="Q69" s="501"/>
    </row>
    <row r="70" spans="1:17" s="468" customFormat="1" ht="15.75" thickTop="1">
      <c r="A70" s="550"/>
      <c r="B70" s="535">
        <f>B12</f>
        <v>111</v>
      </c>
      <c r="C70" s="551"/>
      <c r="D70" s="551"/>
      <c r="E70" s="551"/>
      <c r="F70" s="551"/>
      <c r="G70" s="551"/>
      <c r="H70" s="552"/>
      <c r="I70" s="552"/>
      <c r="J70" s="552"/>
      <c r="K70" s="552"/>
      <c r="L70" s="553"/>
      <c r="M70" s="554"/>
      <c r="N70" s="1151"/>
      <c r="O70" s="1151"/>
      <c r="P70" s="2628"/>
      <c r="Q70" s="556"/>
    </row>
    <row r="71" spans="1:17" s="468" customFormat="1" ht="15.75" thickBot="1">
      <c r="A71" s="550"/>
      <c r="B71" s="540"/>
      <c r="C71" s="557"/>
      <c r="D71" s="533"/>
      <c r="E71" s="533"/>
      <c r="F71" s="533"/>
      <c r="G71" s="533"/>
      <c r="H71" s="533"/>
      <c r="I71" s="533"/>
      <c r="J71" s="533"/>
      <c r="K71" s="533"/>
      <c r="L71" s="533"/>
      <c r="M71" s="534"/>
      <c r="N71" s="1150"/>
      <c r="O71" s="1150"/>
      <c r="P71" s="2628"/>
      <c r="Q71" s="556"/>
    </row>
    <row r="72" spans="1:17" s="468" customFormat="1" ht="15.75" thickTop="1">
      <c r="A72" s="550"/>
      <c r="B72" s="535">
        <f>B13</f>
        <v>111</v>
      </c>
      <c r="C72" s="551"/>
      <c r="D72" s="551"/>
      <c r="E72" s="551"/>
      <c r="F72" s="551"/>
      <c r="G72" s="551"/>
      <c r="H72" s="552"/>
      <c r="I72" s="552"/>
      <c r="J72" s="552"/>
      <c r="K72" s="552"/>
      <c r="L72" s="553"/>
      <c r="M72" s="554"/>
      <c r="N72" s="1151"/>
      <c r="O72" s="1151"/>
      <c r="P72" s="2629"/>
      <c r="Q72" s="558"/>
    </row>
    <row r="73" spans="1:17" s="468" customFormat="1" ht="15.75" thickBot="1">
      <c r="A73" s="550"/>
      <c r="B73" s="540"/>
      <c r="C73" s="557"/>
      <c r="D73" s="533"/>
      <c r="E73" s="533"/>
      <c r="F73" s="533"/>
      <c r="G73" s="557"/>
      <c r="H73" s="559"/>
      <c r="I73" s="559"/>
      <c r="J73" s="559"/>
      <c r="K73" s="559"/>
      <c r="L73" s="559"/>
      <c r="M73" s="560"/>
      <c r="N73" s="1151"/>
      <c r="O73" s="1151"/>
      <c r="P73" s="2628"/>
      <c r="Q73" s="556"/>
    </row>
    <row r="74" spans="1:17" s="468" customFormat="1" ht="15.75" thickTop="1">
      <c r="A74" s="550"/>
      <c r="B74" s="543">
        <f>B14</f>
        <v>111</v>
      </c>
      <c r="C74" s="551"/>
      <c r="D74" s="551"/>
      <c r="E74" s="551"/>
      <c r="F74" s="551"/>
      <c r="G74" s="520"/>
      <c r="H74" s="561"/>
      <c r="I74" s="561"/>
      <c r="J74" s="561"/>
      <c r="K74" s="561"/>
      <c r="L74" s="562"/>
      <c r="M74" s="563"/>
      <c r="N74" s="1151"/>
      <c r="O74" s="1151"/>
      <c r="P74" s="2630"/>
      <c r="Q74" s="556"/>
    </row>
    <row r="75" spans="1:17" s="468" customFormat="1" ht="15.75" thickBot="1">
      <c r="A75" s="565"/>
      <c r="B75" s="566"/>
      <c r="C75" s="567"/>
      <c r="D75" s="567"/>
      <c r="E75" s="567"/>
      <c r="F75" s="567"/>
      <c r="G75" s="567"/>
      <c r="H75" s="568"/>
      <c r="I75" s="568"/>
      <c r="J75" s="568"/>
      <c r="K75" s="568"/>
      <c r="L75" s="568"/>
      <c r="M75" s="569"/>
      <c r="N75" s="1151"/>
      <c r="O75" s="1151"/>
      <c r="P75" s="2628"/>
      <c r="Q75" s="556"/>
    </row>
    <row r="76" spans="1:17">
      <c r="A76" s="524" t="s">
        <v>2531</v>
      </c>
      <c r="B76" s="525" t="s">
        <v>2568</v>
      </c>
      <c r="C76" s="570" t="s">
        <v>2569</v>
      </c>
      <c r="D76" s="570" t="s">
        <v>2570</v>
      </c>
      <c r="E76" s="570" t="s">
        <v>2571</v>
      </c>
      <c r="F76" s="570" t="s">
        <v>2572</v>
      </c>
      <c r="G76" s="570" t="s">
        <v>2573</v>
      </c>
      <c r="H76" s="526"/>
      <c r="I76" s="526"/>
      <c r="J76" s="526"/>
      <c r="K76" s="571"/>
      <c r="L76" s="572"/>
      <c r="M76" s="573"/>
      <c r="N76" s="1149"/>
      <c r="O76" s="1149"/>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7"/>
      <c r="Q77" s="501"/>
    </row>
    <row r="78" spans="1:17" ht="15.75" thickTop="1">
      <c r="A78" s="531"/>
      <c r="B78" s="535" t="s">
        <v>2574</v>
      </c>
      <c r="C78" s="575" t="s">
        <v>2569</v>
      </c>
      <c r="D78" s="575" t="s">
        <v>2570</v>
      </c>
      <c r="E78" s="575" t="s">
        <v>2571</v>
      </c>
      <c r="F78" s="575" t="s">
        <v>2572</v>
      </c>
      <c r="G78" s="575" t="s">
        <v>2573</v>
      </c>
      <c r="H78" s="536"/>
      <c r="I78" s="536"/>
      <c r="J78" s="536"/>
      <c r="K78" s="537"/>
      <c r="L78" s="538"/>
      <c r="M78" s="539"/>
      <c r="N78" s="1149"/>
      <c r="O78" s="1149"/>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7"/>
      <c r="Q79" s="501"/>
    </row>
    <row r="80" spans="1:17" ht="15.75" thickTop="1">
      <c r="A80" s="531"/>
      <c r="B80" s="535" t="s">
        <v>2575</v>
      </c>
      <c r="C80" s="575" t="s">
        <v>2569</v>
      </c>
      <c r="D80" s="575" t="s">
        <v>2570</v>
      </c>
      <c r="E80" s="575" t="s">
        <v>2571</v>
      </c>
      <c r="F80" s="575" t="s">
        <v>2572</v>
      </c>
      <c r="G80" s="575" t="s">
        <v>2573</v>
      </c>
      <c r="H80" s="536"/>
      <c r="I80" s="536"/>
      <c r="J80" s="536"/>
      <c r="K80" s="537"/>
      <c r="L80" s="538"/>
      <c r="M80" s="539"/>
      <c r="N80" s="1149"/>
      <c r="O80" s="1149"/>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7"/>
      <c r="Q81" s="501"/>
    </row>
    <row r="82" spans="1:17" ht="15.75" thickTop="1">
      <c r="A82" s="531"/>
      <c r="B82" s="543" t="s">
        <v>2627</v>
      </c>
      <c r="C82" s="657" t="s">
        <v>2647</v>
      </c>
      <c r="D82" s="657" t="s">
        <v>2648</v>
      </c>
      <c r="E82" s="657" t="s">
        <v>2649</v>
      </c>
      <c r="F82" s="657" t="s">
        <v>2650</v>
      </c>
      <c r="G82" s="657" t="s">
        <v>2651</v>
      </c>
      <c r="H82" s="536"/>
      <c r="I82" s="536"/>
      <c r="J82" s="536"/>
      <c r="K82" s="536"/>
      <c r="L82" s="536"/>
      <c r="M82" s="1379"/>
      <c r="N82" s="1150"/>
      <c r="O82" s="1150"/>
      <c r="P82" s="2627"/>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0"/>
      <c r="O83" s="1150"/>
      <c r="P83" s="2627"/>
      <c r="Q83" s="501"/>
    </row>
    <row r="84" spans="1:17" ht="15.75" thickTop="1">
      <c r="A84" s="531"/>
      <c r="B84" s="535" t="s">
        <v>2581</v>
      </c>
      <c r="C84" s="575" t="s">
        <v>2569</v>
      </c>
      <c r="D84" s="575" t="s">
        <v>2570</v>
      </c>
      <c r="E84" s="575" t="s">
        <v>2571</v>
      </c>
      <c r="F84" s="575" t="s">
        <v>2572</v>
      </c>
      <c r="G84" s="575" t="s">
        <v>2573</v>
      </c>
      <c r="H84" s="536"/>
      <c r="I84" s="536"/>
      <c r="J84" s="536"/>
      <c r="K84" s="537"/>
      <c r="L84" s="538"/>
      <c r="M84" s="539"/>
      <c r="N84" s="1149"/>
      <c r="O84" s="1149"/>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7"/>
      <c r="Q85" s="501"/>
    </row>
    <row r="86" spans="1:17" s="114" customFormat="1" ht="15.75" thickTop="1">
      <c r="A86" s="576"/>
      <c r="B86" s="535" t="s">
        <v>2652</v>
      </c>
      <c r="C86" s="551"/>
      <c r="D86" s="551"/>
      <c r="E86" s="551"/>
      <c r="F86" s="551"/>
      <c r="G86" s="551"/>
      <c r="H86" s="551"/>
      <c r="I86" s="551"/>
      <c r="J86" s="551"/>
      <c r="K86" s="551"/>
      <c r="L86" s="577"/>
      <c r="M86" s="578"/>
      <c r="N86" s="1148"/>
      <c r="O86" s="1148"/>
      <c r="P86" s="2627"/>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0"/>
      <c r="O87" s="1150"/>
      <c r="P87" s="2627"/>
      <c r="Q87" s="501"/>
    </row>
    <row r="88" spans="1:17" s="114" customFormat="1" ht="15.75" thickTop="1">
      <c r="A88" s="576"/>
      <c r="B88" s="535" t="str">
        <f>B26</f>
        <v>平面位置/可视性</v>
      </c>
      <c r="C88" s="551"/>
      <c r="D88" s="551"/>
      <c r="E88" s="551"/>
      <c r="F88" s="2632"/>
      <c r="G88" s="551"/>
      <c r="H88" s="551"/>
      <c r="I88" s="551"/>
      <c r="J88" s="551"/>
      <c r="K88" s="551"/>
      <c r="L88" s="551"/>
      <c r="M88" s="578"/>
      <c r="N88" s="1148"/>
      <c r="O88" s="1148"/>
      <c r="P88" s="2627"/>
      <c r="Q88" s="501"/>
    </row>
    <row r="89" spans="1:17" s="114" customFormat="1" ht="15.75" thickBot="1">
      <c r="A89" s="576"/>
      <c r="B89" s="540"/>
      <c r="C89" s="557"/>
      <c r="D89" s="533"/>
      <c r="E89" s="533"/>
      <c r="F89" s="533"/>
      <c r="G89" s="533"/>
      <c r="H89" s="533"/>
      <c r="I89" s="533"/>
      <c r="J89" s="533"/>
      <c r="K89" s="533"/>
      <c r="L89" s="533"/>
      <c r="M89" s="533"/>
      <c r="N89" s="1150"/>
      <c r="O89" s="1150"/>
      <c r="P89" s="2627"/>
      <c r="Q89" s="501"/>
    </row>
    <row r="90" spans="1:17" s="468" customFormat="1" ht="15.75" thickTop="1">
      <c r="A90" s="550"/>
      <c r="B90" s="535" t="str">
        <f>B27</f>
        <v>人流量</v>
      </c>
      <c r="C90" s="551"/>
      <c r="D90" s="551"/>
      <c r="E90" s="551"/>
      <c r="F90" s="551"/>
      <c r="G90" s="551"/>
      <c r="H90" s="552"/>
      <c r="I90" s="552"/>
      <c r="J90" s="552"/>
      <c r="K90" s="552"/>
      <c r="L90" s="553"/>
      <c r="M90" s="554"/>
      <c r="N90" s="1151"/>
      <c r="O90" s="1151"/>
      <c r="P90" s="2628"/>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1"/>
      <c r="O91" s="1151"/>
      <c r="P91" s="2628"/>
      <c r="Q91" s="556"/>
    </row>
    <row r="92" spans="1:17" ht="15.75" thickTop="1">
      <c r="A92" s="531"/>
      <c r="B92" s="535" t="str">
        <f>B28</f>
        <v>楼层</v>
      </c>
      <c r="C92" s="551"/>
      <c r="D92" s="551"/>
      <c r="E92" s="551"/>
      <c r="F92" s="551"/>
      <c r="G92" s="551"/>
      <c r="H92" s="551"/>
      <c r="I92" s="551"/>
      <c r="J92" s="551"/>
      <c r="K92" s="551"/>
      <c r="L92" s="577"/>
      <c r="M92" s="578"/>
      <c r="N92" s="1149"/>
      <c r="O92" s="1149"/>
      <c r="P92" s="2627"/>
      <c r="Q92" s="501"/>
    </row>
    <row r="93" spans="1:17" ht="15.75" thickBot="1">
      <c r="A93" s="531"/>
      <c r="B93" s="540"/>
      <c r="C93" s="533"/>
      <c r="D93" s="533"/>
      <c r="E93" s="533"/>
      <c r="F93" s="533"/>
      <c r="G93" s="533"/>
      <c r="H93" s="533"/>
      <c r="I93" s="533"/>
      <c r="J93" s="533"/>
      <c r="K93" s="533"/>
      <c r="L93" s="533"/>
      <c r="M93" s="534"/>
      <c r="N93" s="1150"/>
      <c r="O93" s="1150"/>
      <c r="P93" s="2627"/>
      <c r="Q93" s="501"/>
    </row>
    <row r="94" spans="1:17" ht="15.75" thickTop="1">
      <c r="A94" s="531"/>
      <c r="B94" s="535">
        <f>B29</f>
        <v>111</v>
      </c>
      <c r="C94" s="551"/>
      <c r="D94" s="551"/>
      <c r="E94" s="551"/>
      <c r="F94" s="551"/>
      <c r="G94" s="580"/>
      <c r="H94" s="580"/>
      <c r="I94" s="580"/>
      <c r="J94" s="580"/>
      <c r="K94" s="581"/>
      <c r="L94" s="582"/>
      <c r="M94" s="583"/>
      <c r="N94" s="1149"/>
      <c r="O94" s="1149"/>
      <c r="P94" s="2627"/>
      <c r="Q94" s="501"/>
    </row>
    <row r="95" spans="1:17" ht="15.75" thickBot="1">
      <c r="A95" s="531"/>
      <c r="B95" s="540"/>
      <c r="C95" s="557"/>
      <c r="D95" s="533"/>
      <c r="E95" s="533"/>
      <c r="F95" s="533"/>
      <c r="G95" s="533"/>
      <c r="H95" s="533"/>
      <c r="I95" s="533"/>
      <c r="J95" s="533"/>
      <c r="K95" s="533"/>
      <c r="L95" s="533"/>
      <c r="M95" s="534"/>
      <c r="N95" s="1150"/>
      <c r="O95" s="1150"/>
      <c r="P95" s="2627"/>
      <c r="Q95" s="501"/>
    </row>
    <row r="96" spans="1:17" ht="15.75" thickTop="1">
      <c r="A96" s="531"/>
      <c r="B96" s="535">
        <f>B30</f>
        <v>111</v>
      </c>
      <c r="C96" s="551"/>
      <c r="D96" s="551"/>
      <c r="E96" s="551"/>
      <c r="F96" s="551"/>
      <c r="G96" s="580"/>
      <c r="H96" s="580"/>
      <c r="I96" s="580"/>
      <c r="J96" s="580"/>
      <c r="K96" s="581"/>
      <c r="L96" s="582"/>
      <c r="M96" s="583"/>
      <c r="N96" s="1149"/>
      <c r="O96" s="1149"/>
      <c r="P96" s="2627"/>
      <c r="Q96" s="501"/>
    </row>
    <row r="97" spans="1:17" ht="15.75" thickBot="1">
      <c r="A97" s="531"/>
      <c r="B97" s="540"/>
      <c r="C97" s="557"/>
      <c r="D97" s="533"/>
      <c r="E97" s="533"/>
      <c r="F97" s="533"/>
      <c r="G97" s="533"/>
      <c r="H97" s="533"/>
      <c r="I97" s="533"/>
      <c r="J97" s="533"/>
      <c r="K97" s="533"/>
      <c r="L97" s="533"/>
      <c r="M97" s="534"/>
      <c r="N97" s="1150"/>
      <c r="O97" s="1150"/>
      <c r="P97" s="2627"/>
      <c r="Q97" s="501"/>
    </row>
    <row r="98" spans="1:17" ht="15.75" thickTop="1">
      <c r="A98" s="531"/>
      <c r="B98" s="543">
        <f>B31</f>
        <v>111</v>
      </c>
      <c r="C98" s="551"/>
      <c r="D98" s="551"/>
      <c r="E98" s="551"/>
      <c r="F98" s="551"/>
      <c r="G98" s="584"/>
      <c r="H98" s="584"/>
      <c r="I98" s="584"/>
      <c r="J98" s="584"/>
      <c r="K98" s="585"/>
      <c r="L98" s="586"/>
      <c r="M98" s="587"/>
      <c r="N98" s="1149"/>
      <c r="O98" s="1149"/>
      <c r="P98" s="2627"/>
      <c r="Q98" s="501"/>
    </row>
    <row r="99" spans="1:17" ht="15.75" thickBot="1">
      <c r="A99" s="2633"/>
      <c r="B99" s="566"/>
      <c r="C99" s="567"/>
      <c r="D99" s="567"/>
      <c r="E99" s="567"/>
      <c r="F99" s="567"/>
      <c r="G99" s="588"/>
      <c r="H99" s="588"/>
      <c r="I99" s="588"/>
      <c r="J99" s="588"/>
      <c r="K99" s="588"/>
      <c r="L99" s="588"/>
      <c r="M99" s="589"/>
      <c r="N99" s="1150"/>
      <c r="O99" s="1150"/>
      <c r="P99" s="2627"/>
      <c r="Q99" s="501"/>
    </row>
    <row r="100" spans="1:17">
      <c r="A100" s="524" t="s">
        <v>2535</v>
      </c>
      <c r="B100" s="525" t="s">
        <v>2653</v>
      </c>
      <c r="C100" s="527"/>
      <c r="D100" s="527"/>
      <c r="E100" s="527"/>
      <c r="F100" s="527"/>
      <c r="G100" s="527"/>
      <c r="H100" s="527"/>
      <c r="I100" s="527"/>
      <c r="J100" s="527"/>
      <c r="K100" s="528"/>
      <c r="L100" s="529"/>
      <c r="M100" s="530"/>
      <c r="N100" s="1149"/>
      <c r="O100" s="1149"/>
      <c r="P100" s="2627"/>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0"/>
      <c r="O101" s="1150"/>
      <c r="P101" s="2627"/>
      <c r="Q101" s="501"/>
    </row>
    <row r="102" spans="1:17" ht="15.75" thickTop="1">
      <c r="A102" s="531"/>
      <c r="B102" s="535" t="s">
        <v>2585</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27"/>
      <c r="Q102" s="501"/>
    </row>
    <row r="103" spans="1:17" s="468" customFormat="1">
      <c r="A103" s="590"/>
      <c r="B103" s="591"/>
      <c r="C103" s="592"/>
      <c r="D103" s="592"/>
      <c r="E103" s="592"/>
      <c r="F103" s="592"/>
      <c r="G103" s="592"/>
      <c r="H103" s="592"/>
      <c r="I103" s="592"/>
      <c r="J103" s="593"/>
      <c r="K103" s="593"/>
      <c r="L103" s="594"/>
      <c r="M103" s="595"/>
      <c r="N103" s="1151"/>
      <c r="O103" s="1151"/>
      <c r="P103" s="2628"/>
      <c r="Q103" s="556"/>
    </row>
    <row r="104" spans="1:17" s="468" customFormat="1" ht="15.75" thickBot="1">
      <c r="A104" s="550"/>
      <c r="B104" s="540"/>
      <c r="C104" s="557"/>
      <c r="D104" s="533"/>
      <c r="E104" s="533"/>
      <c r="F104" s="533"/>
      <c r="G104" s="533"/>
      <c r="H104" s="533"/>
      <c r="I104" s="533"/>
      <c r="J104" s="533"/>
      <c r="K104" s="533"/>
      <c r="L104" s="533"/>
      <c r="M104" s="534"/>
      <c r="N104" s="1150"/>
      <c r="O104" s="1150"/>
      <c r="P104" s="2628"/>
      <c r="Q104" s="556"/>
    </row>
    <row r="105" spans="1:17" ht="15" thickTop="1">
      <c r="A105" s="596"/>
      <c r="B105" s="535" t="s">
        <v>2586</v>
      </c>
      <c r="C105" s="551"/>
      <c r="D105" s="551"/>
      <c r="E105" s="580"/>
      <c r="F105" s="580"/>
      <c r="G105" s="580"/>
      <c r="H105" s="580"/>
      <c r="I105" s="580"/>
      <c r="J105" s="580"/>
      <c r="K105" s="581"/>
      <c r="L105" s="582"/>
      <c r="M105" s="583"/>
      <c r="N105" s="1149"/>
      <c r="O105" s="1149"/>
      <c r="P105" s="2627"/>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0"/>
      <c r="O106" s="1150"/>
      <c r="P106" s="2627"/>
      <c r="Q106" s="501"/>
    </row>
    <row r="107" spans="1:17" ht="15" thickTop="1">
      <c r="A107" s="596"/>
      <c r="B107" s="535" t="s">
        <v>2588</v>
      </c>
      <c r="C107" s="551"/>
      <c r="D107" s="551"/>
      <c r="E107" s="551"/>
      <c r="F107" s="580"/>
      <c r="G107" s="580"/>
      <c r="H107" s="580"/>
      <c r="I107" s="580"/>
      <c r="J107" s="580"/>
      <c r="K107" s="581"/>
      <c r="L107" s="582"/>
      <c r="M107" s="583"/>
      <c r="N107" s="1149"/>
      <c r="O107" s="1149"/>
      <c r="P107" s="2627"/>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0"/>
      <c r="O108" s="1150"/>
      <c r="P108" s="2627"/>
      <c r="Q108" s="501"/>
    </row>
    <row r="109" spans="1:17" ht="15" thickTop="1">
      <c r="A109" s="596"/>
      <c r="B109" s="535" t="s">
        <v>1970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27"/>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27"/>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0"/>
      <c r="O111" s="1150"/>
      <c r="P111" s="2627"/>
      <c r="Q111" s="501"/>
    </row>
    <row r="112" spans="1:17" s="468" customFormat="1" ht="15" thickTop="1">
      <c r="A112" s="590"/>
      <c r="B112" s="535" t="s">
        <v>2590</v>
      </c>
      <c r="C112" s="551"/>
      <c r="D112" s="551"/>
      <c r="E112" s="551"/>
      <c r="F112" s="551"/>
      <c r="G112" s="551"/>
      <c r="H112" s="580"/>
      <c r="I112" s="580"/>
      <c r="J112" s="580"/>
      <c r="K112" s="581"/>
      <c r="L112" s="582"/>
      <c r="M112" s="583"/>
      <c r="N112" s="1151"/>
      <c r="O112" s="1151"/>
      <c r="P112" s="2628"/>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1"/>
      <c r="O113" s="1151"/>
      <c r="P113" s="2628"/>
      <c r="Q113" s="556"/>
    </row>
    <row r="114" spans="1:17" ht="15" thickTop="1">
      <c r="A114" s="596"/>
      <c r="B114" s="535" t="s">
        <v>2654</v>
      </c>
      <c r="C114" s="551"/>
      <c r="D114" s="551"/>
      <c r="E114" s="580"/>
      <c r="F114" s="580"/>
      <c r="G114" s="580"/>
      <c r="H114" s="580"/>
      <c r="I114" s="580"/>
      <c r="J114" s="580"/>
      <c r="K114" s="581"/>
      <c r="L114" s="582"/>
      <c r="M114" s="583"/>
      <c r="N114" s="1149"/>
      <c r="O114" s="1149"/>
      <c r="P114" s="2627"/>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2627"/>
      <c r="Q115" s="501"/>
    </row>
    <row r="116" spans="1:17" ht="15" thickTop="1">
      <c r="A116" s="596"/>
      <c r="B116" s="535" t="s">
        <v>2655</v>
      </c>
      <c r="C116" s="551"/>
      <c r="D116" s="551"/>
      <c r="E116" s="551"/>
      <c r="F116" s="551"/>
      <c r="G116" s="551"/>
      <c r="H116" s="580"/>
      <c r="I116" s="580"/>
      <c r="J116" s="580"/>
      <c r="K116" s="581"/>
      <c r="L116" s="582"/>
      <c r="M116" s="583"/>
      <c r="N116" s="1149"/>
      <c r="O116" s="1149"/>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7"/>
      <c r="Q117" s="501"/>
    </row>
    <row r="118" spans="1:17" ht="15" thickTop="1">
      <c r="A118" s="596"/>
      <c r="B118" s="535" t="s">
        <v>2656</v>
      </c>
      <c r="C118" s="624"/>
      <c r="D118" s="624"/>
      <c r="E118" s="624"/>
      <c r="F118" s="624"/>
      <c r="G118" s="624"/>
      <c r="H118" s="552"/>
      <c r="I118" s="552"/>
      <c r="J118" s="552"/>
      <c r="K118" s="552"/>
      <c r="L118" s="553"/>
      <c r="M118" s="554"/>
      <c r="N118" s="1149"/>
      <c r="O118" s="1149"/>
      <c r="P118" s="2627"/>
      <c r="Q118" s="501"/>
    </row>
    <row r="119" spans="1:17" ht="15.75" thickBot="1">
      <c r="A119" s="531"/>
      <c r="B119" s="540"/>
      <c r="C119" s="557"/>
      <c r="D119" s="533"/>
      <c r="E119" s="533"/>
      <c r="F119" s="533"/>
      <c r="G119" s="533"/>
      <c r="H119" s="533"/>
      <c r="I119" s="533"/>
      <c r="J119" s="533"/>
      <c r="K119" s="533"/>
      <c r="L119" s="533"/>
      <c r="M119" s="534"/>
      <c r="N119" s="1150"/>
      <c r="O119" s="1150"/>
      <c r="P119" s="2627"/>
      <c r="Q119" s="501"/>
    </row>
    <row r="120" spans="1:17" s="468" customFormat="1" ht="15" thickTop="1">
      <c r="A120" s="590"/>
      <c r="B120" s="535" t="s">
        <v>2657</v>
      </c>
      <c r="C120" s="580"/>
      <c r="D120" s="580"/>
      <c r="E120" s="580"/>
      <c r="F120" s="580"/>
      <c r="G120" s="552"/>
      <c r="H120" s="552"/>
      <c r="I120" s="552"/>
      <c r="J120" s="552"/>
      <c r="K120" s="552"/>
      <c r="L120" s="553"/>
      <c r="M120" s="554"/>
      <c r="N120" s="1151"/>
      <c r="O120" s="1151"/>
      <c r="P120" s="2628"/>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1"/>
      <c r="O121" s="1151"/>
      <c r="P121" s="2628"/>
      <c r="Q121" s="556"/>
    </row>
    <row r="122" spans="1:17" ht="15" thickTop="1">
      <c r="A122" s="596"/>
      <c r="B122" s="535" t="s">
        <v>2592</v>
      </c>
      <c r="C122" s="551"/>
      <c r="D122" s="551"/>
      <c r="E122" s="551"/>
      <c r="F122" s="580"/>
      <c r="G122" s="580"/>
      <c r="H122" s="580"/>
      <c r="I122" s="580"/>
      <c r="J122" s="580"/>
      <c r="K122" s="581"/>
      <c r="L122" s="582"/>
      <c r="M122" s="583"/>
      <c r="N122" s="1149"/>
      <c r="O122" s="1149"/>
      <c r="P122" s="2627"/>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0"/>
      <c r="O123" s="1150"/>
      <c r="P123" s="2627"/>
      <c r="Q123" s="501"/>
    </row>
    <row r="124" spans="1:17" ht="15" thickTop="1">
      <c r="A124" s="596"/>
      <c r="B124" s="535" t="s">
        <v>2593</v>
      </c>
      <c r="C124" s="575" t="s">
        <v>2569</v>
      </c>
      <c r="D124" s="575" t="s">
        <v>2570</v>
      </c>
      <c r="E124" s="575" t="s">
        <v>2571</v>
      </c>
      <c r="F124" s="575" t="s">
        <v>2572</v>
      </c>
      <c r="G124" s="575" t="s">
        <v>2573</v>
      </c>
      <c r="H124" s="536"/>
      <c r="I124" s="536"/>
      <c r="J124" s="536"/>
      <c r="K124" s="537"/>
      <c r="L124" s="538"/>
      <c r="M124" s="539"/>
      <c r="N124" s="1149"/>
      <c r="O124" s="1149"/>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7"/>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8"/>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8"/>
      <c r="Q127" s="556"/>
    </row>
    <row r="128" spans="1:17" ht="15" thickTop="1">
      <c r="A128" s="596"/>
      <c r="B128" s="535">
        <f>B45</f>
        <v>111</v>
      </c>
      <c r="C128" s="551"/>
      <c r="D128" s="551"/>
      <c r="E128" s="551"/>
      <c r="F128" s="551"/>
      <c r="G128" s="580"/>
      <c r="H128" s="580"/>
      <c r="I128" s="580"/>
      <c r="J128" s="580"/>
      <c r="K128" s="581"/>
      <c r="L128" s="582"/>
      <c r="M128" s="583"/>
      <c r="N128" s="1149"/>
      <c r="O128" s="1149"/>
      <c r="P128" s="2627"/>
      <c r="Q128" s="501"/>
    </row>
    <row r="129" spans="1:17" ht="15.75" thickBot="1">
      <c r="A129" s="531"/>
      <c r="B129" s="540"/>
      <c r="C129" s="557"/>
      <c r="D129" s="533"/>
      <c r="E129" s="533"/>
      <c r="F129" s="533"/>
      <c r="G129" s="533"/>
      <c r="H129" s="533"/>
      <c r="I129" s="533"/>
      <c r="J129" s="533"/>
      <c r="K129" s="533"/>
      <c r="L129" s="533"/>
      <c r="M129" s="534"/>
      <c r="N129" s="1150"/>
      <c r="O129" s="1150"/>
      <c r="P129" s="2627"/>
      <c r="Q129" s="501"/>
    </row>
    <row r="130" spans="1:17" ht="15" thickTop="1">
      <c r="A130" s="596"/>
      <c r="B130" s="543">
        <f>B46</f>
        <v>111</v>
      </c>
      <c r="C130" s="551"/>
      <c r="D130" s="551"/>
      <c r="E130" s="551"/>
      <c r="F130" s="551"/>
      <c r="G130" s="584"/>
      <c r="H130" s="584"/>
      <c r="I130" s="584"/>
      <c r="J130" s="584"/>
      <c r="K130" s="520"/>
      <c r="L130" s="521"/>
      <c r="M130" s="587"/>
      <c r="N130" s="1149"/>
      <c r="O130" s="1149"/>
      <c r="P130" s="2627"/>
      <c r="Q130" s="501"/>
    </row>
    <row r="131" spans="1:17" ht="15.75" thickBot="1">
      <c r="A131" s="2633"/>
      <c r="B131" s="566"/>
      <c r="C131" s="567"/>
      <c r="D131" s="567"/>
      <c r="E131" s="567"/>
      <c r="F131" s="567"/>
      <c r="G131" s="588"/>
      <c r="H131" s="588"/>
      <c r="I131" s="588"/>
      <c r="J131" s="588"/>
      <c r="K131" s="588"/>
      <c r="L131" s="588"/>
      <c r="M131" s="589"/>
      <c r="N131" s="1150"/>
      <c r="O131" s="1150"/>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666" t="s">
        <v>2658</v>
      </c>
      <c r="C1" s="1617" t="s">
        <v>2502</v>
      </c>
      <c r="D1" s="1618"/>
      <c r="E1" s="1627"/>
      <c r="F1" s="2581"/>
      <c r="G1" s="1628" t="s">
        <v>2615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2302</v>
      </c>
      <c r="B2" s="1415" t="e">
        <f ca="1">IF(C2="——",ROUND(C50*D3/10000,0),ROUND(C50*D3/10000,0)-D2)</f>
        <v>#DIV/0!</v>
      </c>
      <c r="C2" s="2583"/>
      <c r="D2" s="1362" t="e">
        <f ca="1">SUMIF(INDIRECT("'"&amp;F2&amp;"'"&amp;"!A:A"),"承租人权益价值",INDIRECT("'"&amp;F2&amp;"'"&amp;"!c:c"))</f>
        <v>#REF!</v>
      </c>
      <c r="E2" s="2584" t="s">
        <v>2303</v>
      </c>
      <c r="F2" s="2585"/>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2304</v>
      </c>
      <c r="B3" s="606" t="e">
        <f ca="1">IF(C2="——",C50,ROUND(B2*10000/D3,0))</f>
        <v>#DIV/0!</v>
      </c>
      <c r="C3" s="397" t="s">
        <v>2616</v>
      </c>
      <c r="D3" s="396">
        <f>IF(D1="",'数据-汇总表'!E3,SUMIF('数据-汇总表'!$C19:$C33,D1,'数据-汇总表'!$E19:$E33))</f>
        <v>46024.009999999995</v>
      </c>
      <c r="E3" s="2660"/>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8" t="s">
        <v>2617</v>
      </c>
      <c r="B4" s="399"/>
      <c r="C4" s="3220" t="s">
        <v>2618</v>
      </c>
      <c r="D4" s="3221"/>
      <c r="E4" s="3222" t="s">
        <v>2619</v>
      </c>
      <c r="F4" s="3223"/>
      <c r="G4" s="3220" t="s">
        <v>2620</v>
      </c>
      <c r="H4" s="3221"/>
      <c r="I4" s="3220" t="s">
        <v>2621</v>
      </c>
      <c r="J4" s="3221"/>
      <c r="K4" s="607" t="s">
        <v>2622</v>
      </c>
      <c r="L4" s="1127"/>
      <c r="M4" s="1128"/>
      <c r="N4" s="1128"/>
      <c r="O4" s="1128"/>
      <c r="P4" s="3254" t="s">
        <v>2623</v>
      </c>
      <c r="Q4" s="3255"/>
      <c r="R4" s="3258" t="s">
        <v>2619</v>
      </c>
      <c r="S4" s="3259"/>
      <c r="T4" s="3258" t="s">
        <v>2620</v>
      </c>
      <c r="U4" s="3259"/>
      <c r="V4" s="3260" t="s">
        <v>2621</v>
      </c>
      <c r="W4" s="3260"/>
      <c r="X4" s="2667"/>
      <c r="Y4" s="3258" t="s">
        <v>2623</v>
      </c>
      <c r="Z4" s="3259"/>
      <c r="AA4" s="3262" t="s">
        <v>2619</v>
      </c>
      <c r="AB4" s="3262" t="s">
        <v>2620</v>
      </c>
      <c r="AC4" s="3251" t="s">
        <v>2621</v>
      </c>
    </row>
    <row r="5" spans="1:29" ht="15">
      <c r="A5" s="401"/>
      <c r="B5" s="402"/>
      <c r="C5" s="3239" t="s">
        <v>2514</v>
      </c>
      <c r="D5" s="3240"/>
      <c r="E5" s="3246" t="s">
        <v>2515</v>
      </c>
      <c r="F5" s="3247"/>
      <c r="G5" s="3239" t="s">
        <v>2516</v>
      </c>
      <c r="H5" s="3240"/>
      <c r="I5" s="3239" t="s">
        <v>2517</v>
      </c>
      <c r="J5" s="3240"/>
      <c r="K5" s="607"/>
      <c r="L5" s="1127"/>
      <c r="M5" s="1128"/>
      <c r="N5" s="1128"/>
      <c r="O5" s="1128"/>
      <c r="P5" s="3256"/>
      <c r="Q5" s="3227"/>
      <c r="R5" s="3232"/>
      <c r="S5" s="3233"/>
      <c r="T5" s="3232"/>
      <c r="U5" s="3233"/>
      <c r="V5" s="3236"/>
      <c r="W5" s="3236"/>
      <c r="X5" s="1810"/>
      <c r="Y5" s="3232"/>
      <c r="Z5" s="3233"/>
      <c r="AA5" s="3218"/>
      <c r="AB5" s="3218"/>
      <c r="AC5" s="3252"/>
    </row>
    <row r="6" spans="1:29" ht="15.75" thickBot="1">
      <c r="A6" s="403"/>
      <c r="B6" s="404"/>
      <c r="C6" s="3237" t="s">
        <v>2518</v>
      </c>
      <c r="D6" s="3238"/>
      <c r="E6" s="3244" t="s">
        <v>2518</v>
      </c>
      <c r="F6" s="3245"/>
      <c r="G6" s="3237" t="s">
        <v>2518</v>
      </c>
      <c r="H6" s="3238"/>
      <c r="I6" s="3237" t="s">
        <v>2518</v>
      </c>
      <c r="J6" s="3238"/>
      <c r="K6" s="607" t="s">
        <v>2519</v>
      </c>
      <c r="L6" s="1127"/>
      <c r="M6" s="1128"/>
      <c r="N6" s="1128"/>
      <c r="O6" s="1128"/>
      <c r="P6" s="3257"/>
      <c r="Q6" s="3229"/>
      <c r="R6" s="3232"/>
      <c r="S6" s="3233"/>
      <c r="T6" s="3234"/>
      <c r="U6" s="3235"/>
      <c r="V6" s="3236"/>
      <c r="W6" s="3236"/>
      <c r="X6" s="1810"/>
      <c r="Y6" s="3234"/>
      <c r="Z6" s="3235"/>
      <c r="AA6" s="3219"/>
      <c r="AB6" s="3219"/>
      <c r="AC6" s="3253"/>
    </row>
    <row r="7" spans="1:29" s="114" customFormat="1" ht="15.75" thickBot="1">
      <c r="A7" s="405" t="s">
        <v>2520</v>
      </c>
      <c r="B7" s="406"/>
      <c r="C7" s="407">
        <f>'数据-取费表'!B2</f>
        <v>43832</v>
      </c>
      <c r="D7" s="408">
        <v>100</v>
      </c>
      <c r="E7" s="409"/>
      <c r="F7" s="410">
        <f>SUMIF(59:59,YEAR(E7)&amp;"-"&amp;MONTH(E7),60:60)</f>
        <v>0</v>
      </c>
      <c r="G7" s="409"/>
      <c r="H7" s="408">
        <f>SUMIF(59:59,YEAR(G7)&amp;"-"&amp;MONTH(G7),60:60)</f>
        <v>0</v>
      </c>
      <c r="I7" s="409"/>
      <c r="J7" s="408">
        <f>SUMIF(59:59,YEAR(I7)&amp;"-"&amp;MONTH(I7),60:60)</f>
        <v>0</v>
      </c>
      <c r="K7" s="608"/>
      <c r="L7" s="1129"/>
      <c r="M7" s="1130"/>
      <c r="N7" s="1130"/>
      <c r="O7" s="1130"/>
      <c r="P7" s="3261" t="s">
        <v>2521</v>
      </c>
      <c r="Q7" s="3243"/>
      <c r="R7" s="767" t="s">
        <v>14</v>
      </c>
      <c r="S7" s="768">
        <f t="shared" ref="S7:S15" si="0">F7</f>
        <v>0</v>
      </c>
      <c r="T7" s="767" t="s">
        <v>14</v>
      </c>
      <c r="U7" s="768">
        <f t="shared" ref="U7:U15" si="1">H7</f>
        <v>0</v>
      </c>
      <c r="V7" s="767" t="s">
        <v>14</v>
      </c>
      <c r="W7" s="768">
        <f t="shared" ref="W7:W15" si="2">J7</f>
        <v>0</v>
      </c>
      <c r="X7" s="769"/>
      <c r="Y7" s="3241" t="s">
        <v>2521</v>
      </c>
      <c r="Z7" s="3242"/>
      <c r="AA7" s="770" t="e">
        <f>D7/F7</f>
        <v>#DIV/0!</v>
      </c>
      <c r="AB7" s="770" t="e">
        <f>D7/H7</f>
        <v>#DIV/0!</v>
      </c>
      <c r="AC7" s="2668" t="e">
        <f>D7/J7</f>
        <v>#DIV/0!</v>
      </c>
    </row>
    <row r="8" spans="1:29" s="114" customFormat="1" ht="15.75" thickBot="1">
      <c r="A8" s="405" t="s">
        <v>2522</v>
      </c>
      <c r="B8" s="406"/>
      <c r="C8" s="411" t="s">
        <v>2624</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261" t="s">
        <v>2524</v>
      </c>
      <c r="Q8" s="3242"/>
      <c r="R8" s="767" t="s">
        <v>14</v>
      </c>
      <c r="S8" s="768">
        <f t="shared" si="0"/>
        <v>0</v>
      </c>
      <c r="T8" s="767" t="s">
        <v>14</v>
      </c>
      <c r="U8" s="768">
        <f t="shared" si="1"/>
        <v>0</v>
      </c>
      <c r="V8" s="767" t="s">
        <v>14</v>
      </c>
      <c r="W8" s="768">
        <f t="shared" si="2"/>
        <v>0</v>
      </c>
      <c r="X8" s="769"/>
      <c r="Y8" s="3241" t="s">
        <v>2524</v>
      </c>
      <c r="Z8" s="3242"/>
      <c r="AA8" s="770" t="e">
        <f t="shared" ref="AA8:AA47" si="3">D8/F8</f>
        <v>#DIV/0!</v>
      </c>
      <c r="AB8" s="770" t="e">
        <f t="shared" ref="AB8:AB47" si="4">D8/H8</f>
        <v>#DIV/0!</v>
      </c>
      <c r="AC8" s="2668" t="e">
        <f t="shared" ref="AC8:AC47" si="5">D8/J8</f>
        <v>#DIV/0!</v>
      </c>
    </row>
    <row r="9" spans="1:29" s="114" customFormat="1">
      <c r="A9" s="412" t="s">
        <v>2525</v>
      </c>
      <c r="B9" s="68" t="s">
        <v>2526</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216" t="s">
        <v>2527</v>
      </c>
      <c r="Q9" s="1792" t="str">
        <f t="shared" ref="Q9:Q15" si="6">B9</f>
        <v>用途</v>
      </c>
      <c r="R9" s="767" t="s">
        <v>14</v>
      </c>
      <c r="S9" s="768">
        <f t="shared" si="0"/>
        <v>100</v>
      </c>
      <c r="T9" s="767" t="s">
        <v>14</v>
      </c>
      <c r="U9" s="768">
        <f t="shared" si="1"/>
        <v>100</v>
      </c>
      <c r="V9" s="767" t="s">
        <v>14</v>
      </c>
      <c r="W9" s="768">
        <f t="shared" si="2"/>
        <v>100</v>
      </c>
      <c r="X9" s="769"/>
      <c r="Y9" s="3005" t="s">
        <v>2528</v>
      </c>
      <c r="Z9" s="52" t="str">
        <f t="shared" ref="Z9:Z15" si="7">Q9</f>
        <v>用途</v>
      </c>
      <c r="AA9" s="770">
        <f t="shared" si="3"/>
        <v>1</v>
      </c>
      <c r="AB9" s="770">
        <f t="shared" si="4"/>
        <v>1</v>
      </c>
      <c r="AC9" s="2668">
        <f t="shared" si="5"/>
        <v>1</v>
      </c>
    </row>
    <row r="10" spans="1:29" s="424" customFormat="1" ht="27">
      <c r="A10" s="418"/>
      <c r="B10" s="419" t="s">
        <v>2529</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216"/>
      <c r="Q10" s="1792" t="str">
        <f t="shared" si="6"/>
        <v>土地使用年限（年）</v>
      </c>
      <c r="R10" s="767" t="s">
        <v>14</v>
      </c>
      <c r="S10" s="768">
        <f t="shared" si="0"/>
        <v>100</v>
      </c>
      <c r="T10" s="767" t="s">
        <v>14</v>
      </c>
      <c r="U10" s="768">
        <f t="shared" si="1"/>
        <v>100</v>
      </c>
      <c r="V10" s="767" t="s">
        <v>14</v>
      </c>
      <c r="W10" s="768">
        <f t="shared" si="2"/>
        <v>100</v>
      </c>
      <c r="X10" s="769"/>
      <c r="Y10" s="3005"/>
      <c r="Z10" s="52" t="str">
        <f t="shared" si="7"/>
        <v>土地使用年限（年）</v>
      </c>
      <c r="AA10" s="770">
        <f t="shared" si="3"/>
        <v>1</v>
      </c>
      <c r="AB10" s="770">
        <f t="shared" si="4"/>
        <v>1</v>
      </c>
      <c r="AC10" s="2668">
        <f t="shared" si="5"/>
        <v>1</v>
      </c>
    </row>
    <row r="11" spans="1:29" ht="15">
      <c r="A11" s="425"/>
      <c r="B11" s="419" t="s">
        <v>2530</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216"/>
      <c r="Q11" s="1792" t="str">
        <f t="shared" si="6"/>
        <v>容积率</v>
      </c>
      <c r="R11" s="767" t="s">
        <v>14</v>
      </c>
      <c r="S11" s="768" t="e">
        <f t="shared" si="0"/>
        <v>#N/A</v>
      </c>
      <c r="T11" s="767" t="s">
        <v>14</v>
      </c>
      <c r="U11" s="768" t="e">
        <f t="shared" si="1"/>
        <v>#N/A</v>
      </c>
      <c r="V11" s="767" t="s">
        <v>14</v>
      </c>
      <c r="W11" s="768" t="e">
        <f t="shared" si="2"/>
        <v>#N/A</v>
      </c>
      <c r="X11" s="769"/>
      <c r="Y11" s="3005"/>
      <c r="Z11" s="52" t="str">
        <f t="shared" si="7"/>
        <v>容积率</v>
      </c>
      <c r="AA11" s="770" t="e">
        <f t="shared" si="3"/>
        <v>#N/A</v>
      </c>
      <c r="AB11" s="770" t="e">
        <f t="shared" si="4"/>
        <v>#N/A</v>
      </c>
      <c r="AC11" s="2668" t="e">
        <f t="shared" si="5"/>
        <v>#N/A</v>
      </c>
    </row>
    <row r="12" spans="1:29" s="114"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9"/>
      <c r="M12" s="1130"/>
      <c r="N12" s="1130"/>
      <c r="O12" s="1130"/>
      <c r="P12" s="3216"/>
      <c r="Q12" s="1792">
        <f t="shared" si="6"/>
        <v>111</v>
      </c>
      <c r="R12" s="767" t="s">
        <v>14</v>
      </c>
      <c r="S12" s="768">
        <f t="shared" si="0"/>
        <v>100</v>
      </c>
      <c r="T12" s="767" t="s">
        <v>14</v>
      </c>
      <c r="U12" s="768">
        <f t="shared" si="1"/>
        <v>100</v>
      </c>
      <c r="V12" s="767" t="s">
        <v>14</v>
      </c>
      <c r="W12" s="768">
        <f t="shared" si="2"/>
        <v>100</v>
      </c>
      <c r="X12" s="769"/>
      <c r="Y12" s="3005"/>
      <c r="Z12" s="52">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7"/>
      <c r="M13" s="1128"/>
      <c r="N13" s="1128"/>
      <c r="O13" s="1128"/>
      <c r="P13" s="3216"/>
      <c r="Q13" s="1792">
        <f t="shared" si="6"/>
        <v>111</v>
      </c>
      <c r="R13" s="767" t="s">
        <v>14</v>
      </c>
      <c r="S13" s="768">
        <f t="shared" si="0"/>
        <v>100</v>
      </c>
      <c r="T13" s="767" t="s">
        <v>14</v>
      </c>
      <c r="U13" s="768">
        <f t="shared" si="1"/>
        <v>100</v>
      </c>
      <c r="V13" s="767" t="s">
        <v>14</v>
      </c>
      <c r="W13" s="768">
        <f t="shared" si="2"/>
        <v>100</v>
      </c>
      <c r="X13" s="769"/>
      <c r="Y13" s="3005"/>
      <c r="Z13" s="52">
        <f t="shared" si="7"/>
        <v>111</v>
      </c>
      <c r="AA13" s="770">
        <f t="shared" si="3"/>
        <v>1</v>
      </c>
      <c r="AB13" s="770">
        <f t="shared" si="4"/>
        <v>1</v>
      </c>
      <c r="AC13" s="2668">
        <f t="shared" si="5"/>
        <v>1</v>
      </c>
    </row>
    <row r="14" spans="1:29" ht="15.75"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7"/>
      <c r="M14" s="1128"/>
      <c r="N14" s="1128"/>
      <c r="O14" s="1128"/>
      <c r="P14" s="3216"/>
      <c r="Q14" s="1792">
        <f t="shared" si="6"/>
        <v>111</v>
      </c>
      <c r="R14" s="767" t="s">
        <v>14</v>
      </c>
      <c r="S14" s="768">
        <f t="shared" si="0"/>
        <v>100</v>
      </c>
      <c r="T14" s="767" t="s">
        <v>14</v>
      </c>
      <c r="U14" s="768">
        <f t="shared" si="1"/>
        <v>100</v>
      </c>
      <c r="V14" s="767" t="s">
        <v>14</v>
      </c>
      <c r="W14" s="768">
        <f t="shared" si="2"/>
        <v>100</v>
      </c>
      <c r="X14" s="769"/>
      <c r="Y14" s="3005"/>
      <c r="Z14" s="52">
        <f t="shared" si="7"/>
        <v>111</v>
      </c>
      <c r="AA14" s="770">
        <f t="shared" si="3"/>
        <v>1</v>
      </c>
      <c r="AB14" s="770">
        <f t="shared" si="4"/>
        <v>1</v>
      </c>
      <c r="AC14" s="2668">
        <f t="shared" si="5"/>
        <v>1</v>
      </c>
    </row>
    <row r="15" spans="1:29" ht="71.25">
      <c r="A15" s="437" t="s">
        <v>2531</v>
      </c>
      <c r="B15" s="626" t="s">
        <v>2659</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214" t="s">
        <v>2532</v>
      </c>
      <c r="Q15" s="1807" t="str">
        <f t="shared" si="6"/>
        <v>办公集聚程度</v>
      </c>
      <c r="R15" s="771" t="s">
        <v>14</v>
      </c>
      <c r="S15" s="772">
        <f t="shared" si="0"/>
        <v>100</v>
      </c>
      <c r="T15" s="771" t="s">
        <v>14</v>
      </c>
      <c r="U15" s="772">
        <f t="shared" si="1"/>
        <v>100</v>
      </c>
      <c r="V15" s="771" t="s">
        <v>14</v>
      </c>
      <c r="W15" s="772">
        <f t="shared" si="2"/>
        <v>100</v>
      </c>
      <c r="X15" s="1810"/>
      <c r="Y15" s="3207" t="s">
        <v>2532</v>
      </c>
      <c r="Z15" s="1811" t="str">
        <f t="shared" si="7"/>
        <v>办公集聚程度</v>
      </c>
      <c r="AA15" s="1808">
        <f t="shared" si="3"/>
        <v>1</v>
      </c>
      <c r="AB15" s="1808">
        <f t="shared" si="4"/>
        <v>1</v>
      </c>
      <c r="AC15" s="2671">
        <f t="shared" si="5"/>
        <v>1</v>
      </c>
    </row>
    <row r="16" spans="1:29" ht="15">
      <c r="A16" s="425"/>
      <c r="B16" s="627"/>
      <c r="C16" s="2608"/>
      <c r="D16" s="445"/>
      <c r="E16" s="444"/>
      <c r="F16" s="445"/>
      <c r="G16" s="2608"/>
      <c r="H16" s="447"/>
      <c r="I16" s="444"/>
      <c r="J16" s="445"/>
      <c r="K16" s="612"/>
      <c r="L16" s="1137"/>
      <c r="M16" s="1128"/>
      <c r="N16" s="1128"/>
      <c r="O16" s="1128"/>
      <c r="P16" s="3215"/>
      <c r="Q16" s="1807"/>
      <c r="R16" s="771"/>
      <c r="S16" s="772"/>
      <c r="T16" s="771"/>
      <c r="U16" s="772"/>
      <c r="V16" s="771"/>
      <c r="W16" s="772"/>
      <c r="X16" s="1810"/>
      <c r="Y16" s="3208"/>
      <c r="Z16" s="1811"/>
      <c r="AA16" s="1808">
        <v>1</v>
      </c>
      <c r="AB16" s="1808">
        <v>1</v>
      </c>
      <c r="AC16" s="2671">
        <v>1</v>
      </c>
    </row>
    <row r="17" spans="1:29" ht="71.25">
      <c r="A17" s="425"/>
      <c r="B17" s="628" t="s">
        <v>2072</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215"/>
      <c r="Q17" s="1807" t="str">
        <f>B17</f>
        <v>交通便捷度</v>
      </c>
      <c r="R17" s="771" t="s">
        <v>14</v>
      </c>
      <c r="S17" s="772">
        <f>F17</f>
        <v>100</v>
      </c>
      <c r="T17" s="771" t="s">
        <v>14</v>
      </c>
      <c r="U17" s="772">
        <f>H17</f>
        <v>100</v>
      </c>
      <c r="V17" s="771" t="s">
        <v>14</v>
      </c>
      <c r="W17" s="772">
        <f>J17</f>
        <v>100</v>
      </c>
      <c r="X17" s="1810"/>
      <c r="Y17" s="3208"/>
      <c r="Z17" s="1811" t="str">
        <f>Q17</f>
        <v>交通便捷度</v>
      </c>
      <c r="AA17" s="1808">
        <f t="shared" si="3"/>
        <v>1</v>
      </c>
      <c r="AB17" s="1808">
        <f t="shared" si="4"/>
        <v>1</v>
      </c>
      <c r="AC17" s="2671">
        <f t="shared" si="5"/>
        <v>1</v>
      </c>
    </row>
    <row r="18" spans="1:29" ht="15">
      <c r="A18" s="425"/>
      <c r="B18" s="629"/>
      <c r="C18" s="2673"/>
      <c r="D18" s="447"/>
      <c r="E18" s="2606"/>
      <c r="F18" s="447"/>
      <c r="G18" s="2607"/>
      <c r="H18" s="445"/>
      <c r="I18" s="2607"/>
      <c r="J18" s="445"/>
      <c r="K18" s="612"/>
      <c r="L18" s="1137"/>
      <c r="M18" s="1128"/>
      <c r="N18" s="1128"/>
      <c r="O18" s="1128"/>
      <c r="P18" s="3215"/>
      <c r="Q18" s="1807"/>
      <c r="R18" s="771"/>
      <c r="S18" s="772"/>
      <c r="T18" s="771"/>
      <c r="U18" s="772"/>
      <c r="V18" s="771"/>
      <c r="W18" s="772"/>
      <c r="X18" s="1810"/>
      <c r="Y18" s="3208"/>
      <c r="Z18" s="1811"/>
      <c r="AA18" s="1808">
        <v>1</v>
      </c>
      <c r="AB18" s="1808">
        <v>1</v>
      </c>
      <c r="AC18" s="2671">
        <v>1</v>
      </c>
    </row>
    <row r="19" spans="1:29" ht="42.75">
      <c r="A19" s="425"/>
      <c r="B19" s="628" t="s">
        <v>2660</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215"/>
      <c r="Q19" s="1807" t="str">
        <f>B19</f>
        <v>公共配套设施</v>
      </c>
      <c r="R19" s="771" t="s">
        <v>14</v>
      </c>
      <c r="S19" s="772">
        <f>F19</f>
        <v>100</v>
      </c>
      <c r="T19" s="771" t="s">
        <v>14</v>
      </c>
      <c r="U19" s="772">
        <f>H19</f>
        <v>100</v>
      </c>
      <c r="V19" s="771" t="s">
        <v>14</v>
      </c>
      <c r="W19" s="772">
        <f>J19</f>
        <v>100</v>
      </c>
      <c r="X19" s="1810"/>
      <c r="Y19" s="3208"/>
      <c r="Z19" s="1811" t="str">
        <f>Q19</f>
        <v>公共配套设施</v>
      </c>
      <c r="AA19" s="1808">
        <f t="shared" si="3"/>
        <v>1</v>
      </c>
      <c r="AB19" s="1808">
        <f t="shared" si="4"/>
        <v>1</v>
      </c>
      <c r="AC19" s="2671">
        <f t="shared" si="5"/>
        <v>1</v>
      </c>
    </row>
    <row r="20" spans="1:29" ht="15">
      <c r="A20" s="425"/>
      <c r="B20" s="629"/>
      <c r="C20" s="2608"/>
      <c r="D20" s="445"/>
      <c r="E20" s="2601"/>
      <c r="F20" s="445"/>
      <c r="G20" s="2602"/>
      <c r="H20" s="445"/>
      <c r="I20" s="2602"/>
      <c r="J20" s="445"/>
      <c r="K20" s="612"/>
      <c r="L20" s="1137"/>
      <c r="M20" s="1128"/>
      <c r="N20" s="1128"/>
      <c r="O20" s="1128"/>
      <c r="P20" s="3215"/>
      <c r="Q20" s="1807"/>
      <c r="R20" s="771"/>
      <c r="S20" s="772"/>
      <c r="T20" s="771"/>
      <c r="U20" s="772"/>
      <c r="V20" s="771"/>
      <c r="W20" s="772"/>
      <c r="X20" s="1810"/>
      <c r="Y20" s="3208"/>
      <c r="Z20" s="1811"/>
      <c r="AA20" s="1808">
        <v>1</v>
      </c>
      <c r="AB20" s="1808">
        <v>1</v>
      </c>
      <c r="AC20" s="2671">
        <v>1</v>
      </c>
    </row>
    <row r="21" spans="1:29" ht="28.5">
      <c r="A21" s="425"/>
      <c r="B21" s="630" t="s">
        <v>2661</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215"/>
      <c r="Q21" s="1807" t="str">
        <f>B21</f>
        <v>基础设施水平</v>
      </c>
      <c r="R21" s="771" t="s">
        <v>14</v>
      </c>
      <c r="S21" s="772">
        <f>F21</f>
        <v>100</v>
      </c>
      <c r="T21" s="771" t="s">
        <v>14</v>
      </c>
      <c r="U21" s="772">
        <f>H21</f>
        <v>100</v>
      </c>
      <c r="V21" s="771" t="s">
        <v>14</v>
      </c>
      <c r="W21" s="772">
        <f>J21</f>
        <v>100</v>
      </c>
      <c r="X21" s="1810"/>
      <c r="Y21" s="3208"/>
      <c r="Z21" s="1811" t="str">
        <f>Q21</f>
        <v>基础设施水平</v>
      </c>
      <c r="AA21" s="1808">
        <f t="shared" ref="AA21" si="8">D21/F21</f>
        <v>1</v>
      </c>
      <c r="AB21" s="1808">
        <f t="shared" ref="AB21" si="9">D21/H21</f>
        <v>1</v>
      </c>
      <c r="AC21" s="2671">
        <f t="shared" ref="AC21" si="10">D21/J21</f>
        <v>1</v>
      </c>
    </row>
    <row r="22" spans="1:29" ht="15">
      <c r="A22" s="425"/>
      <c r="B22" s="630"/>
      <c r="C22" s="2673"/>
      <c r="D22" s="445"/>
      <c r="E22" s="444"/>
      <c r="F22" s="445"/>
      <c r="G22" s="2608"/>
      <c r="H22" s="445"/>
      <c r="I22" s="2608"/>
      <c r="J22" s="445"/>
      <c r="K22" s="1380"/>
      <c r="L22" s="1137"/>
      <c r="M22" s="1128"/>
      <c r="N22" s="1128"/>
      <c r="O22" s="1128"/>
      <c r="P22" s="3215"/>
      <c r="Q22" s="1807"/>
      <c r="R22" s="771"/>
      <c r="S22" s="772"/>
      <c r="T22" s="771"/>
      <c r="U22" s="772"/>
      <c r="V22" s="771"/>
      <c r="W22" s="772"/>
      <c r="X22" s="1810"/>
      <c r="Y22" s="3208"/>
      <c r="Z22" s="1811"/>
      <c r="AA22" s="1808">
        <v>1</v>
      </c>
      <c r="AB22" s="1808">
        <v>1</v>
      </c>
      <c r="AC22" s="2671">
        <v>1</v>
      </c>
    </row>
    <row r="23" spans="1:29" ht="42.75">
      <c r="A23" s="425"/>
      <c r="B23" s="628" t="s">
        <v>2662</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215"/>
      <c r="Q23" s="1807" t="str">
        <f>B23</f>
        <v>环境质量</v>
      </c>
      <c r="R23" s="771" t="s">
        <v>14</v>
      </c>
      <c r="S23" s="772">
        <f>F23</f>
        <v>100</v>
      </c>
      <c r="T23" s="771" t="s">
        <v>14</v>
      </c>
      <c r="U23" s="772">
        <f>H23</f>
        <v>100</v>
      </c>
      <c r="V23" s="771" t="s">
        <v>14</v>
      </c>
      <c r="W23" s="772">
        <f>J23</f>
        <v>100</v>
      </c>
      <c r="X23" s="1810"/>
      <c r="Y23" s="3208"/>
      <c r="Z23" s="1811" t="str">
        <f>Q23</f>
        <v>环境质量</v>
      </c>
      <c r="AA23" s="1808">
        <f t="shared" si="3"/>
        <v>1</v>
      </c>
      <c r="AB23" s="1808">
        <f t="shared" si="4"/>
        <v>1</v>
      </c>
      <c r="AC23" s="2671">
        <f t="shared" si="5"/>
        <v>1</v>
      </c>
    </row>
    <row r="24" spans="1:29" ht="15">
      <c r="A24" s="425"/>
      <c r="B24" s="630"/>
      <c r="C24" s="2608"/>
      <c r="D24" s="445"/>
      <c r="E24" s="2601"/>
      <c r="F24" s="445"/>
      <c r="G24" s="2602"/>
      <c r="H24" s="445"/>
      <c r="I24" s="2602"/>
      <c r="J24" s="445"/>
      <c r="K24" s="612"/>
      <c r="L24" s="1137"/>
      <c r="M24" s="1128"/>
      <c r="N24" s="1128"/>
      <c r="O24" s="1128"/>
      <c r="P24" s="3215"/>
      <c r="Q24" s="1807"/>
      <c r="R24" s="771"/>
      <c r="S24" s="772"/>
      <c r="T24" s="771"/>
      <c r="U24" s="772"/>
      <c r="V24" s="771"/>
      <c r="W24" s="772"/>
      <c r="X24" s="1810"/>
      <c r="Y24" s="3208"/>
      <c r="Z24" s="1811"/>
      <c r="AA24" s="1808">
        <v>1</v>
      </c>
      <c r="AB24" s="1808">
        <v>1</v>
      </c>
      <c r="AC24" s="2671">
        <v>1</v>
      </c>
    </row>
    <row r="25" spans="1:29" ht="27">
      <c r="A25" s="401"/>
      <c r="B25" s="628" t="s">
        <v>2663</v>
      </c>
      <c r="C25" s="2612"/>
      <c r="D25" s="432">
        <v>100</v>
      </c>
      <c r="E25" s="431"/>
      <c r="F25" s="432">
        <f>SUMIF(87:87,E26,88:88)-SUMIF(87:87,C26,88:88)+100</f>
        <v>100</v>
      </c>
      <c r="G25" s="2612"/>
      <c r="H25" s="432">
        <f>SUMIF(87:87,G26,88:88)-SUMIF(87:87,C26,88:88)+100</f>
        <v>100</v>
      </c>
      <c r="I25" s="431"/>
      <c r="J25" s="432">
        <f>SUMIF(87:87,I26,88:88)-SUMIF(87:87,C26,88:88)+100</f>
        <v>100</v>
      </c>
      <c r="K25" s="611"/>
      <c r="L25" s="1137"/>
      <c r="M25" s="1128"/>
      <c r="N25" s="1128"/>
      <c r="O25" s="1128"/>
      <c r="P25" s="3215"/>
      <c r="Q25" s="1807" t="str">
        <f>B25</f>
        <v>毗邻道路的类型与等级</v>
      </c>
      <c r="R25" s="771" t="s">
        <v>14</v>
      </c>
      <c r="S25" s="772">
        <f>F25</f>
        <v>100</v>
      </c>
      <c r="T25" s="771" t="s">
        <v>14</v>
      </c>
      <c r="U25" s="772">
        <f>H25</f>
        <v>100</v>
      </c>
      <c r="V25" s="771" t="s">
        <v>14</v>
      </c>
      <c r="W25" s="772">
        <f>J25</f>
        <v>100</v>
      </c>
      <c r="X25" s="1810"/>
      <c r="Y25" s="3208"/>
      <c r="Z25" s="1811" t="str">
        <f>Q25</f>
        <v>毗邻道路的类型与等级</v>
      </c>
      <c r="AA25" s="1808">
        <f t="shared" si="3"/>
        <v>1</v>
      </c>
      <c r="AB25" s="1808">
        <f t="shared" si="4"/>
        <v>1</v>
      </c>
      <c r="AC25" s="2671">
        <f t="shared" si="5"/>
        <v>1</v>
      </c>
    </row>
    <row r="26" spans="1:29" ht="15">
      <c r="A26" s="401"/>
      <c r="B26" s="629"/>
      <c r="C26" s="631"/>
      <c r="D26" s="432"/>
      <c r="E26" s="613"/>
      <c r="F26" s="432"/>
      <c r="G26" s="631"/>
      <c r="H26" s="432"/>
      <c r="I26" s="613"/>
      <c r="J26" s="432"/>
      <c r="K26" s="612"/>
      <c r="L26" s="1137"/>
      <c r="M26" s="1128"/>
      <c r="N26" s="1128"/>
      <c r="O26" s="1128"/>
      <c r="P26" s="3215"/>
      <c r="Q26" s="1807"/>
      <c r="R26" s="771"/>
      <c r="S26" s="772"/>
      <c r="T26" s="771"/>
      <c r="U26" s="772"/>
      <c r="V26" s="771"/>
      <c r="W26" s="772"/>
      <c r="X26" s="1810"/>
      <c r="Y26" s="3208"/>
      <c r="Z26" s="1811"/>
      <c r="AA26" s="1808">
        <v>1</v>
      </c>
      <c r="AB26" s="1808">
        <v>1</v>
      </c>
      <c r="AC26" s="2671">
        <v>1</v>
      </c>
    </row>
    <row r="27" spans="1:29" ht="15">
      <c r="A27" s="425"/>
      <c r="B27" s="629" t="s">
        <v>2631</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215"/>
      <c r="Q27" s="1807" t="str">
        <f t="shared" ref="Q27:Q47" si="11">B27</f>
        <v>楼层</v>
      </c>
      <c r="R27" s="771" t="s">
        <v>14</v>
      </c>
      <c r="S27" s="772">
        <f>F27</f>
        <v>100</v>
      </c>
      <c r="T27" s="771" t="s">
        <v>14</v>
      </c>
      <c r="U27" s="772">
        <f>H27</f>
        <v>100</v>
      </c>
      <c r="V27" s="771" t="s">
        <v>14</v>
      </c>
      <c r="W27" s="772">
        <f>J27</f>
        <v>100</v>
      </c>
      <c r="X27" s="1810"/>
      <c r="Y27" s="3208"/>
      <c r="Z27" s="1811" t="str">
        <f>Q27</f>
        <v>楼层</v>
      </c>
      <c r="AA27" s="1808">
        <f t="shared" si="3"/>
        <v>1</v>
      </c>
      <c r="AB27" s="1808">
        <f t="shared" si="4"/>
        <v>1</v>
      </c>
      <c r="AC27" s="2671">
        <f t="shared" si="5"/>
        <v>1</v>
      </c>
    </row>
    <row r="28" spans="1:29" s="114" customFormat="1" ht="15">
      <c r="A28" s="428"/>
      <c r="B28" s="628" t="s">
        <v>2664</v>
      </c>
      <c r="C28" s="2674"/>
      <c r="D28" s="459">
        <v>100</v>
      </c>
      <c r="E28" s="2662"/>
      <c r="F28" s="459">
        <f>SUMIF(91:91,E28,92:92)-SUMIF(91:91,C28,92:92)+100</f>
        <v>100</v>
      </c>
      <c r="G28" s="2674"/>
      <c r="H28" s="459">
        <f>SUMIF(91:91,G28,92:92)-SUMIF(91:91,C28,92:92)+100</f>
        <v>100</v>
      </c>
      <c r="I28" s="2662"/>
      <c r="J28" s="459">
        <f>SUMIF(91:91,I28,92:92)-SUMIF(91:91,C28,92:92)+100</f>
        <v>100</v>
      </c>
      <c r="K28" s="609"/>
      <c r="L28" s="1129"/>
      <c r="M28" s="1130"/>
      <c r="N28" s="1130"/>
      <c r="O28" s="1130"/>
      <c r="P28" s="3215"/>
      <c r="Q28" s="1792" t="str">
        <f t="shared" si="11"/>
        <v>朝向</v>
      </c>
      <c r="R28" s="767" t="s">
        <v>14</v>
      </c>
      <c r="S28" s="768">
        <f>F28</f>
        <v>100</v>
      </c>
      <c r="T28" s="767" t="s">
        <v>14</v>
      </c>
      <c r="U28" s="768">
        <f>H28</f>
        <v>100</v>
      </c>
      <c r="V28" s="767" t="s">
        <v>14</v>
      </c>
      <c r="W28" s="768">
        <f>J28</f>
        <v>100</v>
      </c>
      <c r="X28" s="769"/>
      <c r="Y28" s="3208"/>
      <c r="Z28" s="52" t="str">
        <f>Q28</f>
        <v>朝向</v>
      </c>
      <c r="AA28" s="1808">
        <f>D28/F28</f>
        <v>1</v>
      </c>
      <c r="AB28" s="1808">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7"/>
      <c r="M29" s="1128"/>
      <c r="N29" s="1128"/>
      <c r="O29" s="1128"/>
      <c r="P29" s="3215"/>
      <c r="Q29" s="1807">
        <f t="shared" si="11"/>
        <v>111</v>
      </c>
      <c r="R29" s="771" t="s">
        <v>14</v>
      </c>
      <c r="S29" s="772">
        <f t="shared" ref="S29:S47" si="12">F29</f>
        <v>100</v>
      </c>
      <c r="T29" s="771" t="s">
        <v>14</v>
      </c>
      <c r="U29" s="772">
        <f t="shared" ref="U29:U47" si="13">H29</f>
        <v>100</v>
      </c>
      <c r="V29" s="771" t="s">
        <v>14</v>
      </c>
      <c r="W29" s="772">
        <f t="shared" ref="W29:W47" si="14">J29</f>
        <v>100</v>
      </c>
      <c r="X29" s="1810"/>
      <c r="Y29" s="3208"/>
      <c r="Z29" s="1811">
        <f t="shared" ref="Z29:Z47" si="15">Q29</f>
        <v>111</v>
      </c>
      <c r="AA29" s="1808">
        <f t="shared" si="3"/>
        <v>1</v>
      </c>
      <c r="AB29" s="1808">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7"/>
      <c r="M30" s="1128"/>
      <c r="N30" s="1128"/>
      <c r="O30" s="1128"/>
      <c r="P30" s="3215"/>
      <c r="Q30" s="1807">
        <f t="shared" si="11"/>
        <v>111</v>
      </c>
      <c r="R30" s="771" t="s">
        <v>14</v>
      </c>
      <c r="S30" s="772">
        <f t="shared" si="12"/>
        <v>100</v>
      </c>
      <c r="T30" s="771" t="s">
        <v>14</v>
      </c>
      <c r="U30" s="772">
        <f t="shared" si="13"/>
        <v>100</v>
      </c>
      <c r="V30" s="771" t="s">
        <v>14</v>
      </c>
      <c r="W30" s="772">
        <f t="shared" si="14"/>
        <v>100</v>
      </c>
      <c r="X30" s="1810"/>
      <c r="Y30" s="3208"/>
      <c r="Z30" s="1811">
        <f t="shared" si="15"/>
        <v>111</v>
      </c>
      <c r="AA30" s="1808">
        <f t="shared" si="3"/>
        <v>1</v>
      </c>
      <c r="AB30" s="1808">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7"/>
      <c r="M31" s="1128"/>
      <c r="N31" s="1128"/>
      <c r="O31" s="1128"/>
      <c r="P31" s="3215"/>
      <c r="Q31" s="1807">
        <f t="shared" si="11"/>
        <v>111</v>
      </c>
      <c r="R31" s="771" t="s">
        <v>14</v>
      </c>
      <c r="S31" s="772">
        <f t="shared" si="12"/>
        <v>100</v>
      </c>
      <c r="T31" s="771" t="s">
        <v>14</v>
      </c>
      <c r="U31" s="772">
        <f t="shared" si="13"/>
        <v>100</v>
      </c>
      <c r="V31" s="771" t="s">
        <v>14</v>
      </c>
      <c r="W31" s="772">
        <f t="shared" si="14"/>
        <v>100</v>
      </c>
      <c r="X31" s="1810"/>
      <c r="Y31" s="3208"/>
      <c r="Z31" s="1811">
        <f t="shared" si="15"/>
        <v>111</v>
      </c>
      <c r="AA31" s="1808">
        <f t="shared" si="3"/>
        <v>1</v>
      </c>
      <c r="AB31" s="1808">
        <f t="shared" si="4"/>
        <v>1</v>
      </c>
      <c r="AC31" s="2671">
        <f t="shared" si="5"/>
        <v>1</v>
      </c>
    </row>
    <row r="32" spans="1:29" ht="15.75"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7"/>
      <c r="M32" s="1128"/>
      <c r="N32" s="1128"/>
      <c r="O32" s="1128"/>
      <c r="P32" s="3215"/>
      <c r="Q32" s="1807">
        <f t="shared" si="11"/>
        <v>111</v>
      </c>
      <c r="R32" s="771" t="s">
        <v>14</v>
      </c>
      <c r="S32" s="772">
        <f t="shared" si="12"/>
        <v>100</v>
      </c>
      <c r="T32" s="771" t="s">
        <v>14</v>
      </c>
      <c r="U32" s="772">
        <f t="shared" si="13"/>
        <v>100</v>
      </c>
      <c r="V32" s="771" t="s">
        <v>14</v>
      </c>
      <c r="W32" s="772">
        <f t="shared" si="14"/>
        <v>100</v>
      </c>
      <c r="X32" s="1810"/>
      <c r="Y32" s="3208"/>
      <c r="Z32" s="1811">
        <f t="shared" si="15"/>
        <v>111</v>
      </c>
      <c r="AA32" s="1808">
        <f t="shared" si="3"/>
        <v>1</v>
      </c>
      <c r="AB32" s="1808">
        <f t="shared" si="4"/>
        <v>1</v>
      </c>
      <c r="AC32" s="2671">
        <f t="shared" si="5"/>
        <v>1</v>
      </c>
    </row>
    <row r="33" spans="1:29" ht="15">
      <c r="A33" s="437" t="s">
        <v>2535</v>
      </c>
      <c r="B33" s="68" t="s">
        <v>2665</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7"/>
      <c r="M33" s="1128"/>
      <c r="N33" s="1128"/>
      <c r="O33" s="1128"/>
      <c r="P33" s="3209" t="s">
        <v>2537</v>
      </c>
      <c r="Q33" s="1807" t="str">
        <f t="shared" si="11"/>
        <v>建筑类型</v>
      </c>
      <c r="R33" s="771" t="s">
        <v>14</v>
      </c>
      <c r="S33" s="772">
        <f t="shared" si="12"/>
        <v>100</v>
      </c>
      <c r="T33" s="771" t="s">
        <v>14</v>
      </c>
      <c r="U33" s="772">
        <f t="shared" si="13"/>
        <v>100</v>
      </c>
      <c r="V33" s="771" t="s">
        <v>14</v>
      </c>
      <c r="W33" s="772">
        <f t="shared" si="14"/>
        <v>100</v>
      </c>
      <c r="X33" s="1810"/>
      <c r="Y33" s="3212" t="s">
        <v>2537</v>
      </c>
      <c r="Z33" s="1811" t="str">
        <f t="shared" si="15"/>
        <v>建筑类型</v>
      </c>
      <c r="AA33" s="1808">
        <f t="shared" si="3"/>
        <v>1</v>
      </c>
      <c r="AB33" s="1808">
        <f t="shared" si="4"/>
        <v>1</v>
      </c>
      <c r="AC33" s="2671">
        <f t="shared" si="5"/>
        <v>1</v>
      </c>
    </row>
    <row r="34" spans="1:29" s="468" customFormat="1" ht="15">
      <c r="A34" s="465"/>
      <c r="B34" s="419" t="s">
        <v>2538</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210"/>
      <c r="Q34" s="773" t="str">
        <f t="shared" si="11"/>
        <v>项目建筑规模</v>
      </c>
      <c r="R34" s="774" t="s">
        <v>14</v>
      </c>
      <c r="S34" s="775" t="e">
        <f t="shared" si="12"/>
        <v>#N/A</v>
      </c>
      <c r="T34" s="774" t="s">
        <v>14</v>
      </c>
      <c r="U34" s="775" t="e">
        <f t="shared" si="13"/>
        <v>#N/A</v>
      </c>
      <c r="V34" s="774" t="s">
        <v>14</v>
      </c>
      <c r="W34" s="775" t="e">
        <f t="shared" si="14"/>
        <v>#N/A</v>
      </c>
      <c r="X34" s="776"/>
      <c r="Y34" s="3212"/>
      <c r="Z34" s="777" t="str">
        <f t="shared" si="15"/>
        <v>项目建筑规模</v>
      </c>
      <c r="AA34" s="1808" t="e">
        <f t="shared" si="3"/>
        <v>#N/A</v>
      </c>
      <c r="AB34" s="1808" t="e">
        <f t="shared" si="4"/>
        <v>#N/A</v>
      </c>
      <c r="AC34" s="2671" t="e">
        <f t="shared" si="5"/>
        <v>#N/A</v>
      </c>
    </row>
    <row r="35" spans="1:29" ht="15">
      <c r="A35" s="469"/>
      <c r="B35" s="419" t="s">
        <v>2539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210"/>
      <c r="Q35" s="1807" t="str">
        <f t="shared" si="11"/>
        <v>建筑结构</v>
      </c>
      <c r="R35" s="771" t="s">
        <v>14</v>
      </c>
      <c r="S35" s="772">
        <f t="shared" si="12"/>
        <v>100</v>
      </c>
      <c r="T35" s="771" t="s">
        <v>14</v>
      </c>
      <c r="U35" s="772">
        <f t="shared" si="13"/>
        <v>100</v>
      </c>
      <c r="V35" s="771" t="s">
        <v>14</v>
      </c>
      <c r="W35" s="772">
        <f t="shared" si="14"/>
        <v>100</v>
      </c>
      <c r="X35" s="1810"/>
      <c r="Y35" s="3212"/>
      <c r="Z35" s="1811" t="str">
        <f t="shared" si="15"/>
        <v>建筑结构</v>
      </c>
      <c r="AA35" s="1808">
        <f t="shared" si="3"/>
        <v>1</v>
      </c>
      <c r="AB35" s="1808">
        <f t="shared" si="4"/>
        <v>1</v>
      </c>
      <c r="AC35" s="2671">
        <f t="shared" si="5"/>
        <v>1</v>
      </c>
    </row>
    <row r="36" spans="1:29" ht="15">
      <c r="A36" s="469"/>
      <c r="B36" s="419" t="s">
        <v>2633</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210"/>
      <c r="Q36" s="1807" t="str">
        <f t="shared" si="11"/>
        <v>公共部分装修</v>
      </c>
      <c r="R36" s="771" t="s">
        <v>14</v>
      </c>
      <c r="S36" s="772">
        <f t="shared" si="12"/>
        <v>100</v>
      </c>
      <c r="T36" s="771" t="s">
        <v>14</v>
      </c>
      <c r="U36" s="772">
        <f t="shared" si="13"/>
        <v>100</v>
      </c>
      <c r="V36" s="771" t="s">
        <v>14</v>
      </c>
      <c r="W36" s="772">
        <f t="shared" si="14"/>
        <v>100</v>
      </c>
      <c r="X36" s="1810"/>
      <c r="Y36" s="3212"/>
      <c r="Z36" s="1811" t="str">
        <f t="shared" si="15"/>
        <v>公共部分装修</v>
      </c>
      <c r="AA36" s="1808">
        <f t="shared" si="3"/>
        <v>1</v>
      </c>
      <c r="AB36" s="1808">
        <f t="shared" si="4"/>
        <v>1</v>
      </c>
      <c r="AC36" s="2671">
        <f t="shared" si="5"/>
        <v>1</v>
      </c>
    </row>
    <row r="37" spans="1:29" ht="15">
      <c r="A37" s="469"/>
      <c r="B37" s="419" t="s">
        <v>2634</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210"/>
      <c r="Q37" s="1807" t="str">
        <f t="shared" si="11"/>
        <v>成新度</v>
      </c>
      <c r="R37" s="771" t="s">
        <v>14</v>
      </c>
      <c r="S37" s="772" t="e">
        <f t="shared" si="12"/>
        <v>#N/A</v>
      </c>
      <c r="T37" s="771" t="s">
        <v>14</v>
      </c>
      <c r="U37" s="772" t="e">
        <f t="shared" si="13"/>
        <v>#N/A</v>
      </c>
      <c r="V37" s="771" t="s">
        <v>14</v>
      </c>
      <c r="W37" s="772" t="e">
        <f t="shared" si="14"/>
        <v>#N/A</v>
      </c>
      <c r="X37" s="1810"/>
      <c r="Y37" s="3212"/>
      <c r="Z37" s="1811" t="str">
        <f t="shared" si="15"/>
        <v>成新度</v>
      </c>
      <c r="AA37" s="1808" t="e">
        <f t="shared" si="3"/>
        <v>#N/A</v>
      </c>
      <c r="AB37" s="1808" t="e">
        <f t="shared" si="4"/>
        <v>#N/A</v>
      </c>
      <c r="AC37" s="2671" t="e">
        <f t="shared" si="5"/>
        <v>#N/A</v>
      </c>
    </row>
    <row r="38" spans="1:29" s="114" customFormat="1" ht="15">
      <c r="A38" s="470"/>
      <c r="B38" s="419" t="s">
        <v>2666</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210"/>
      <c r="Q38" s="1792" t="str">
        <f t="shared" si="11"/>
        <v>写字楼等级</v>
      </c>
      <c r="R38" s="767" t="s">
        <v>14</v>
      </c>
      <c r="S38" s="768">
        <f t="shared" si="12"/>
        <v>100</v>
      </c>
      <c r="T38" s="767" t="s">
        <v>14</v>
      </c>
      <c r="U38" s="768">
        <f t="shared" si="13"/>
        <v>100</v>
      </c>
      <c r="V38" s="767" t="s">
        <v>14</v>
      </c>
      <c r="W38" s="768">
        <f t="shared" si="14"/>
        <v>100</v>
      </c>
      <c r="X38" s="769"/>
      <c r="Y38" s="3212"/>
      <c r="Z38" s="52" t="str">
        <f t="shared" si="15"/>
        <v>写字楼等级</v>
      </c>
      <c r="AA38" s="770">
        <f t="shared" si="3"/>
        <v>1</v>
      </c>
      <c r="AB38" s="770">
        <f t="shared" si="4"/>
        <v>1</v>
      </c>
      <c r="AC38" s="2668">
        <f t="shared" si="5"/>
        <v>1</v>
      </c>
    </row>
    <row r="39" spans="1:29" ht="15">
      <c r="A39" s="469"/>
      <c r="B39" s="419" t="s">
        <v>2667</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210" t="s">
        <v>2537</v>
      </c>
      <c r="Q39" s="1807" t="str">
        <f t="shared" si="11"/>
        <v>物业管理</v>
      </c>
      <c r="R39" s="771" t="s">
        <v>14</v>
      </c>
      <c r="S39" s="772">
        <f t="shared" si="12"/>
        <v>100</v>
      </c>
      <c r="T39" s="771" t="s">
        <v>14</v>
      </c>
      <c r="U39" s="772">
        <f t="shared" si="13"/>
        <v>100</v>
      </c>
      <c r="V39" s="771" t="s">
        <v>14</v>
      </c>
      <c r="W39" s="772">
        <f t="shared" si="14"/>
        <v>100</v>
      </c>
      <c r="X39" s="1810"/>
      <c r="Y39" s="3212" t="s">
        <v>2537</v>
      </c>
      <c r="Z39" s="1811" t="str">
        <f t="shared" si="15"/>
        <v>物业管理</v>
      </c>
      <c r="AA39" s="1808">
        <f t="shared" si="3"/>
        <v>1</v>
      </c>
      <c r="AB39" s="1808">
        <f t="shared" si="4"/>
        <v>1</v>
      </c>
      <c r="AC39" s="2671">
        <f t="shared" si="5"/>
        <v>1</v>
      </c>
    </row>
    <row r="40" spans="1:29" ht="15">
      <c r="A40" s="469"/>
      <c r="B40" s="419" t="s">
        <v>2635</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210"/>
      <c r="Q40" s="1807" t="str">
        <f t="shared" si="11"/>
        <v>市政基础设施</v>
      </c>
      <c r="R40" s="771" t="s">
        <v>14</v>
      </c>
      <c r="S40" s="772">
        <f t="shared" si="12"/>
        <v>100</v>
      </c>
      <c r="T40" s="771" t="s">
        <v>14</v>
      </c>
      <c r="U40" s="772">
        <f t="shared" si="13"/>
        <v>100</v>
      </c>
      <c r="V40" s="771" t="s">
        <v>14</v>
      </c>
      <c r="W40" s="772">
        <f t="shared" si="14"/>
        <v>100</v>
      </c>
      <c r="X40" s="1810"/>
      <c r="Y40" s="3212"/>
      <c r="Z40" s="1811" t="str">
        <f t="shared" si="15"/>
        <v>市政基础设施</v>
      </c>
      <c r="AA40" s="1808">
        <f t="shared" si="3"/>
        <v>1</v>
      </c>
      <c r="AB40" s="1808">
        <f t="shared" si="4"/>
        <v>1</v>
      </c>
      <c r="AC40" s="2671">
        <f t="shared" si="5"/>
        <v>1</v>
      </c>
    </row>
    <row r="41" spans="1:29" ht="15">
      <c r="A41" s="469"/>
      <c r="B41" s="419" t="s">
        <v>2637</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210"/>
      <c r="Q41" s="1807" t="str">
        <f t="shared" si="11"/>
        <v>层高</v>
      </c>
      <c r="R41" s="771" t="s">
        <v>14</v>
      </c>
      <c r="S41" s="772">
        <f t="shared" si="12"/>
        <v>100</v>
      </c>
      <c r="T41" s="771" t="s">
        <v>14</v>
      </c>
      <c r="U41" s="772">
        <f t="shared" si="13"/>
        <v>100</v>
      </c>
      <c r="V41" s="771" t="s">
        <v>14</v>
      </c>
      <c r="W41" s="772">
        <f t="shared" si="14"/>
        <v>100</v>
      </c>
      <c r="X41" s="1810"/>
      <c r="Y41" s="3212"/>
      <c r="Z41" s="1811" t="str">
        <f t="shared" si="15"/>
        <v>层高</v>
      </c>
      <c r="AA41" s="1808">
        <f t="shared" si="3"/>
        <v>1</v>
      </c>
      <c r="AB41" s="1808">
        <f t="shared" si="4"/>
        <v>1</v>
      </c>
      <c r="AC41" s="2671">
        <f t="shared" si="5"/>
        <v>1</v>
      </c>
    </row>
    <row r="42" spans="1:29" s="468" customFormat="1" ht="15">
      <c r="A42" s="465"/>
      <c r="B42" s="1809" t="s">
        <v>2668</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210"/>
      <c r="Q42" s="773" t="str">
        <f t="shared" si="11"/>
        <v>单套建筑面积</v>
      </c>
      <c r="R42" s="774" t="s">
        <v>14</v>
      </c>
      <c r="S42" s="775">
        <f t="shared" si="12"/>
        <v>100</v>
      </c>
      <c r="T42" s="774" t="s">
        <v>14</v>
      </c>
      <c r="U42" s="775">
        <f t="shared" si="13"/>
        <v>100</v>
      </c>
      <c r="V42" s="774" t="s">
        <v>14</v>
      </c>
      <c r="W42" s="775">
        <f t="shared" si="14"/>
        <v>100</v>
      </c>
      <c r="X42" s="776"/>
      <c r="Y42" s="3212"/>
      <c r="Z42" s="777" t="str">
        <f t="shared" si="15"/>
        <v>单套建筑面积</v>
      </c>
      <c r="AA42" s="1808">
        <f t="shared" si="3"/>
        <v>1</v>
      </c>
      <c r="AB42" s="1808">
        <f t="shared" si="4"/>
        <v>1</v>
      </c>
      <c r="AC42" s="2671">
        <f t="shared" si="5"/>
        <v>1</v>
      </c>
    </row>
    <row r="43" spans="1:29" ht="15">
      <c r="A43" s="469"/>
      <c r="B43" s="419" t="s">
        <v>2640</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210"/>
      <c r="Q43" s="1807" t="str">
        <f t="shared" si="11"/>
        <v>内部装修</v>
      </c>
      <c r="R43" s="771" t="s">
        <v>14</v>
      </c>
      <c r="S43" s="772">
        <f t="shared" si="12"/>
        <v>100</v>
      </c>
      <c r="T43" s="771" t="s">
        <v>14</v>
      </c>
      <c r="U43" s="772">
        <f t="shared" si="13"/>
        <v>100</v>
      </c>
      <c r="V43" s="771" t="s">
        <v>14</v>
      </c>
      <c r="W43" s="772">
        <f t="shared" si="14"/>
        <v>100</v>
      </c>
      <c r="X43" s="1810"/>
      <c r="Y43" s="3212"/>
      <c r="Z43" s="1811" t="str">
        <f t="shared" si="15"/>
        <v>内部装修</v>
      </c>
      <c r="AA43" s="1808">
        <f t="shared" si="3"/>
        <v>1</v>
      </c>
      <c r="AB43" s="1808">
        <f t="shared" si="4"/>
        <v>1</v>
      </c>
      <c r="AC43" s="2671">
        <f t="shared" si="5"/>
        <v>1</v>
      </c>
    </row>
    <row r="44" spans="1:29" ht="15">
      <c r="A44" s="469"/>
      <c r="B44" s="419" t="s">
        <v>2548</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7"/>
      <c r="M44" s="1128"/>
      <c r="N44" s="1128"/>
      <c r="O44" s="1128"/>
      <c r="P44" s="3210"/>
      <c r="Q44" s="1807" t="str">
        <f t="shared" si="11"/>
        <v>内部装修维护情况</v>
      </c>
      <c r="R44" s="771" t="s">
        <v>14</v>
      </c>
      <c r="S44" s="772">
        <f t="shared" si="12"/>
        <v>100</v>
      </c>
      <c r="T44" s="771" t="s">
        <v>14</v>
      </c>
      <c r="U44" s="772">
        <f t="shared" si="13"/>
        <v>100</v>
      </c>
      <c r="V44" s="771" t="s">
        <v>14</v>
      </c>
      <c r="W44" s="772">
        <f t="shared" si="14"/>
        <v>100</v>
      </c>
      <c r="X44" s="1810"/>
      <c r="Y44" s="3212"/>
      <c r="Z44" s="1811" t="str">
        <f t="shared" si="15"/>
        <v>内部装修维护情况</v>
      </c>
      <c r="AA44" s="1808">
        <f t="shared" si="3"/>
        <v>1</v>
      </c>
      <c r="AB44" s="1808">
        <f t="shared" si="4"/>
        <v>1</v>
      </c>
      <c r="AC44" s="2671">
        <f t="shared" si="5"/>
        <v>1</v>
      </c>
    </row>
    <row r="45" spans="1:29" s="114"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210"/>
      <c r="Q45" s="1792">
        <f t="shared" si="11"/>
        <v>111</v>
      </c>
      <c r="R45" s="767" t="s">
        <v>14</v>
      </c>
      <c r="S45" s="768">
        <f t="shared" si="12"/>
        <v>100</v>
      </c>
      <c r="T45" s="767" t="s">
        <v>14</v>
      </c>
      <c r="U45" s="768">
        <f t="shared" si="13"/>
        <v>100</v>
      </c>
      <c r="V45" s="767" t="s">
        <v>14</v>
      </c>
      <c r="W45" s="768">
        <f t="shared" si="14"/>
        <v>100</v>
      </c>
      <c r="X45" s="769"/>
      <c r="Y45" s="3212"/>
      <c r="Z45" s="52">
        <f t="shared" si="15"/>
        <v>111</v>
      </c>
      <c r="AA45" s="770">
        <f t="shared" si="3"/>
        <v>1</v>
      </c>
      <c r="AB45" s="770">
        <f t="shared" si="4"/>
        <v>1</v>
      </c>
      <c r="AC45" s="2668">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210"/>
      <c r="Q46" s="1807">
        <f t="shared" si="11"/>
        <v>111</v>
      </c>
      <c r="R46" s="771" t="s">
        <v>14</v>
      </c>
      <c r="S46" s="772">
        <f t="shared" si="12"/>
        <v>100</v>
      </c>
      <c r="T46" s="771" t="s">
        <v>14</v>
      </c>
      <c r="U46" s="772">
        <f t="shared" si="13"/>
        <v>100</v>
      </c>
      <c r="V46" s="771" t="s">
        <v>14</v>
      </c>
      <c r="W46" s="772">
        <f t="shared" si="14"/>
        <v>100</v>
      </c>
      <c r="X46" s="1810"/>
      <c r="Y46" s="3212"/>
      <c r="Z46" s="1811">
        <f t="shared" si="15"/>
        <v>111</v>
      </c>
      <c r="AA46" s="1808">
        <f t="shared" si="3"/>
        <v>1</v>
      </c>
      <c r="AB46" s="1808">
        <f t="shared" si="4"/>
        <v>1</v>
      </c>
      <c r="AC46" s="2671">
        <f t="shared" si="5"/>
        <v>1</v>
      </c>
    </row>
    <row r="47" spans="1:29" ht="15.75"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211"/>
      <c r="Q47" s="1807">
        <f t="shared" si="11"/>
        <v>111</v>
      </c>
      <c r="R47" s="771" t="s">
        <v>14</v>
      </c>
      <c r="S47" s="772">
        <f t="shared" si="12"/>
        <v>100</v>
      </c>
      <c r="T47" s="771" t="s">
        <v>14</v>
      </c>
      <c r="U47" s="772">
        <f t="shared" si="13"/>
        <v>100</v>
      </c>
      <c r="V47" s="771" t="s">
        <v>14</v>
      </c>
      <c r="W47" s="772">
        <f t="shared" si="14"/>
        <v>100</v>
      </c>
      <c r="X47" s="1810"/>
      <c r="Y47" s="3213"/>
      <c r="Z47" s="1811">
        <f t="shared" si="15"/>
        <v>111</v>
      </c>
      <c r="AA47" s="1808">
        <f t="shared" si="3"/>
        <v>1</v>
      </c>
      <c r="AB47" s="1808">
        <f t="shared" si="4"/>
        <v>1</v>
      </c>
      <c r="AC47" s="2671">
        <f t="shared" si="5"/>
        <v>1</v>
      </c>
    </row>
    <row r="48" spans="1:29" ht="15">
      <c r="A48" s="476" t="s">
        <v>2549</v>
      </c>
      <c r="B48" s="477"/>
      <c r="C48" s="1404" t="s">
        <v>0</v>
      </c>
      <c r="D48" s="1405"/>
      <c r="E48" s="1406"/>
      <c r="F48" s="1407"/>
      <c r="G48" s="1408"/>
      <c r="H48" s="1409"/>
      <c r="I48" s="1406"/>
      <c r="J48" s="482"/>
      <c r="K48" s="780"/>
      <c r="L48" s="1140"/>
      <c r="M48" s="1128"/>
      <c r="N48" s="1128"/>
      <c r="O48" s="1128"/>
      <c r="P48" s="3216" t="str">
        <f>A48</f>
        <v>成交单价（元/平方米）</v>
      </c>
      <c r="Q48" s="3205"/>
      <c r="R48" s="3206">
        <f>E48</f>
        <v>0</v>
      </c>
      <c r="S48" s="3206"/>
      <c r="T48" s="3206">
        <f>G48</f>
        <v>0</v>
      </c>
      <c r="U48" s="3206"/>
      <c r="V48" s="3206">
        <f>I48</f>
        <v>0</v>
      </c>
      <c r="W48" s="3206"/>
      <c r="X48" s="443"/>
      <c r="Y48" s="778"/>
      <c r="Z48" s="443"/>
      <c r="AA48" s="443"/>
      <c r="AB48" s="443"/>
      <c r="AC48" s="627"/>
    </row>
    <row r="49" spans="1:29" ht="15.75" thickBot="1">
      <c r="A49" s="483" t="s">
        <v>2641</v>
      </c>
      <c r="B49" s="484"/>
      <c r="C49" s="1410" t="e">
        <f>R50</f>
        <v>#DIV/0!</v>
      </c>
      <c r="D49" s="1411"/>
      <c r="E49" s="1412" t="e">
        <f>R49</f>
        <v>#DIV/0!</v>
      </c>
      <c r="F49" s="1412"/>
      <c r="G49" s="1410" t="e">
        <f>T49</f>
        <v>#DIV/0!</v>
      </c>
      <c r="H49" s="1411"/>
      <c r="I49" s="1412" t="e">
        <f>V49</f>
        <v>#DIV/0!</v>
      </c>
      <c r="J49" s="486"/>
      <c r="K49" s="781"/>
      <c r="L49" s="1140"/>
      <c r="M49" s="1128"/>
      <c r="N49" s="1128"/>
      <c r="O49" s="1128"/>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3"/>
      <c r="Y49" s="443"/>
      <c r="Z49" s="443"/>
      <c r="AA49" s="443"/>
      <c r="AB49" s="443"/>
      <c r="AC49" s="627"/>
    </row>
    <row r="50" spans="1:29" ht="15.75" thickBot="1">
      <c r="A50" s="489" t="s">
        <v>2642</v>
      </c>
      <c r="B50" s="490"/>
      <c r="C50" s="1414" t="e">
        <f>R50</f>
        <v>#DIV/0!</v>
      </c>
      <c r="D50" s="1414"/>
      <c r="E50" s="1414"/>
      <c r="F50" s="1414"/>
      <c r="G50" s="1414"/>
      <c r="H50" s="1414"/>
      <c r="I50" s="1414"/>
      <c r="J50" s="491"/>
      <c r="K50" s="782"/>
      <c r="L50" s="1140"/>
      <c r="M50" s="1128"/>
      <c r="N50" s="1128"/>
      <c r="O50" s="1128"/>
      <c r="P50" s="3248" t="str">
        <f>A50</f>
        <v>估价对象XX用房的比较价值（楼面单价，元/平方米）</v>
      </c>
      <c r="Q50" s="3249"/>
      <c r="R50" s="3250" t="e">
        <f>IF(F1="售价",ROUND(AVERAGE(R49:V49),0),ROUND(AVERAGE(R49:V49),1))</f>
        <v>#DIV/0!</v>
      </c>
      <c r="S50" s="3250"/>
      <c r="T50" s="3250"/>
      <c r="U50" s="3250"/>
      <c r="V50" s="3250"/>
      <c r="W50" s="3250"/>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2643</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2644</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2645</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77"/>
    </row>
    <row r="56" spans="1:29" s="499"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0" t="s">
        <v>2646</v>
      </c>
      <c r="B58" s="756"/>
      <c r="C58" s="761"/>
      <c r="D58" s="761"/>
      <c r="E58" s="761"/>
      <c r="F58" s="762"/>
      <c r="G58" s="762"/>
      <c r="H58" s="761"/>
      <c r="I58" s="761"/>
      <c r="J58" s="761"/>
      <c r="K58" s="763"/>
      <c r="L58" s="1158"/>
      <c r="M58" s="1156"/>
      <c r="N58" s="1156"/>
      <c r="O58" s="1156"/>
      <c r="P58" s="2678"/>
      <c r="Q58" s="501"/>
    </row>
    <row r="59" spans="1:29" s="505" customFormat="1" ht="15">
      <c r="A59" s="502" t="s">
        <v>2520</v>
      </c>
      <c r="B59" s="503"/>
      <c r="C59" s="1571" t="str">
        <f>YEAR(C7)&amp;"-"&amp;MONTH(C7)</f>
        <v>2020-1</v>
      </c>
      <c r="D59" s="1572">
        <f>EDATE(C59,-1)</f>
        <v>43800</v>
      </c>
      <c r="E59" s="1572">
        <f>EDATE(D59,-1)</f>
        <v>43770</v>
      </c>
      <c r="F59" s="1572">
        <f t="shared" ref="F59:O59" si="16">EDATE(E59,-1)</f>
        <v>43739</v>
      </c>
      <c r="G59" s="1572">
        <f t="shared" si="16"/>
        <v>43709</v>
      </c>
      <c r="H59" s="1572">
        <f t="shared" si="16"/>
        <v>43678</v>
      </c>
      <c r="I59" s="1572">
        <f t="shared" si="16"/>
        <v>43647</v>
      </c>
      <c r="J59" s="1572">
        <f t="shared" si="16"/>
        <v>43617</v>
      </c>
      <c r="K59" s="1572">
        <f t="shared" si="16"/>
        <v>43586</v>
      </c>
      <c r="L59" s="1572">
        <f t="shared" si="16"/>
        <v>43556</v>
      </c>
      <c r="M59" s="1572">
        <f t="shared" si="16"/>
        <v>43525</v>
      </c>
      <c r="N59" s="1572">
        <f t="shared" si="16"/>
        <v>43497</v>
      </c>
      <c r="O59" s="1572">
        <f t="shared" si="16"/>
        <v>43466</v>
      </c>
      <c r="P59" s="1568"/>
    </row>
    <row r="60" spans="1:29" s="114" customFormat="1" ht="15">
      <c r="A60" s="506"/>
      <c r="B60" s="507"/>
      <c r="C60" s="1570">
        <v>100</v>
      </c>
      <c r="D60" s="509"/>
      <c r="E60" s="509"/>
      <c r="F60" s="509"/>
      <c r="G60" s="509"/>
      <c r="H60" s="509"/>
      <c r="I60" s="509"/>
      <c r="J60" s="509"/>
      <c r="K60" s="509"/>
      <c r="L60" s="509"/>
      <c r="M60" s="510"/>
      <c r="N60" s="509"/>
      <c r="O60" s="510"/>
      <c r="P60" s="2679"/>
    </row>
    <row r="61" spans="1:29" s="114" customFormat="1" ht="15.75" thickBot="1">
      <c r="A61" s="512" t="s">
        <v>2557</v>
      </c>
      <c r="B61" s="513"/>
      <c r="C61" s="514"/>
      <c r="D61" s="515"/>
      <c r="E61" s="515"/>
      <c r="F61" s="515"/>
      <c r="G61" s="515"/>
      <c r="H61" s="515"/>
      <c r="I61" s="515"/>
      <c r="J61" s="515"/>
      <c r="K61" s="515"/>
      <c r="L61" s="515"/>
      <c r="M61" s="516"/>
      <c r="N61" s="515"/>
      <c r="O61" s="516"/>
      <c r="P61" s="2679"/>
      <c r="Q61" s="501"/>
    </row>
    <row r="62" spans="1:29" s="114" customFormat="1" ht="15">
      <c r="A62" s="518" t="s">
        <v>2522</v>
      </c>
      <c r="B62" s="507"/>
      <c r="C62" s="519" t="s">
        <v>2624</v>
      </c>
      <c r="D62" s="520"/>
      <c r="E62" s="520"/>
      <c r="F62" s="520"/>
      <c r="G62" s="520"/>
      <c r="H62" s="520"/>
      <c r="I62" s="520"/>
      <c r="J62" s="520"/>
      <c r="K62" s="520"/>
      <c r="L62" s="521"/>
      <c r="M62" s="522"/>
      <c r="N62" s="1148"/>
      <c r="O62" s="1148"/>
      <c r="P62" s="2680"/>
      <c r="Q62" s="501"/>
    </row>
    <row r="63" spans="1:29" s="114" customFormat="1" ht="15.75" thickBot="1">
      <c r="A63" s="518"/>
      <c r="B63" s="507"/>
      <c r="C63" s="508">
        <v>100</v>
      </c>
      <c r="D63" s="509"/>
      <c r="E63" s="509"/>
      <c r="F63" s="509"/>
      <c r="G63" s="509"/>
      <c r="H63" s="509"/>
      <c r="I63" s="509"/>
      <c r="J63" s="509"/>
      <c r="K63" s="509"/>
      <c r="L63" s="509"/>
      <c r="M63" s="511"/>
      <c r="N63" s="1148"/>
      <c r="O63" s="1148"/>
      <c r="P63" s="2679"/>
      <c r="Q63" s="501"/>
    </row>
    <row r="64" spans="1:29">
      <c r="A64" s="524" t="s">
        <v>2560</v>
      </c>
      <c r="B64" s="525" t="s">
        <v>2526</v>
      </c>
      <c r="C64" s="526">
        <f>C9</f>
        <v>0</v>
      </c>
      <c r="D64" s="527"/>
      <c r="E64" s="527"/>
      <c r="F64" s="527"/>
      <c r="G64" s="527"/>
      <c r="H64" s="527"/>
      <c r="I64" s="527"/>
      <c r="J64" s="527"/>
      <c r="K64" s="528"/>
      <c r="L64" s="529"/>
      <c r="M64" s="530"/>
      <c r="N64" s="1149"/>
      <c r="O64" s="1149"/>
      <c r="P64" s="2681"/>
      <c r="Q64" s="501"/>
    </row>
    <row r="65" spans="1:17" ht="15.75" thickBot="1">
      <c r="A65" s="531"/>
      <c r="B65" s="532"/>
      <c r="C65" s="533">
        <v>100</v>
      </c>
      <c r="D65" s="533"/>
      <c r="E65" s="533"/>
      <c r="F65" s="533"/>
      <c r="G65" s="533"/>
      <c r="H65" s="533"/>
      <c r="I65" s="533"/>
      <c r="J65" s="533"/>
      <c r="K65" s="533"/>
      <c r="L65" s="533"/>
      <c r="M65" s="534"/>
      <c r="N65" s="1150"/>
      <c r="O65" s="1150"/>
      <c r="P65" s="2681"/>
      <c r="Q65" s="501"/>
    </row>
    <row r="66" spans="1:17" ht="27.75" thickTop="1">
      <c r="A66" s="531"/>
      <c r="B66" s="535" t="s">
        <v>2529</v>
      </c>
      <c r="C66" s="536" t="s">
        <v>2561</v>
      </c>
      <c r="D66" s="536" t="s">
        <v>2562</v>
      </c>
      <c r="E66" s="536" t="s">
        <v>2563</v>
      </c>
      <c r="F66" s="536" t="s">
        <v>2564</v>
      </c>
      <c r="G66" s="536" t="s">
        <v>2565</v>
      </c>
      <c r="H66" s="536" t="s">
        <v>2566</v>
      </c>
      <c r="I66" s="536" t="s">
        <v>2567</v>
      </c>
      <c r="J66" s="536"/>
      <c r="K66" s="537"/>
      <c r="L66" s="538"/>
      <c r="M66" s="539"/>
      <c r="N66" s="1149"/>
      <c r="O66" s="1149"/>
      <c r="P66" s="2681"/>
      <c r="Q66" s="501"/>
    </row>
    <row r="67" spans="1:17" ht="15.75" thickBot="1">
      <c r="A67" s="531"/>
      <c r="B67" s="540"/>
      <c r="C67" s="541" t="s">
        <v>21</v>
      </c>
      <c r="D67" s="541" t="s">
        <v>22</v>
      </c>
      <c r="E67" s="541">
        <v>100</v>
      </c>
      <c r="F67" s="541">
        <f>E67-$K10</f>
        <v>100</v>
      </c>
      <c r="G67" s="541">
        <f>F67-$K10</f>
        <v>100</v>
      </c>
      <c r="H67" s="541">
        <f>G67-$K10</f>
        <v>100</v>
      </c>
      <c r="I67" s="541">
        <f>H67-$K10</f>
        <v>100</v>
      </c>
      <c r="J67" s="541"/>
      <c r="K67" s="541"/>
      <c r="L67" s="541"/>
      <c r="M67" s="542"/>
      <c r="N67" s="1150"/>
      <c r="O67" s="1150"/>
      <c r="P67" s="2681"/>
      <c r="Q67" s="501"/>
    </row>
    <row r="68" spans="1:17" ht="15.75" thickTop="1">
      <c r="A68" s="531"/>
      <c r="B68" s="543" t="s">
        <v>2530</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81"/>
      <c r="Q68" s="501"/>
    </row>
    <row r="69" spans="1:17" ht="15">
      <c r="A69" s="531"/>
      <c r="B69" s="545"/>
      <c r="C69" s="546"/>
      <c r="D69" s="546"/>
      <c r="E69" s="546"/>
      <c r="F69" s="546"/>
      <c r="G69" s="546"/>
      <c r="H69" s="546"/>
      <c r="I69" s="546"/>
      <c r="J69" s="546"/>
      <c r="K69" s="547"/>
      <c r="L69" s="548"/>
      <c r="M69" s="549"/>
      <c r="N69" s="1149"/>
      <c r="O69" s="1149"/>
      <c r="P69" s="2681"/>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81"/>
      <c r="Q70" s="501"/>
    </row>
    <row r="71" spans="1:17" s="468" customFormat="1" ht="15.75" thickTop="1">
      <c r="A71" s="550"/>
      <c r="B71" s="535">
        <f>B12</f>
        <v>111</v>
      </c>
      <c r="C71" s="551"/>
      <c r="D71" s="551"/>
      <c r="E71" s="551"/>
      <c r="F71" s="551"/>
      <c r="G71" s="551"/>
      <c r="H71" s="552"/>
      <c r="I71" s="552"/>
      <c r="J71" s="552"/>
      <c r="K71" s="552"/>
      <c r="L71" s="553"/>
      <c r="M71" s="554"/>
      <c r="N71" s="1151"/>
      <c r="O71" s="1151"/>
      <c r="P71" s="2682"/>
      <c r="Q71" s="556"/>
    </row>
    <row r="72" spans="1:17" s="468" customFormat="1" ht="15.75" thickBot="1">
      <c r="A72" s="550"/>
      <c r="B72" s="540"/>
      <c r="C72" s="557"/>
      <c r="D72" s="533"/>
      <c r="E72" s="533"/>
      <c r="F72" s="533"/>
      <c r="G72" s="533"/>
      <c r="H72" s="533"/>
      <c r="I72" s="533"/>
      <c r="J72" s="533"/>
      <c r="K72" s="533"/>
      <c r="L72" s="533"/>
      <c r="M72" s="534"/>
      <c r="N72" s="1150"/>
      <c r="O72" s="1150"/>
      <c r="P72" s="2682"/>
      <c r="Q72" s="556"/>
    </row>
    <row r="73" spans="1:17" s="468" customFormat="1" ht="15.75" thickTop="1">
      <c r="A73" s="550"/>
      <c r="B73" s="535">
        <f>B13</f>
        <v>111</v>
      </c>
      <c r="C73" s="551"/>
      <c r="D73" s="551"/>
      <c r="E73" s="551"/>
      <c r="F73" s="551"/>
      <c r="G73" s="551"/>
      <c r="H73" s="552"/>
      <c r="I73" s="552"/>
      <c r="J73" s="552"/>
      <c r="K73" s="552"/>
      <c r="L73" s="553"/>
      <c r="M73" s="554"/>
      <c r="N73" s="1151"/>
      <c r="O73" s="1151"/>
      <c r="P73" s="2683"/>
      <c r="Q73" s="558"/>
    </row>
    <row r="74" spans="1:17" s="468" customFormat="1" ht="15.75" thickBot="1">
      <c r="A74" s="550"/>
      <c r="B74" s="540"/>
      <c r="C74" s="557"/>
      <c r="D74" s="557"/>
      <c r="E74" s="557"/>
      <c r="F74" s="557"/>
      <c r="G74" s="557"/>
      <c r="H74" s="559"/>
      <c r="I74" s="559"/>
      <c r="J74" s="559"/>
      <c r="K74" s="559"/>
      <c r="L74" s="559"/>
      <c r="M74" s="560"/>
      <c r="N74" s="1151"/>
      <c r="O74" s="1151"/>
      <c r="P74" s="2682"/>
      <c r="Q74" s="556"/>
    </row>
    <row r="75" spans="1:17" s="468" customFormat="1" ht="15.75" thickTop="1">
      <c r="A75" s="550"/>
      <c r="B75" s="543">
        <f>B14</f>
        <v>111</v>
      </c>
      <c r="C75" s="520"/>
      <c r="D75" s="520"/>
      <c r="E75" s="520"/>
      <c r="F75" s="520"/>
      <c r="G75" s="520"/>
      <c r="H75" s="561"/>
      <c r="I75" s="561"/>
      <c r="J75" s="561"/>
      <c r="K75" s="561"/>
      <c r="L75" s="562"/>
      <c r="M75" s="563"/>
      <c r="N75" s="1151"/>
      <c r="O75" s="1151"/>
      <c r="P75" s="2684"/>
      <c r="Q75" s="556"/>
    </row>
    <row r="76" spans="1:17" s="468" customFormat="1" ht="15.75" thickBot="1">
      <c r="A76" s="565"/>
      <c r="B76" s="566"/>
      <c r="C76" s="567"/>
      <c r="D76" s="567"/>
      <c r="E76" s="567"/>
      <c r="F76" s="567"/>
      <c r="G76" s="567"/>
      <c r="H76" s="568"/>
      <c r="I76" s="568"/>
      <c r="J76" s="568"/>
      <c r="K76" s="568"/>
      <c r="L76" s="568"/>
      <c r="M76" s="569"/>
      <c r="N76" s="1151"/>
      <c r="O76" s="1151"/>
      <c r="P76" s="2682"/>
      <c r="Q76" s="556"/>
    </row>
    <row r="77" spans="1:17">
      <c r="A77" s="524" t="s">
        <v>2531</v>
      </c>
      <c r="B77" s="525" t="s">
        <v>2669</v>
      </c>
      <c r="C77" s="570" t="s">
        <v>2569</v>
      </c>
      <c r="D77" s="570" t="s">
        <v>2570</v>
      </c>
      <c r="E77" s="570" t="s">
        <v>2571</v>
      </c>
      <c r="F77" s="570" t="s">
        <v>2572</v>
      </c>
      <c r="G77" s="570" t="s">
        <v>2573</v>
      </c>
      <c r="H77" s="526"/>
      <c r="I77" s="526"/>
      <c r="J77" s="526"/>
      <c r="K77" s="571"/>
      <c r="L77" s="572"/>
      <c r="M77" s="573"/>
      <c r="N77" s="1149"/>
      <c r="O77" s="1149"/>
      <c r="P77" s="2685"/>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81"/>
      <c r="Q78" s="501"/>
    </row>
    <row r="79" spans="1:17" ht="15.75" thickTop="1">
      <c r="A79" s="531"/>
      <c r="B79" s="535" t="s">
        <v>2574</v>
      </c>
      <c r="C79" s="575" t="s">
        <v>2569</v>
      </c>
      <c r="D79" s="575" t="s">
        <v>2570</v>
      </c>
      <c r="E79" s="575" t="s">
        <v>2571</v>
      </c>
      <c r="F79" s="575" t="s">
        <v>2572</v>
      </c>
      <c r="G79" s="575" t="s">
        <v>2573</v>
      </c>
      <c r="H79" s="536"/>
      <c r="I79" s="536"/>
      <c r="J79" s="536"/>
      <c r="K79" s="537"/>
      <c r="L79" s="538"/>
      <c r="M79" s="539"/>
      <c r="N79" s="1149"/>
      <c r="O79" s="1149"/>
      <c r="P79" s="2681"/>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81"/>
      <c r="Q80" s="501"/>
    </row>
    <row r="81" spans="1:17" ht="15.75" thickTop="1">
      <c r="A81" s="531"/>
      <c r="B81" s="535" t="s">
        <v>2575</v>
      </c>
      <c r="C81" s="575" t="s">
        <v>2569</v>
      </c>
      <c r="D81" s="575" t="s">
        <v>2570</v>
      </c>
      <c r="E81" s="575" t="s">
        <v>2571</v>
      </c>
      <c r="F81" s="575" t="s">
        <v>2572</v>
      </c>
      <c r="G81" s="575" t="s">
        <v>2573</v>
      </c>
      <c r="H81" s="536"/>
      <c r="I81" s="536"/>
      <c r="J81" s="536"/>
      <c r="K81" s="537"/>
      <c r="L81" s="538"/>
      <c r="M81" s="539"/>
      <c r="N81" s="1149"/>
      <c r="O81" s="1149"/>
      <c r="P81" s="2681"/>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81"/>
      <c r="Q82" s="501"/>
    </row>
    <row r="83" spans="1:17" ht="15.75" thickTop="1">
      <c r="A83" s="531"/>
      <c r="B83" s="543" t="s">
        <v>2661</v>
      </c>
      <c r="C83" s="657" t="s">
        <v>2647</v>
      </c>
      <c r="D83" s="657" t="s">
        <v>2648</v>
      </c>
      <c r="E83" s="657" t="s">
        <v>2649</v>
      </c>
      <c r="F83" s="657" t="s">
        <v>2650</v>
      </c>
      <c r="G83" s="657" t="s">
        <v>2651</v>
      </c>
      <c r="H83" s="536"/>
      <c r="I83" s="536"/>
      <c r="J83" s="536"/>
      <c r="K83" s="536"/>
      <c r="L83" s="536"/>
      <c r="M83" s="1379"/>
      <c r="N83" s="1150"/>
      <c r="O83" s="1150"/>
      <c r="P83" s="2681"/>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81"/>
      <c r="Q84" s="501"/>
    </row>
    <row r="85" spans="1:17" ht="15.75" thickTop="1">
      <c r="A85" s="531"/>
      <c r="B85" s="535" t="s">
        <v>2670</v>
      </c>
      <c r="C85" s="575" t="s">
        <v>2569</v>
      </c>
      <c r="D85" s="575" t="s">
        <v>2570</v>
      </c>
      <c r="E85" s="575" t="s">
        <v>2571</v>
      </c>
      <c r="F85" s="575" t="s">
        <v>2572</v>
      </c>
      <c r="G85" s="575" t="s">
        <v>2573</v>
      </c>
      <c r="H85" s="536"/>
      <c r="I85" s="536"/>
      <c r="J85" s="536"/>
      <c r="K85" s="537"/>
      <c r="L85" s="538"/>
      <c r="M85" s="539"/>
      <c r="N85" s="1149"/>
      <c r="O85" s="1149"/>
      <c r="P85" s="2681"/>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81"/>
      <c r="Q86" s="501"/>
    </row>
    <row r="87" spans="1:17" s="114" customFormat="1" ht="27.75" thickTop="1">
      <c r="A87" s="576"/>
      <c r="B87" s="535" t="s">
        <v>2671</v>
      </c>
      <c r="C87" s="551"/>
      <c r="D87" s="551"/>
      <c r="E87" s="551"/>
      <c r="F87" s="551"/>
      <c r="G87" s="551"/>
      <c r="H87" s="551"/>
      <c r="I87" s="551"/>
      <c r="J87" s="551"/>
      <c r="K87" s="551"/>
      <c r="L87" s="577"/>
      <c r="M87" s="578"/>
      <c r="N87" s="1148"/>
      <c r="O87" s="1148"/>
      <c r="P87" s="2681"/>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81"/>
      <c r="Q88" s="501"/>
    </row>
    <row r="89" spans="1:17" s="114" customFormat="1" ht="15.75" thickTop="1">
      <c r="A89" s="576"/>
      <c r="B89" s="535" t="str">
        <f>B27</f>
        <v>楼层</v>
      </c>
      <c r="C89" s="551"/>
      <c r="D89" s="551"/>
      <c r="E89" s="551"/>
      <c r="F89" s="2632"/>
      <c r="G89" s="551"/>
      <c r="H89" s="551"/>
      <c r="I89" s="551"/>
      <c r="J89" s="551"/>
      <c r="K89" s="551"/>
      <c r="L89" s="551"/>
      <c r="M89" s="578"/>
      <c r="N89" s="1148"/>
      <c r="O89" s="1148"/>
      <c r="P89" s="2681"/>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81"/>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82"/>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82"/>
      <c r="Q92" s="556"/>
    </row>
    <row r="93" spans="1:17" ht="15.75" thickTop="1">
      <c r="A93" s="531"/>
      <c r="B93" s="535">
        <f>B29</f>
        <v>111</v>
      </c>
      <c r="C93" s="551"/>
      <c r="D93" s="551"/>
      <c r="E93" s="551"/>
      <c r="F93" s="551"/>
      <c r="G93" s="551"/>
      <c r="H93" s="551"/>
      <c r="I93" s="551"/>
      <c r="J93" s="551"/>
      <c r="K93" s="551"/>
      <c r="L93" s="577"/>
      <c r="M93" s="578"/>
      <c r="N93" s="1149"/>
      <c r="O93" s="1149"/>
      <c r="P93" s="2681"/>
      <c r="Q93" s="501"/>
    </row>
    <row r="94" spans="1:17" ht="15.75" thickBot="1">
      <c r="A94" s="531"/>
      <c r="B94" s="540"/>
      <c r="C94" s="557"/>
      <c r="D94" s="533"/>
      <c r="E94" s="533"/>
      <c r="F94" s="533"/>
      <c r="G94" s="533"/>
      <c r="H94" s="533"/>
      <c r="I94" s="533"/>
      <c r="J94" s="533"/>
      <c r="K94" s="533"/>
      <c r="L94" s="533"/>
      <c r="M94" s="534"/>
      <c r="N94" s="1150"/>
      <c r="O94" s="1150"/>
      <c r="P94" s="2681"/>
      <c r="Q94" s="501"/>
    </row>
    <row r="95" spans="1:17" ht="15.75" thickTop="1">
      <c r="A95" s="531"/>
      <c r="B95" s="535">
        <f>B30</f>
        <v>111</v>
      </c>
      <c r="C95" s="551"/>
      <c r="D95" s="551"/>
      <c r="E95" s="551"/>
      <c r="F95" s="551"/>
      <c r="G95" s="580"/>
      <c r="H95" s="580"/>
      <c r="I95" s="580"/>
      <c r="J95" s="580"/>
      <c r="K95" s="581"/>
      <c r="L95" s="582"/>
      <c r="M95" s="583"/>
      <c r="N95" s="1149"/>
      <c r="O95" s="1149"/>
      <c r="P95" s="2681"/>
      <c r="Q95" s="501"/>
    </row>
    <row r="96" spans="1:17" ht="15.75" thickBot="1">
      <c r="A96" s="531"/>
      <c r="B96" s="540"/>
      <c r="C96" s="557"/>
      <c r="D96" s="557"/>
      <c r="E96" s="557"/>
      <c r="F96" s="557"/>
      <c r="G96" s="533"/>
      <c r="H96" s="533"/>
      <c r="I96" s="533"/>
      <c r="J96" s="533"/>
      <c r="K96" s="533"/>
      <c r="L96" s="533"/>
      <c r="M96" s="534"/>
      <c r="N96" s="1150"/>
      <c r="O96" s="1150"/>
      <c r="P96" s="2681"/>
      <c r="Q96" s="501"/>
    </row>
    <row r="97" spans="1:17" ht="15.75" thickTop="1">
      <c r="A97" s="531"/>
      <c r="B97" s="535">
        <f>B31</f>
        <v>111</v>
      </c>
      <c r="C97" s="551"/>
      <c r="D97" s="551"/>
      <c r="E97" s="551"/>
      <c r="F97" s="551"/>
      <c r="G97" s="580"/>
      <c r="H97" s="580"/>
      <c r="I97" s="580"/>
      <c r="J97" s="580"/>
      <c r="K97" s="581"/>
      <c r="L97" s="582"/>
      <c r="M97" s="583"/>
      <c r="N97" s="1149"/>
      <c r="O97" s="1149"/>
      <c r="P97" s="2681"/>
      <c r="Q97" s="501"/>
    </row>
    <row r="98" spans="1:17" ht="15.75" thickBot="1">
      <c r="A98" s="531"/>
      <c r="B98" s="540"/>
      <c r="C98" s="557"/>
      <c r="D98" s="533"/>
      <c r="E98" s="533"/>
      <c r="F98" s="533"/>
      <c r="G98" s="533"/>
      <c r="H98" s="533"/>
      <c r="I98" s="533"/>
      <c r="J98" s="533"/>
      <c r="K98" s="533"/>
      <c r="L98" s="533"/>
      <c r="M98" s="534"/>
      <c r="N98" s="1150"/>
      <c r="O98" s="1150"/>
      <c r="P98" s="2681"/>
      <c r="Q98" s="501"/>
    </row>
    <row r="99" spans="1:17" ht="15.75" thickTop="1">
      <c r="A99" s="531"/>
      <c r="B99" s="543">
        <f>B32</f>
        <v>111</v>
      </c>
      <c r="C99" s="520"/>
      <c r="D99" s="520"/>
      <c r="E99" s="520"/>
      <c r="F99" s="520"/>
      <c r="G99" s="584"/>
      <c r="H99" s="584"/>
      <c r="I99" s="584"/>
      <c r="J99" s="584"/>
      <c r="K99" s="585"/>
      <c r="L99" s="586"/>
      <c r="M99" s="587"/>
      <c r="N99" s="1149"/>
      <c r="O99" s="1149"/>
      <c r="P99" s="2681"/>
      <c r="Q99" s="501"/>
    </row>
    <row r="100" spans="1:17" ht="15.75" thickBot="1">
      <c r="A100" s="2633"/>
      <c r="B100" s="566"/>
      <c r="C100" s="567"/>
      <c r="D100" s="567"/>
      <c r="E100" s="567"/>
      <c r="F100" s="567"/>
      <c r="G100" s="588"/>
      <c r="H100" s="588"/>
      <c r="I100" s="588"/>
      <c r="J100" s="588"/>
      <c r="K100" s="588"/>
      <c r="L100" s="588"/>
      <c r="M100" s="589"/>
      <c r="N100" s="1150"/>
      <c r="O100" s="1150"/>
      <c r="P100" s="2681"/>
      <c r="Q100" s="501"/>
    </row>
    <row r="101" spans="1:17">
      <c r="A101" s="524" t="s">
        <v>2535</v>
      </c>
      <c r="B101" s="525" t="s">
        <v>2584</v>
      </c>
      <c r="C101" s="527"/>
      <c r="D101" s="527"/>
      <c r="E101" s="527"/>
      <c r="F101" s="527"/>
      <c r="G101" s="527"/>
      <c r="H101" s="527"/>
      <c r="I101" s="527"/>
      <c r="J101" s="527"/>
      <c r="K101" s="528"/>
      <c r="L101" s="529"/>
      <c r="M101" s="530"/>
      <c r="N101" s="1149"/>
      <c r="O101" s="1149"/>
      <c r="P101" s="2681"/>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81"/>
      <c r="Q102" s="501"/>
    </row>
    <row r="103" spans="1:17" ht="15.75" thickTop="1">
      <c r="A103" s="531"/>
      <c r="B103" s="535" t="s">
        <v>2585</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81"/>
      <c r="Q103" s="501"/>
    </row>
    <row r="104" spans="1:17" s="468" customFormat="1">
      <c r="A104" s="590"/>
      <c r="B104" s="591"/>
      <c r="C104" s="592"/>
      <c r="D104" s="592"/>
      <c r="E104" s="592"/>
      <c r="F104" s="592"/>
      <c r="G104" s="592"/>
      <c r="H104" s="592"/>
      <c r="I104" s="592"/>
      <c r="J104" s="593"/>
      <c r="K104" s="593"/>
      <c r="L104" s="594"/>
      <c r="M104" s="595"/>
      <c r="N104" s="1151"/>
      <c r="O104" s="1151"/>
      <c r="P104" s="2682"/>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82"/>
      <c r="Q105" s="556"/>
    </row>
    <row r="106" spans="1:17" ht="15" thickTop="1">
      <c r="A106" s="596"/>
      <c r="B106" s="535" t="s">
        <v>2586</v>
      </c>
      <c r="C106" s="551"/>
      <c r="D106" s="551"/>
      <c r="E106" s="580"/>
      <c r="F106" s="580"/>
      <c r="G106" s="580"/>
      <c r="H106" s="580"/>
      <c r="I106" s="580"/>
      <c r="J106" s="580"/>
      <c r="K106" s="581"/>
      <c r="L106" s="582"/>
      <c r="M106" s="583"/>
      <c r="N106" s="1149"/>
      <c r="O106" s="1149"/>
      <c r="P106" s="2681"/>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81"/>
      <c r="Q107" s="501"/>
    </row>
    <row r="108" spans="1:17" ht="15" thickTop="1">
      <c r="A108" s="596"/>
      <c r="B108" s="535" t="s">
        <v>2588</v>
      </c>
      <c r="C108" s="551"/>
      <c r="D108" s="551"/>
      <c r="E108" s="551"/>
      <c r="F108" s="580"/>
      <c r="G108" s="580"/>
      <c r="H108" s="580"/>
      <c r="I108" s="580"/>
      <c r="J108" s="580"/>
      <c r="K108" s="581"/>
      <c r="L108" s="582"/>
      <c r="M108" s="583"/>
      <c r="N108" s="1149"/>
      <c r="O108" s="1149"/>
      <c r="P108" s="2681"/>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81"/>
      <c r="Q109" s="501"/>
    </row>
    <row r="110" spans="1:17" ht="15" thickTop="1">
      <c r="A110" s="596"/>
      <c r="B110" s="535" t="s">
        <v>1970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81"/>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81"/>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81"/>
      <c r="Q112" s="501"/>
    </row>
    <row r="113" spans="1:17" s="468" customFormat="1" ht="15" thickTop="1">
      <c r="A113" s="590"/>
      <c r="B113" s="535" t="s">
        <v>2672</v>
      </c>
      <c r="C113" s="551"/>
      <c r="D113" s="551"/>
      <c r="E113" s="551"/>
      <c r="F113" s="551"/>
      <c r="G113" s="551"/>
      <c r="H113" s="580"/>
      <c r="I113" s="580"/>
      <c r="J113" s="580"/>
      <c r="K113" s="581"/>
      <c r="L113" s="582"/>
      <c r="M113" s="583"/>
      <c r="N113" s="1151"/>
      <c r="O113" s="1151"/>
      <c r="P113" s="2682"/>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82"/>
      <c r="Q114" s="556"/>
    </row>
    <row r="115" spans="1:17" ht="15" thickTop="1">
      <c r="A115" s="596"/>
      <c r="B115" s="535" t="s">
        <v>2589</v>
      </c>
      <c r="C115" s="551"/>
      <c r="D115" s="551"/>
      <c r="E115" s="580"/>
      <c r="F115" s="580"/>
      <c r="G115" s="580"/>
      <c r="H115" s="580"/>
      <c r="I115" s="580"/>
      <c r="J115" s="580"/>
      <c r="K115" s="581"/>
      <c r="L115" s="582"/>
      <c r="M115" s="583"/>
      <c r="N115" s="1149"/>
      <c r="O115" s="1149"/>
      <c r="P115" s="2681"/>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81"/>
      <c r="Q116" s="501"/>
    </row>
    <row r="117" spans="1:17" ht="15" thickTop="1">
      <c r="A117" s="596"/>
      <c r="B117" s="535" t="s">
        <v>2590</v>
      </c>
      <c r="C117" s="551"/>
      <c r="D117" s="551"/>
      <c r="E117" s="551"/>
      <c r="F117" s="551"/>
      <c r="G117" s="551"/>
      <c r="H117" s="580"/>
      <c r="I117" s="580"/>
      <c r="J117" s="580"/>
      <c r="K117" s="581"/>
      <c r="L117" s="582"/>
      <c r="M117" s="583"/>
      <c r="N117" s="1149"/>
      <c r="O117" s="1149"/>
      <c r="P117" s="2681"/>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81"/>
      <c r="Q118" s="501"/>
    </row>
    <row r="119" spans="1:17" ht="15" thickTop="1">
      <c r="A119" s="596"/>
      <c r="B119" s="633" t="s">
        <v>2673</v>
      </c>
      <c r="C119" s="580"/>
      <c r="D119" s="580"/>
      <c r="E119" s="580"/>
      <c r="F119" s="580"/>
      <c r="G119" s="580"/>
      <c r="H119" s="580"/>
      <c r="I119" s="580"/>
      <c r="J119" s="580"/>
      <c r="K119" s="580"/>
      <c r="L119" s="2686"/>
      <c r="M119" s="2687"/>
      <c r="N119" s="1150"/>
      <c r="O119" s="1150"/>
      <c r="P119" s="2688"/>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81"/>
      <c r="Q120" s="501"/>
    </row>
    <row r="121" spans="1:17" s="468" customFormat="1" ht="15" thickTop="1">
      <c r="A121" s="590"/>
      <c r="B121" s="535" t="s">
        <v>2656</v>
      </c>
      <c r="C121" s="551"/>
      <c r="D121" s="551"/>
      <c r="E121" s="551"/>
      <c r="F121" s="580"/>
      <c r="G121" s="552"/>
      <c r="H121" s="552"/>
      <c r="I121" s="552"/>
      <c r="J121" s="552"/>
      <c r="K121" s="552"/>
      <c r="L121" s="553"/>
      <c r="M121" s="554"/>
      <c r="N121" s="1151"/>
      <c r="O121" s="1151"/>
      <c r="P121" s="2682"/>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82"/>
      <c r="Q122" s="556"/>
    </row>
    <row r="123" spans="1:17" ht="15" thickTop="1">
      <c r="A123" s="596"/>
      <c r="B123" s="535" t="s">
        <v>2592</v>
      </c>
      <c r="C123" s="551"/>
      <c r="D123" s="551"/>
      <c r="E123" s="551"/>
      <c r="F123" s="580"/>
      <c r="G123" s="580"/>
      <c r="H123" s="580"/>
      <c r="I123" s="580"/>
      <c r="J123" s="580"/>
      <c r="K123" s="581"/>
      <c r="L123" s="582"/>
      <c r="M123" s="583"/>
      <c r="N123" s="1149"/>
      <c r="O123" s="1149"/>
      <c r="P123" s="2681"/>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81"/>
      <c r="Q124" s="501"/>
    </row>
    <row r="125" spans="1:17" ht="15" thickTop="1">
      <c r="A125" s="596"/>
      <c r="B125" s="535" t="s">
        <v>2593</v>
      </c>
      <c r="C125" s="575" t="s">
        <v>2569</v>
      </c>
      <c r="D125" s="575" t="s">
        <v>2570</v>
      </c>
      <c r="E125" s="575" t="s">
        <v>2571</v>
      </c>
      <c r="F125" s="575" t="s">
        <v>2572</v>
      </c>
      <c r="G125" s="575" t="s">
        <v>2573</v>
      </c>
      <c r="H125" s="536"/>
      <c r="I125" s="536"/>
      <c r="J125" s="536"/>
      <c r="K125" s="537"/>
      <c r="L125" s="538"/>
      <c r="M125" s="539"/>
      <c r="N125" s="1149"/>
      <c r="O125" s="1149"/>
      <c r="P125" s="2682"/>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81"/>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82"/>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82"/>
      <c r="Q128" s="556"/>
    </row>
    <row r="129" spans="1:17" ht="15" thickTop="1">
      <c r="A129" s="596"/>
      <c r="B129" s="535">
        <f>B46</f>
        <v>111</v>
      </c>
      <c r="C129" s="551"/>
      <c r="D129" s="551"/>
      <c r="E129" s="551"/>
      <c r="F129" s="551"/>
      <c r="G129" s="580"/>
      <c r="H129" s="580"/>
      <c r="I129" s="580"/>
      <c r="J129" s="580"/>
      <c r="K129" s="581"/>
      <c r="L129" s="582"/>
      <c r="M129" s="583"/>
      <c r="N129" s="1149"/>
      <c r="O129" s="1149"/>
      <c r="P129" s="2681"/>
      <c r="Q129" s="501"/>
    </row>
    <row r="130" spans="1:17" ht="15.75" thickBot="1">
      <c r="A130" s="531"/>
      <c r="B130" s="540"/>
      <c r="C130" s="557"/>
      <c r="D130" s="557"/>
      <c r="E130" s="557"/>
      <c r="F130" s="557"/>
      <c r="G130" s="533"/>
      <c r="H130" s="533"/>
      <c r="I130" s="533"/>
      <c r="J130" s="533"/>
      <c r="K130" s="533"/>
      <c r="L130" s="533"/>
      <c r="M130" s="534"/>
      <c r="N130" s="1150"/>
      <c r="O130" s="1150"/>
      <c r="P130" s="2681"/>
      <c r="Q130" s="501"/>
    </row>
    <row r="131" spans="1:17" ht="15" thickTop="1">
      <c r="A131" s="596"/>
      <c r="B131" s="543">
        <f>B47</f>
        <v>111</v>
      </c>
      <c r="C131" s="520"/>
      <c r="D131" s="520"/>
      <c r="E131" s="520"/>
      <c r="F131" s="520"/>
      <c r="G131" s="584"/>
      <c r="H131" s="584"/>
      <c r="I131" s="584"/>
      <c r="J131" s="584"/>
      <c r="K131" s="520"/>
      <c r="L131" s="521"/>
      <c r="M131" s="587"/>
      <c r="N131" s="1149"/>
      <c r="O131" s="1149"/>
      <c r="P131" s="2681"/>
      <c r="Q131" s="501"/>
    </row>
    <row r="132" spans="1:17" ht="15.75" thickBot="1">
      <c r="A132" s="2633"/>
      <c r="B132" s="566"/>
      <c r="C132" s="567"/>
      <c r="D132" s="567"/>
      <c r="E132" s="567"/>
      <c r="F132" s="567"/>
      <c r="G132" s="588"/>
      <c r="H132" s="588"/>
      <c r="I132" s="588"/>
      <c r="J132" s="588"/>
      <c r="K132" s="588"/>
      <c r="L132" s="588"/>
      <c r="M132" s="589"/>
      <c r="N132" s="1150"/>
      <c r="O132" s="1150"/>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2500</v>
      </c>
      <c r="B1" s="2666" t="s">
        <v>2674</v>
      </c>
      <c r="C1" s="1617" t="s">
        <v>2502</v>
      </c>
      <c r="D1" s="1618"/>
      <c r="E1" s="1627"/>
      <c r="F1" s="2581"/>
      <c r="G1" s="1628" t="s">
        <v>2615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2302</v>
      </c>
      <c r="B2" s="1415" t="e">
        <f ca="1">IF(C2="——",ROUND(C43*D3/10000,0),ROUND(C43*D3/10000,0)-D2)</f>
        <v>#DIV/0!</v>
      </c>
      <c r="C2" s="2583"/>
      <c r="D2" s="1121" t="e">
        <f ca="1">SUMIF(INDIRECT("'"&amp;F2&amp;"'"&amp;"!A:A"),"承租人权益价值",INDIRECT("'"&amp;F2&amp;"'"&amp;"!c:c"))</f>
        <v>#REF!</v>
      </c>
      <c r="E2" s="2584" t="s">
        <v>2303</v>
      </c>
      <c r="F2" s="2585"/>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2304</v>
      </c>
      <c r="B3" s="606" t="e">
        <f ca="1">IF(C2="——",C43,ROUND(B2*10000/D3,0))</f>
        <v>#DIV/0!</v>
      </c>
      <c r="C3" s="397" t="s">
        <v>2616</v>
      </c>
      <c r="D3" s="396">
        <f>IF(D1="",'数据-汇总表'!E3,SUMIF('数据-汇总表'!$C19:$C33,D1,'数据-汇总表'!$E19:$E33))</f>
        <v>46024.009999999995</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2617</v>
      </c>
      <c r="B4" s="399"/>
      <c r="C4" s="3220" t="s">
        <v>2618</v>
      </c>
      <c r="D4" s="3221"/>
      <c r="E4" s="3222" t="s">
        <v>2619</v>
      </c>
      <c r="F4" s="3223"/>
      <c r="G4" s="3220" t="s">
        <v>2620</v>
      </c>
      <c r="H4" s="3221"/>
      <c r="I4" s="3220" t="s">
        <v>2621</v>
      </c>
      <c r="J4" s="3221"/>
      <c r="K4" s="607" t="s">
        <v>2622</v>
      </c>
      <c r="L4" s="1127"/>
      <c r="M4" s="1128"/>
      <c r="N4" s="1128"/>
      <c r="O4" s="1128"/>
      <c r="P4" s="3224" t="s">
        <v>2623</v>
      </c>
      <c r="Q4" s="3225"/>
      <c r="R4" s="3230" t="s">
        <v>2619</v>
      </c>
      <c r="S4" s="3231"/>
      <c r="T4" s="3230" t="s">
        <v>2620</v>
      </c>
      <c r="U4" s="3231"/>
      <c r="V4" s="3236" t="s">
        <v>2621</v>
      </c>
      <c r="W4" s="3236"/>
      <c r="X4" s="1810"/>
      <c r="Y4" s="3230" t="s">
        <v>2623</v>
      </c>
      <c r="Z4" s="3231"/>
      <c r="AA4" s="3217" t="s">
        <v>2619</v>
      </c>
      <c r="AB4" s="3218" t="s">
        <v>2620</v>
      </c>
      <c r="AC4" s="3217" t="s">
        <v>2621</v>
      </c>
    </row>
    <row r="5" spans="1:29" ht="15">
      <c r="A5" s="401"/>
      <c r="B5" s="402"/>
      <c r="C5" s="3239" t="s">
        <v>2514</v>
      </c>
      <c r="D5" s="3240"/>
      <c r="E5" s="3246" t="s">
        <v>2515</v>
      </c>
      <c r="F5" s="3247"/>
      <c r="G5" s="3239" t="s">
        <v>2516</v>
      </c>
      <c r="H5" s="3240"/>
      <c r="I5" s="3239" t="s">
        <v>2517</v>
      </c>
      <c r="J5" s="3240"/>
      <c r="K5" s="607"/>
      <c r="L5" s="1127"/>
      <c r="M5" s="1128"/>
      <c r="N5" s="1128"/>
      <c r="O5" s="1128"/>
      <c r="P5" s="3226"/>
      <c r="Q5" s="3227"/>
      <c r="R5" s="3232"/>
      <c r="S5" s="3233"/>
      <c r="T5" s="3232"/>
      <c r="U5" s="3233"/>
      <c r="V5" s="3236"/>
      <c r="W5" s="3236"/>
      <c r="X5" s="1810"/>
      <c r="Y5" s="3232"/>
      <c r="Z5" s="3233"/>
      <c r="AA5" s="3218"/>
      <c r="AB5" s="3218"/>
      <c r="AC5" s="3218"/>
    </row>
    <row r="6" spans="1:29" ht="15.75" thickBot="1">
      <c r="A6" s="403"/>
      <c r="B6" s="404"/>
      <c r="C6" s="3237" t="s">
        <v>2518</v>
      </c>
      <c r="D6" s="3238"/>
      <c r="E6" s="3244" t="s">
        <v>2518</v>
      </c>
      <c r="F6" s="3245"/>
      <c r="G6" s="3237" t="s">
        <v>2518</v>
      </c>
      <c r="H6" s="3238"/>
      <c r="I6" s="3237" t="s">
        <v>2518</v>
      </c>
      <c r="J6" s="3238"/>
      <c r="K6" s="607" t="s">
        <v>2519</v>
      </c>
      <c r="L6" s="1127"/>
      <c r="M6" s="1128"/>
      <c r="N6" s="1128"/>
      <c r="O6" s="1128"/>
      <c r="P6" s="3228"/>
      <c r="Q6" s="3229"/>
      <c r="R6" s="3232"/>
      <c r="S6" s="3233"/>
      <c r="T6" s="3234"/>
      <c r="U6" s="3235"/>
      <c r="V6" s="3236"/>
      <c r="W6" s="3236"/>
      <c r="X6" s="1810"/>
      <c r="Y6" s="3234"/>
      <c r="Z6" s="3235"/>
      <c r="AA6" s="3219"/>
      <c r="AB6" s="3219"/>
      <c r="AC6" s="3219"/>
    </row>
    <row r="7" spans="1:29" s="114" customFormat="1" ht="15.75" thickBot="1">
      <c r="A7" s="405" t="s">
        <v>2520</v>
      </c>
      <c r="B7" s="406"/>
      <c r="C7" s="407">
        <f>'数据-取费表'!B2</f>
        <v>43832</v>
      </c>
      <c r="D7" s="408">
        <v>100</v>
      </c>
      <c r="E7" s="409"/>
      <c r="F7" s="410">
        <f>SUMIF(52:52,YEAR(E7)&amp;"-"&amp;MONTH(E7),53:53)</f>
        <v>0</v>
      </c>
      <c r="G7" s="409"/>
      <c r="H7" s="408">
        <f>SUMIF(52:52,YEAR(G7)&amp;"-"&amp;MONTH(G7),53:53)</f>
        <v>0</v>
      </c>
      <c r="I7" s="409"/>
      <c r="J7" s="408">
        <f>SUMIF(52:52,YEAR(I7)&amp;"-"&amp;MONTH(I7),53:53)</f>
        <v>0</v>
      </c>
      <c r="K7" s="608"/>
      <c r="L7" s="1129"/>
      <c r="M7" s="1130"/>
      <c r="N7" s="1130"/>
      <c r="O7" s="1130"/>
      <c r="P7" s="3241" t="s">
        <v>2521</v>
      </c>
      <c r="Q7" s="3243"/>
      <c r="R7" s="767" t="s">
        <v>14</v>
      </c>
      <c r="S7" s="768">
        <f t="shared" ref="S7:S15" si="0">F7</f>
        <v>0</v>
      </c>
      <c r="T7" s="767" t="s">
        <v>14</v>
      </c>
      <c r="U7" s="768">
        <f t="shared" ref="U7:U15" si="1">H7</f>
        <v>0</v>
      </c>
      <c r="V7" s="767" t="s">
        <v>14</v>
      </c>
      <c r="W7" s="768">
        <f t="shared" ref="W7:W15" si="2">J7</f>
        <v>0</v>
      </c>
      <c r="X7" s="769"/>
      <c r="Y7" s="3241" t="s">
        <v>2521</v>
      </c>
      <c r="Z7" s="3242"/>
      <c r="AA7" s="770" t="e">
        <f>D7/F7</f>
        <v>#DIV/0!</v>
      </c>
      <c r="AB7" s="770" t="e">
        <f>D7/H7</f>
        <v>#DIV/0!</v>
      </c>
      <c r="AC7" s="770" t="e">
        <f>D7/J7</f>
        <v>#DIV/0!</v>
      </c>
    </row>
    <row r="8" spans="1:29" s="114" customFormat="1" ht="15.75" thickBot="1">
      <c r="A8" s="405" t="s">
        <v>2522</v>
      </c>
      <c r="B8" s="406"/>
      <c r="C8" s="411" t="s">
        <v>2523</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241" t="s">
        <v>2524</v>
      </c>
      <c r="Q8" s="3242"/>
      <c r="R8" s="767" t="s">
        <v>14</v>
      </c>
      <c r="S8" s="768">
        <f t="shared" si="0"/>
        <v>0</v>
      </c>
      <c r="T8" s="767" t="s">
        <v>14</v>
      </c>
      <c r="U8" s="768">
        <f t="shared" si="1"/>
        <v>0</v>
      </c>
      <c r="V8" s="767" t="s">
        <v>14</v>
      </c>
      <c r="W8" s="768">
        <f t="shared" si="2"/>
        <v>0</v>
      </c>
      <c r="X8" s="769"/>
      <c r="Y8" s="3241" t="s">
        <v>2524</v>
      </c>
      <c r="Z8" s="3242"/>
      <c r="AA8" s="770" t="e">
        <f t="shared" ref="AA8:AA40" si="3">D8/F8</f>
        <v>#DIV/0!</v>
      </c>
      <c r="AB8" s="770" t="e">
        <f t="shared" ref="AB8:AB40" si="4">D8/H8</f>
        <v>#DIV/0!</v>
      </c>
      <c r="AC8" s="770" t="e">
        <f t="shared" ref="AC8:AC40" si="5">D8/J8</f>
        <v>#DIV/0!</v>
      </c>
    </row>
    <row r="9" spans="1:29" s="114" customFormat="1">
      <c r="A9" s="412" t="s">
        <v>2525</v>
      </c>
      <c r="B9" s="68" t="s">
        <v>2526</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205" t="s">
        <v>2527</v>
      </c>
      <c r="Q9" s="1792" t="str">
        <f t="shared" ref="Q9:Q15" si="6">B9</f>
        <v>用途</v>
      </c>
      <c r="R9" s="767" t="s">
        <v>14</v>
      </c>
      <c r="S9" s="768">
        <f t="shared" si="0"/>
        <v>100</v>
      </c>
      <c r="T9" s="767" t="s">
        <v>14</v>
      </c>
      <c r="U9" s="768">
        <f t="shared" si="1"/>
        <v>100</v>
      </c>
      <c r="V9" s="767" t="s">
        <v>14</v>
      </c>
      <c r="W9" s="768">
        <f t="shared" si="2"/>
        <v>100</v>
      </c>
      <c r="X9" s="769"/>
      <c r="Y9" s="3005" t="s">
        <v>2528</v>
      </c>
      <c r="Z9" s="52" t="str">
        <f t="shared" ref="Z9:Z15" si="7">Q9</f>
        <v>用途</v>
      </c>
      <c r="AA9" s="770">
        <f t="shared" si="3"/>
        <v>1</v>
      </c>
      <c r="AB9" s="770">
        <f t="shared" si="4"/>
        <v>1</v>
      </c>
      <c r="AC9" s="770">
        <f t="shared" si="5"/>
        <v>1</v>
      </c>
    </row>
    <row r="10" spans="1:29" s="424" customFormat="1" ht="27">
      <c r="A10" s="418"/>
      <c r="B10" s="419" t="s">
        <v>2529</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205"/>
      <c r="Q10" s="1792" t="str">
        <f t="shared" si="6"/>
        <v>土地使用年限（年）</v>
      </c>
      <c r="R10" s="767" t="s">
        <v>14</v>
      </c>
      <c r="S10" s="768">
        <f t="shared" si="0"/>
        <v>100</v>
      </c>
      <c r="T10" s="767" t="s">
        <v>14</v>
      </c>
      <c r="U10" s="768">
        <f t="shared" si="1"/>
        <v>100</v>
      </c>
      <c r="V10" s="767" t="s">
        <v>14</v>
      </c>
      <c r="W10" s="768">
        <f t="shared" si="2"/>
        <v>100</v>
      </c>
      <c r="X10" s="769"/>
      <c r="Y10" s="3005"/>
      <c r="Z10" s="52" t="str">
        <f t="shared" si="7"/>
        <v>土地使用年限（年）</v>
      </c>
      <c r="AA10" s="770">
        <f t="shared" si="3"/>
        <v>1</v>
      </c>
      <c r="AB10" s="770">
        <f t="shared" si="4"/>
        <v>1</v>
      </c>
      <c r="AC10" s="770">
        <f t="shared" si="5"/>
        <v>1</v>
      </c>
    </row>
    <row r="11" spans="1:29" ht="15">
      <c r="A11" s="425"/>
      <c r="B11" s="419" t="s">
        <v>2530</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205"/>
      <c r="Q11" s="1792" t="str">
        <f t="shared" si="6"/>
        <v>容积率</v>
      </c>
      <c r="R11" s="767" t="s">
        <v>14</v>
      </c>
      <c r="S11" s="768" t="e">
        <f t="shared" si="0"/>
        <v>#N/A</v>
      </c>
      <c r="T11" s="767" t="s">
        <v>14</v>
      </c>
      <c r="U11" s="768" t="e">
        <f t="shared" si="1"/>
        <v>#N/A</v>
      </c>
      <c r="V11" s="767" t="s">
        <v>14</v>
      </c>
      <c r="W11" s="768" t="e">
        <f t="shared" si="2"/>
        <v>#N/A</v>
      </c>
      <c r="X11" s="769"/>
      <c r="Y11" s="3005"/>
      <c r="Z11" s="52" t="str">
        <f t="shared" si="7"/>
        <v>容积率</v>
      </c>
      <c r="AA11" s="770" t="e">
        <f t="shared" si="3"/>
        <v>#N/A</v>
      </c>
      <c r="AB11" s="770" t="e">
        <f t="shared" si="4"/>
        <v>#N/A</v>
      </c>
      <c r="AC11" s="770" t="e">
        <f t="shared" si="5"/>
        <v>#N/A</v>
      </c>
    </row>
    <row r="12" spans="1:29" s="114"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9"/>
      <c r="M12" s="1130"/>
      <c r="N12" s="1130"/>
      <c r="O12" s="1131"/>
      <c r="P12" s="3205"/>
      <c r="Q12" s="1792">
        <f t="shared" si="6"/>
        <v>111</v>
      </c>
      <c r="R12" s="767" t="s">
        <v>14</v>
      </c>
      <c r="S12" s="768">
        <f t="shared" si="0"/>
        <v>100</v>
      </c>
      <c r="T12" s="767" t="s">
        <v>14</v>
      </c>
      <c r="U12" s="768">
        <f t="shared" si="1"/>
        <v>100</v>
      </c>
      <c r="V12" s="767" t="s">
        <v>14</v>
      </c>
      <c r="W12" s="768">
        <f t="shared" si="2"/>
        <v>100</v>
      </c>
      <c r="X12" s="769"/>
      <c r="Y12" s="3005"/>
      <c r="Z12" s="52">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7"/>
      <c r="M13" s="1128"/>
      <c r="N13" s="1128"/>
      <c r="O13" s="1136"/>
      <c r="P13" s="3205"/>
      <c r="Q13" s="1792">
        <f t="shared" si="6"/>
        <v>111</v>
      </c>
      <c r="R13" s="767" t="s">
        <v>14</v>
      </c>
      <c r="S13" s="768">
        <f t="shared" si="0"/>
        <v>100</v>
      </c>
      <c r="T13" s="767" t="s">
        <v>14</v>
      </c>
      <c r="U13" s="768">
        <f t="shared" si="1"/>
        <v>100</v>
      </c>
      <c r="V13" s="767" t="s">
        <v>14</v>
      </c>
      <c r="W13" s="768">
        <f t="shared" si="2"/>
        <v>100</v>
      </c>
      <c r="X13" s="769"/>
      <c r="Y13" s="3005"/>
      <c r="Z13" s="52">
        <f t="shared" si="7"/>
        <v>111</v>
      </c>
      <c r="AA13" s="770">
        <f t="shared" si="3"/>
        <v>1</v>
      </c>
      <c r="AB13" s="770">
        <f t="shared" si="4"/>
        <v>1</v>
      </c>
      <c r="AC13" s="770">
        <f t="shared" si="5"/>
        <v>1</v>
      </c>
    </row>
    <row r="14" spans="1:29" ht="15.75"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7"/>
      <c r="M14" s="1128"/>
      <c r="N14" s="1128"/>
      <c r="O14" s="1136"/>
      <c r="P14" s="3205"/>
      <c r="Q14" s="1792">
        <f t="shared" si="6"/>
        <v>111</v>
      </c>
      <c r="R14" s="767" t="s">
        <v>14</v>
      </c>
      <c r="S14" s="768">
        <f t="shared" si="0"/>
        <v>100</v>
      </c>
      <c r="T14" s="767" t="s">
        <v>14</v>
      </c>
      <c r="U14" s="768">
        <f t="shared" si="1"/>
        <v>100</v>
      </c>
      <c r="V14" s="767" t="s">
        <v>14</v>
      </c>
      <c r="W14" s="768">
        <f t="shared" si="2"/>
        <v>100</v>
      </c>
      <c r="X14" s="769"/>
      <c r="Y14" s="3005"/>
      <c r="Z14" s="52">
        <f t="shared" si="7"/>
        <v>111</v>
      </c>
      <c r="AA14" s="770">
        <f t="shared" si="3"/>
        <v>1</v>
      </c>
      <c r="AB14" s="770">
        <f t="shared" si="4"/>
        <v>1</v>
      </c>
      <c r="AC14" s="770">
        <f t="shared" si="5"/>
        <v>1</v>
      </c>
    </row>
    <row r="15" spans="1:29" ht="57">
      <c r="A15" s="437" t="s">
        <v>2531</v>
      </c>
      <c r="B15" s="66" t="s">
        <v>2675</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207" t="s">
        <v>2532</v>
      </c>
      <c r="Q15" s="1807" t="str">
        <f t="shared" si="6"/>
        <v>产业集聚程度</v>
      </c>
      <c r="R15" s="771" t="s">
        <v>14</v>
      </c>
      <c r="S15" s="772">
        <f t="shared" si="0"/>
        <v>100</v>
      </c>
      <c r="T15" s="771" t="s">
        <v>14</v>
      </c>
      <c r="U15" s="772">
        <f t="shared" si="1"/>
        <v>100</v>
      </c>
      <c r="V15" s="771" t="s">
        <v>14</v>
      </c>
      <c r="W15" s="772">
        <f t="shared" si="2"/>
        <v>100</v>
      </c>
      <c r="X15" s="1810"/>
      <c r="Y15" s="3207" t="s">
        <v>2532</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36"/>
      <c r="P16" s="3208"/>
      <c r="Q16" s="1807"/>
      <c r="R16" s="771"/>
      <c r="S16" s="772"/>
      <c r="T16" s="771"/>
      <c r="U16" s="772"/>
      <c r="V16" s="771"/>
      <c r="W16" s="772"/>
      <c r="X16" s="1810"/>
      <c r="Y16" s="3208"/>
      <c r="Z16" s="1811"/>
      <c r="AA16" s="1808">
        <v>1</v>
      </c>
      <c r="AB16" s="1808">
        <v>1</v>
      </c>
      <c r="AC16" s="1808">
        <v>1</v>
      </c>
    </row>
    <row r="17" spans="1:29" ht="85.5">
      <c r="A17" s="425"/>
      <c r="B17" s="448" t="s">
        <v>2072</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208"/>
      <c r="Q17" s="1807" t="str">
        <f>B17</f>
        <v>交通便捷度</v>
      </c>
      <c r="R17" s="771" t="s">
        <v>14</v>
      </c>
      <c r="S17" s="772">
        <f>F17</f>
        <v>100</v>
      </c>
      <c r="T17" s="771" t="s">
        <v>14</v>
      </c>
      <c r="U17" s="772">
        <f>H17</f>
        <v>100</v>
      </c>
      <c r="V17" s="771" t="s">
        <v>14</v>
      </c>
      <c r="W17" s="772">
        <f>J17</f>
        <v>100</v>
      </c>
      <c r="X17" s="1810"/>
      <c r="Y17" s="3208"/>
      <c r="Z17" s="1811" t="str">
        <f>Q17</f>
        <v>交通便捷度</v>
      </c>
      <c r="AA17" s="1808">
        <f t="shared" si="3"/>
        <v>1</v>
      </c>
      <c r="AB17" s="1808">
        <f t="shared" si="4"/>
        <v>1</v>
      </c>
      <c r="AC17" s="1808">
        <f t="shared" si="5"/>
        <v>1</v>
      </c>
    </row>
    <row r="18" spans="1:29" ht="15">
      <c r="A18" s="425"/>
      <c r="B18" s="453"/>
      <c r="C18" s="2605"/>
      <c r="D18" s="447"/>
      <c r="E18" s="2607"/>
      <c r="F18" s="450"/>
      <c r="G18" s="2606"/>
      <c r="H18" s="445"/>
      <c r="I18" s="2607"/>
      <c r="J18" s="445"/>
      <c r="K18" s="612"/>
      <c r="L18" s="1137"/>
      <c r="M18" s="1128"/>
      <c r="N18" s="1128"/>
      <c r="O18" s="1136"/>
      <c r="P18" s="3208"/>
      <c r="Q18" s="1807"/>
      <c r="R18" s="771"/>
      <c r="S18" s="772"/>
      <c r="T18" s="771"/>
      <c r="U18" s="772"/>
      <c r="V18" s="771"/>
      <c r="W18" s="772"/>
      <c r="X18" s="1810"/>
      <c r="Y18" s="3208"/>
      <c r="Z18" s="1811"/>
      <c r="AA18" s="1808">
        <v>1</v>
      </c>
      <c r="AB18" s="1808">
        <v>1</v>
      </c>
      <c r="AC18" s="1808">
        <v>1</v>
      </c>
    </row>
    <row r="19" spans="1:29" ht="42.75">
      <c r="A19" s="425"/>
      <c r="B19" s="448" t="s">
        <v>2660</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208"/>
      <c r="Q19" s="1807" t="str">
        <f>B19</f>
        <v>公共配套设施</v>
      </c>
      <c r="R19" s="771" t="s">
        <v>14</v>
      </c>
      <c r="S19" s="772">
        <f>F19</f>
        <v>100</v>
      </c>
      <c r="T19" s="771" t="s">
        <v>14</v>
      </c>
      <c r="U19" s="772">
        <f>H19</f>
        <v>100</v>
      </c>
      <c r="V19" s="771" t="s">
        <v>14</v>
      </c>
      <c r="W19" s="772">
        <f>J19</f>
        <v>100</v>
      </c>
      <c r="X19" s="1810"/>
      <c r="Y19" s="3208"/>
      <c r="Z19" s="1811" t="str">
        <f>Q19</f>
        <v>公共配套设施</v>
      </c>
      <c r="AA19" s="1808">
        <f t="shared" si="3"/>
        <v>1</v>
      </c>
      <c r="AB19" s="1808">
        <f t="shared" si="4"/>
        <v>1</v>
      </c>
      <c r="AC19" s="1808">
        <f t="shared" si="5"/>
        <v>1</v>
      </c>
    </row>
    <row r="20" spans="1:29" ht="15">
      <c r="A20" s="425"/>
      <c r="B20" s="453"/>
      <c r="C20" s="444"/>
      <c r="D20" s="445"/>
      <c r="E20" s="2602"/>
      <c r="F20" s="446"/>
      <c r="G20" s="2601"/>
      <c r="H20" s="445"/>
      <c r="I20" s="2602"/>
      <c r="J20" s="445"/>
      <c r="K20" s="612"/>
      <c r="L20" s="1137"/>
      <c r="M20" s="1128"/>
      <c r="N20" s="1128"/>
      <c r="O20" s="1136"/>
      <c r="P20" s="3208"/>
      <c r="Q20" s="1807"/>
      <c r="R20" s="771"/>
      <c r="S20" s="772"/>
      <c r="T20" s="771"/>
      <c r="U20" s="772"/>
      <c r="V20" s="771"/>
      <c r="W20" s="772"/>
      <c r="X20" s="1810"/>
      <c r="Y20" s="3208"/>
      <c r="Z20" s="1811"/>
      <c r="AA20" s="1808">
        <v>1</v>
      </c>
      <c r="AB20" s="1808">
        <v>1</v>
      </c>
      <c r="AC20" s="1808">
        <v>1</v>
      </c>
    </row>
    <row r="21" spans="1:29" ht="28.5">
      <c r="A21" s="425"/>
      <c r="B21" s="1381" t="s">
        <v>2661</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208"/>
      <c r="Q21" s="1807" t="str">
        <f>B21</f>
        <v>基础设施水平</v>
      </c>
      <c r="R21" s="771" t="s">
        <v>14</v>
      </c>
      <c r="S21" s="772">
        <f>F21</f>
        <v>100</v>
      </c>
      <c r="T21" s="771" t="s">
        <v>14</v>
      </c>
      <c r="U21" s="772">
        <f>H21</f>
        <v>100</v>
      </c>
      <c r="V21" s="771" t="s">
        <v>14</v>
      </c>
      <c r="W21" s="772">
        <f>J21</f>
        <v>100</v>
      </c>
      <c r="X21" s="1810"/>
      <c r="Y21" s="3208"/>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6"/>
      <c r="G22" s="444"/>
      <c r="H22" s="445"/>
      <c r="I22" s="444"/>
      <c r="J22" s="445"/>
      <c r="K22" s="1380"/>
      <c r="L22" s="1137"/>
      <c r="M22" s="1128"/>
      <c r="N22" s="1128"/>
      <c r="O22" s="1136"/>
      <c r="P22" s="3208"/>
      <c r="Q22" s="1807"/>
      <c r="R22" s="771"/>
      <c r="S22" s="772"/>
      <c r="T22" s="771"/>
      <c r="U22" s="772"/>
      <c r="V22" s="771"/>
      <c r="W22" s="772"/>
      <c r="X22" s="1810"/>
      <c r="Y22" s="3208"/>
      <c r="Z22" s="1811"/>
      <c r="AA22" s="1808">
        <v>1</v>
      </c>
      <c r="AB22" s="1808">
        <v>1</v>
      </c>
      <c r="AC22" s="1808">
        <v>1</v>
      </c>
    </row>
    <row r="23" spans="1:29" ht="71.25">
      <c r="A23" s="425"/>
      <c r="B23" s="448" t="s">
        <v>2662</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08"/>
      <c r="Q23" s="1807" t="str">
        <f>B23</f>
        <v>环境质量</v>
      </c>
      <c r="R23" s="771" t="s">
        <v>14</v>
      </c>
      <c r="S23" s="772">
        <f>F23</f>
        <v>100</v>
      </c>
      <c r="T23" s="771" t="s">
        <v>14</v>
      </c>
      <c r="U23" s="772">
        <f>H23</f>
        <v>100</v>
      </c>
      <c r="V23" s="771" t="s">
        <v>14</v>
      </c>
      <c r="W23" s="772">
        <f>J23</f>
        <v>100</v>
      </c>
      <c r="X23" s="1810"/>
      <c r="Y23" s="3208"/>
      <c r="Z23" s="1811" t="str">
        <f>Q23</f>
        <v>环境质量</v>
      </c>
      <c r="AA23" s="1808">
        <f t="shared" si="3"/>
        <v>1</v>
      </c>
      <c r="AB23" s="1808">
        <f t="shared" si="4"/>
        <v>1</v>
      </c>
      <c r="AC23" s="1808">
        <f t="shared" si="5"/>
        <v>1</v>
      </c>
    </row>
    <row r="24" spans="1:29" ht="15">
      <c r="A24" s="425"/>
      <c r="B24" s="1381"/>
      <c r="C24" s="444"/>
      <c r="D24" s="445"/>
      <c r="E24" s="2602"/>
      <c r="F24" s="446"/>
      <c r="G24" s="2601"/>
      <c r="H24" s="445"/>
      <c r="I24" s="2602"/>
      <c r="J24" s="445"/>
      <c r="K24" s="612"/>
      <c r="L24" s="1137"/>
      <c r="M24" s="1128"/>
      <c r="N24" s="1128"/>
      <c r="O24" s="1136"/>
      <c r="P24" s="3208"/>
      <c r="Q24" s="1807"/>
      <c r="R24" s="771"/>
      <c r="S24" s="772"/>
      <c r="T24" s="771"/>
      <c r="U24" s="772"/>
      <c r="V24" s="771"/>
      <c r="W24" s="772"/>
      <c r="X24" s="1810"/>
      <c r="Y24" s="3208"/>
      <c r="Z24" s="1811"/>
      <c r="AA24" s="1808">
        <v>1</v>
      </c>
      <c r="AB24" s="1808">
        <v>1</v>
      </c>
      <c r="AC24" s="1808">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08"/>
      <c r="Q25" s="1807">
        <f>B25</f>
        <v>111</v>
      </c>
      <c r="R25" s="771" t="s">
        <v>14</v>
      </c>
      <c r="S25" s="772">
        <f>F25</f>
        <v>100</v>
      </c>
      <c r="T25" s="771" t="s">
        <v>14</v>
      </c>
      <c r="U25" s="772">
        <f>H25</f>
        <v>100</v>
      </c>
      <c r="V25" s="771" t="s">
        <v>14</v>
      </c>
      <c r="W25" s="772">
        <f>J25</f>
        <v>100</v>
      </c>
      <c r="X25" s="1810"/>
      <c r="Y25" s="3208"/>
      <c r="Z25" s="1811">
        <f>Q25</f>
        <v>111</v>
      </c>
      <c r="AA25" s="1808">
        <f t="shared" si="3"/>
        <v>1</v>
      </c>
      <c r="AB25" s="1808">
        <f t="shared" si="4"/>
        <v>1</v>
      </c>
      <c r="AC25" s="1808">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08"/>
      <c r="Q26" s="1807">
        <f t="shared" ref="Q26:Q40" si="11">B26</f>
        <v>111</v>
      </c>
      <c r="R26" s="771" t="s">
        <v>14</v>
      </c>
      <c r="S26" s="772">
        <f>F26</f>
        <v>100</v>
      </c>
      <c r="T26" s="771" t="s">
        <v>14</v>
      </c>
      <c r="U26" s="772">
        <f>H26</f>
        <v>100</v>
      </c>
      <c r="V26" s="771" t="s">
        <v>14</v>
      </c>
      <c r="W26" s="772">
        <f>J26</f>
        <v>100</v>
      </c>
      <c r="X26" s="1810"/>
      <c r="Y26" s="3208"/>
      <c r="Z26" s="1811">
        <f>Q26</f>
        <v>111</v>
      </c>
      <c r="AA26" s="1808">
        <f t="shared" si="3"/>
        <v>1</v>
      </c>
      <c r="AB26" s="1808">
        <f t="shared" si="4"/>
        <v>1</v>
      </c>
      <c r="AC26" s="1808">
        <f t="shared" si="5"/>
        <v>1</v>
      </c>
    </row>
    <row r="27" spans="1:29" s="114"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08"/>
      <c r="Q27" s="1792">
        <f t="shared" si="11"/>
        <v>111</v>
      </c>
      <c r="R27" s="767" t="s">
        <v>14</v>
      </c>
      <c r="S27" s="768">
        <f>F27</f>
        <v>100</v>
      </c>
      <c r="T27" s="767" t="s">
        <v>14</v>
      </c>
      <c r="U27" s="768">
        <f>H27</f>
        <v>100</v>
      </c>
      <c r="V27" s="767" t="s">
        <v>14</v>
      </c>
      <c r="W27" s="768">
        <f>J27</f>
        <v>100</v>
      </c>
      <c r="X27" s="769"/>
      <c r="Y27" s="3208"/>
      <c r="Z27" s="52">
        <f>Q27</f>
        <v>111</v>
      </c>
      <c r="AA27" s="1808">
        <f>D27/F27</f>
        <v>1</v>
      </c>
      <c r="AB27" s="1808">
        <f>D27/H27</f>
        <v>1</v>
      </c>
      <c r="AC27" s="1808">
        <f>D27/J27</f>
        <v>1</v>
      </c>
    </row>
    <row r="28" spans="1:29" ht="15.75"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08"/>
      <c r="Q28" s="1807">
        <f t="shared" si="11"/>
        <v>111</v>
      </c>
      <c r="R28" s="771" t="s">
        <v>14</v>
      </c>
      <c r="S28" s="772">
        <f t="shared" ref="S28:S40" si="12">F28</f>
        <v>100</v>
      </c>
      <c r="T28" s="771" t="s">
        <v>14</v>
      </c>
      <c r="U28" s="772">
        <f t="shared" ref="U28:U40" si="13">H28</f>
        <v>100</v>
      </c>
      <c r="V28" s="771" t="s">
        <v>14</v>
      </c>
      <c r="W28" s="772">
        <f t="shared" ref="W28:W40" si="14">J28</f>
        <v>100</v>
      </c>
      <c r="X28" s="1810"/>
      <c r="Y28" s="3208"/>
      <c r="Z28" s="1811">
        <f t="shared" ref="Z28:Z40" si="15">Q28</f>
        <v>111</v>
      </c>
      <c r="AA28" s="1808">
        <f t="shared" si="3"/>
        <v>1</v>
      </c>
      <c r="AB28" s="1808">
        <f t="shared" si="4"/>
        <v>1</v>
      </c>
      <c r="AC28" s="1808">
        <f t="shared" si="5"/>
        <v>1</v>
      </c>
    </row>
    <row r="29" spans="1:29" ht="28.5">
      <c r="A29" s="463" t="s">
        <v>2535</v>
      </c>
      <c r="B29" s="68" t="s">
        <v>2665</v>
      </c>
      <c r="C29" s="2676"/>
      <c r="D29" s="464">
        <v>100</v>
      </c>
      <c r="E29" s="2676"/>
      <c r="F29" s="458">
        <f>SUMIF(88:88,E29,89:89)-SUMIF(88:88,C29,89:89)+100</f>
        <v>100</v>
      </c>
      <c r="G29" s="2676"/>
      <c r="H29" s="432">
        <f>SUMIF(88:88,G29,89:89)-SUMIF(88:88,C29,89:89)+100</f>
        <v>100</v>
      </c>
      <c r="I29" s="2676"/>
      <c r="J29" s="464">
        <f>SUMIF(88:88,I29,89:89)-SUMIF(88:88,C29,89:89)+100</f>
        <v>100</v>
      </c>
      <c r="K29" s="609"/>
      <c r="L29" s="1137"/>
      <c r="M29" s="1128"/>
      <c r="N29" s="1128"/>
      <c r="O29" s="1136"/>
      <c r="P29" s="3263" t="s">
        <v>2537</v>
      </c>
      <c r="Q29" s="1807" t="str">
        <f t="shared" si="11"/>
        <v>建筑类型</v>
      </c>
      <c r="R29" s="771" t="s">
        <v>14</v>
      </c>
      <c r="S29" s="772">
        <f t="shared" si="12"/>
        <v>100</v>
      </c>
      <c r="T29" s="771" t="s">
        <v>14</v>
      </c>
      <c r="U29" s="772">
        <f t="shared" si="13"/>
        <v>100</v>
      </c>
      <c r="V29" s="771" t="s">
        <v>14</v>
      </c>
      <c r="W29" s="772">
        <f t="shared" si="14"/>
        <v>100</v>
      </c>
      <c r="X29" s="1810"/>
      <c r="Y29" s="3212" t="s">
        <v>2537</v>
      </c>
      <c r="Z29" s="1811" t="str">
        <f t="shared" si="15"/>
        <v>建筑类型</v>
      </c>
      <c r="AA29" s="1808">
        <f t="shared" si="3"/>
        <v>1</v>
      </c>
      <c r="AB29" s="1808">
        <f t="shared" si="4"/>
        <v>1</v>
      </c>
      <c r="AC29" s="1808">
        <f t="shared" si="5"/>
        <v>1</v>
      </c>
    </row>
    <row r="30" spans="1:29" s="468" customFormat="1" ht="15">
      <c r="A30" s="465"/>
      <c r="B30" s="419" t="s">
        <v>2538</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212"/>
      <c r="Q30" s="773" t="str">
        <f t="shared" si="11"/>
        <v>项目建筑规模</v>
      </c>
      <c r="R30" s="774" t="s">
        <v>14</v>
      </c>
      <c r="S30" s="775" t="e">
        <f t="shared" si="12"/>
        <v>#N/A</v>
      </c>
      <c r="T30" s="774" t="s">
        <v>14</v>
      </c>
      <c r="U30" s="775" t="e">
        <f t="shared" si="13"/>
        <v>#N/A</v>
      </c>
      <c r="V30" s="774" t="s">
        <v>14</v>
      </c>
      <c r="W30" s="775" t="e">
        <f t="shared" si="14"/>
        <v>#N/A</v>
      </c>
      <c r="X30" s="776"/>
      <c r="Y30" s="3212"/>
      <c r="Z30" s="777" t="str">
        <f t="shared" si="15"/>
        <v>项目建筑规模</v>
      </c>
      <c r="AA30" s="1808" t="e">
        <f t="shared" si="3"/>
        <v>#N/A</v>
      </c>
      <c r="AB30" s="1808" t="e">
        <f t="shared" si="4"/>
        <v>#N/A</v>
      </c>
      <c r="AC30" s="1808" t="e">
        <f t="shared" si="5"/>
        <v>#N/A</v>
      </c>
    </row>
    <row r="31" spans="1:29" ht="15">
      <c r="A31" s="469"/>
      <c r="B31" s="419" t="s">
        <v>2539</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12"/>
      <c r="Q31" s="1807" t="str">
        <f t="shared" si="11"/>
        <v>建筑结构</v>
      </c>
      <c r="R31" s="771" t="s">
        <v>14</v>
      </c>
      <c r="S31" s="772">
        <f t="shared" si="12"/>
        <v>100</v>
      </c>
      <c r="T31" s="771" t="s">
        <v>14</v>
      </c>
      <c r="U31" s="772">
        <f t="shared" si="13"/>
        <v>100</v>
      </c>
      <c r="V31" s="771" t="s">
        <v>14</v>
      </c>
      <c r="W31" s="772">
        <f t="shared" si="14"/>
        <v>100</v>
      </c>
      <c r="X31" s="1810"/>
      <c r="Y31" s="3212"/>
      <c r="Z31" s="1811" t="str">
        <f t="shared" si="15"/>
        <v>建筑结构</v>
      </c>
      <c r="AA31" s="1808">
        <f t="shared" si="3"/>
        <v>1</v>
      </c>
      <c r="AB31" s="1808">
        <f t="shared" si="4"/>
        <v>1</v>
      </c>
      <c r="AC31" s="1808">
        <f t="shared" si="5"/>
        <v>1</v>
      </c>
    </row>
    <row r="32" spans="1:29" ht="15">
      <c r="A32" s="469"/>
      <c r="B32" s="419" t="s">
        <v>2633</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12"/>
      <c r="Q32" s="1807" t="str">
        <f t="shared" si="11"/>
        <v>公共部分装修</v>
      </c>
      <c r="R32" s="771" t="s">
        <v>14</v>
      </c>
      <c r="S32" s="772">
        <f t="shared" si="12"/>
        <v>100</v>
      </c>
      <c r="T32" s="771" t="s">
        <v>14</v>
      </c>
      <c r="U32" s="772">
        <f t="shared" si="13"/>
        <v>100</v>
      </c>
      <c r="V32" s="771" t="s">
        <v>14</v>
      </c>
      <c r="W32" s="772">
        <f t="shared" si="14"/>
        <v>100</v>
      </c>
      <c r="X32" s="1810"/>
      <c r="Y32" s="3212"/>
      <c r="Z32" s="1811" t="str">
        <f t="shared" si="15"/>
        <v>公共部分装修</v>
      </c>
      <c r="AA32" s="1808">
        <f t="shared" si="3"/>
        <v>1</v>
      </c>
      <c r="AB32" s="1808">
        <f t="shared" si="4"/>
        <v>1</v>
      </c>
      <c r="AC32" s="1808">
        <f t="shared" si="5"/>
        <v>1</v>
      </c>
    </row>
    <row r="33" spans="1:29" ht="15">
      <c r="A33" s="469"/>
      <c r="B33" s="419" t="s">
        <v>2634</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12"/>
      <c r="Q33" s="1807" t="str">
        <f t="shared" si="11"/>
        <v>成新度</v>
      </c>
      <c r="R33" s="771" t="s">
        <v>14</v>
      </c>
      <c r="S33" s="772" t="e">
        <f t="shared" si="12"/>
        <v>#N/A</v>
      </c>
      <c r="T33" s="771" t="s">
        <v>14</v>
      </c>
      <c r="U33" s="772" t="e">
        <f t="shared" si="13"/>
        <v>#N/A</v>
      </c>
      <c r="V33" s="771" t="s">
        <v>14</v>
      </c>
      <c r="W33" s="772" t="e">
        <f t="shared" si="14"/>
        <v>#N/A</v>
      </c>
      <c r="X33" s="1810"/>
      <c r="Y33" s="3212"/>
      <c r="Z33" s="1811" t="str">
        <f t="shared" si="15"/>
        <v>成新度</v>
      </c>
      <c r="AA33" s="1808" t="e">
        <f t="shared" si="3"/>
        <v>#N/A</v>
      </c>
      <c r="AB33" s="1808" t="e">
        <f t="shared" si="4"/>
        <v>#N/A</v>
      </c>
      <c r="AC33" s="1808" t="e">
        <f t="shared" si="5"/>
        <v>#N/A</v>
      </c>
    </row>
    <row r="34" spans="1:29" s="114" customFormat="1" ht="15">
      <c r="A34" s="470"/>
      <c r="B34" s="419" t="s">
        <v>2667</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12"/>
      <c r="Q34" s="1792" t="str">
        <f t="shared" si="11"/>
        <v>物业管理</v>
      </c>
      <c r="R34" s="767" t="s">
        <v>14</v>
      </c>
      <c r="S34" s="768">
        <f t="shared" si="12"/>
        <v>100</v>
      </c>
      <c r="T34" s="767" t="s">
        <v>14</v>
      </c>
      <c r="U34" s="768">
        <f t="shared" si="13"/>
        <v>100</v>
      </c>
      <c r="V34" s="767" t="s">
        <v>14</v>
      </c>
      <c r="W34" s="768">
        <f t="shared" si="14"/>
        <v>100</v>
      </c>
      <c r="X34" s="769"/>
      <c r="Y34" s="3212"/>
      <c r="Z34" s="52" t="str">
        <f t="shared" si="15"/>
        <v>物业管理</v>
      </c>
      <c r="AA34" s="770">
        <f t="shared" si="3"/>
        <v>1</v>
      </c>
      <c r="AB34" s="770">
        <f t="shared" si="4"/>
        <v>1</v>
      </c>
      <c r="AC34" s="770">
        <f t="shared" si="5"/>
        <v>1</v>
      </c>
    </row>
    <row r="35" spans="1:29" ht="15">
      <c r="A35" s="469"/>
      <c r="B35" s="419" t="s">
        <v>2635</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12" t="s">
        <v>2537</v>
      </c>
      <c r="Q35" s="1807" t="str">
        <f t="shared" si="11"/>
        <v>市政基础设施</v>
      </c>
      <c r="R35" s="771" t="s">
        <v>14</v>
      </c>
      <c r="S35" s="772">
        <f t="shared" si="12"/>
        <v>100</v>
      </c>
      <c r="T35" s="771" t="s">
        <v>14</v>
      </c>
      <c r="U35" s="772">
        <f t="shared" si="13"/>
        <v>100</v>
      </c>
      <c r="V35" s="771" t="s">
        <v>14</v>
      </c>
      <c r="W35" s="772">
        <f t="shared" si="14"/>
        <v>100</v>
      </c>
      <c r="X35" s="1810"/>
      <c r="Y35" s="3212" t="s">
        <v>2537</v>
      </c>
      <c r="Z35" s="1811" t="str">
        <f t="shared" si="15"/>
        <v>市政基础设施</v>
      </c>
      <c r="AA35" s="1808">
        <f t="shared" si="3"/>
        <v>1</v>
      </c>
      <c r="AB35" s="1808">
        <f t="shared" si="4"/>
        <v>1</v>
      </c>
      <c r="AC35" s="1808">
        <f t="shared" si="5"/>
        <v>1</v>
      </c>
    </row>
    <row r="36" spans="1:29" ht="15">
      <c r="A36" s="469"/>
      <c r="B36" s="419" t="s">
        <v>2640</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12"/>
      <c r="Q36" s="1807" t="str">
        <f t="shared" si="11"/>
        <v>内部装修</v>
      </c>
      <c r="R36" s="771" t="s">
        <v>14</v>
      </c>
      <c r="S36" s="772">
        <f t="shared" si="12"/>
        <v>100</v>
      </c>
      <c r="T36" s="771" t="s">
        <v>14</v>
      </c>
      <c r="U36" s="772">
        <f t="shared" si="13"/>
        <v>100</v>
      </c>
      <c r="V36" s="771" t="s">
        <v>14</v>
      </c>
      <c r="W36" s="772">
        <f t="shared" si="14"/>
        <v>100</v>
      </c>
      <c r="X36" s="1810"/>
      <c r="Y36" s="3212"/>
      <c r="Z36" s="1811" t="str">
        <f t="shared" si="15"/>
        <v>内部装修</v>
      </c>
      <c r="AA36" s="1808">
        <f t="shared" si="3"/>
        <v>1</v>
      </c>
      <c r="AB36" s="1808">
        <f t="shared" si="4"/>
        <v>1</v>
      </c>
      <c r="AC36" s="1808">
        <f t="shared" si="5"/>
        <v>1</v>
      </c>
    </row>
    <row r="37" spans="1:29" ht="15">
      <c r="A37" s="469"/>
      <c r="B37" s="419" t="s">
        <v>2676</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12"/>
      <c r="Q37" s="1807" t="str">
        <f t="shared" si="11"/>
        <v>内部装修状况</v>
      </c>
      <c r="R37" s="771" t="s">
        <v>14</v>
      </c>
      <c r="S37" s="772">
        <f t="shared" si="12"/>
        <v>100</v>
      </c>
      <c r="T37" s="771" t="s">
        <v>14</v>
      </c>
      <c r="U37" s="772">
        <f t="shared" si="13"/>
        <v>100</v>
      </c>
      <c r="V37" s="771" t="s">
        <v>14</v>
      </c>
      <c r="W37" s="772">
        <f t="shared" si="14"/>
        <v>100</v>
      </c>
      <c r="X37" s="1810"/>
      <c r="Y37" s="3212"/>
      <c r="Z37" s="1811" t="str">
        <f t="shared" si="15"/>
        <v>内部装修状况</v>
      </c>
      <c r="AA37" s="1808">
        <f t="shared" si="3"/>
        <v>1</v>
      </c>
      <c r="AB37" s="1808">
        <f t="shared" si="4"/>
        <v>1</v>
      </c>
      <c r="AC37" s="1808">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12"/>
      <c r="Q38" s="773">
        <f t="shared" si="11"/>
        <v>111</v>
      </c>
      <c r="R38" s="774" t="s">
        <v>14</v>
      </c>
      <c r="S38" s="775">
        <f t="shared" si="12"/>
        <v>100</v>
      </c>
      <c r="T38" s="774" t="s">
        <v>14</v>
      </c>
      <c r="U38" s="775">
        <f t="shared" si="13"/>
        <v>100</v>
      </c>
      <c r="V38" s="774" t="s">
        <v>14</v>
      </c>
      <c r="W38" s="775">
        <f t="shared" si="14"/>
        <v>100</v>
      </c>
      <c r="X38" s="776"/>
      <c r="Y38" s="3212"/>
      <c r="Z38" s="777">
        <f t="shared" si="15"/>
        <v>111</v>
      </c>
      <c r="AA38" s="1808">
        <f t="shared" si="3"/>
        <v>1</v>
      </c>
      <c r="AB38" s="1808">
        <f t="shared" si="4"/>
        <v>1</v>
      </c>
      <c r="AC38" s="1808">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12"/>
      <c r="Q39" s="1807">
        <f t="shared" si="11"/>
        <v>111</v>
      </c>
      <c r="R39" s="771" t="s">
        <v>14</v>
      </c>
      <c r="S39" s="772">
        <f t="shared" si="12"/>
        <v>100</v>
      </c>
      <c r="T39" s="771" t="s">
        <v>14</v>
      </c>
      <c r="U39" s="772">
        <f t="shared" si="13"/>
        <v>100</v>
      </c>
      <c r="V39" s="771" t="s">
        <v>14</v>
      </c>
      <c r="W39" s="772">
        <f t="shared" si="14"/>
        <v>100</v>
      </c>
      <c r="X39" s="1810"/>
      <c r="Y39" s="3212"/>
      <c r="Z39" s="1811">
        <f t="shared" si="15"/>
        <v>111</v>
      </c>
      <c r="AA39" s="1808">
        <f t="shared" si="3"/>
        <v>1</v>
      </c>
      <c r="AB39" s="1808">
        <f t="shared" si="4"/>
        <v>1</v>
      </c>
      <c r="AC39" s="1808">
        <f t="shared" si="5"/>
        <v>1</v>
      </c>
    </row>
    <row r="40" spans="1:29" ht="15.75"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213"/>
      <c r="Q40" s="1807">
        <f t="shared" si="11"/>
        <v>111</v>
      </c>
      <c r="R40" s="771" t="s">
        <v>14</v>
      </c>
      <c r="S40" s="772">
        <f t="shared" si="12"/>
        <v>100</v>
      </c>
      <c r="T40" s="771" t="s">
        <v>14</v>
      </c>
      <c r="U40" s="772">
        <f t="shared" si="13"/>
        <v>100</v>
      </c>
      <c r="V40" s="771" t="s">
        <v>14</v>
      </c>
      <c r="W40" s="772">
        <f t="shared" si="14"/>
        <v>100</v>
      </c>
      <c r="X40" s="1810"/>
      <c r="Y40" s="3213"/>
      <c r="Z40" s="1811">
        <f t="shared" si="15"/>
        <v>111</v>
      </c>
      <c r="AA40" s="1808">
        <f t="shared" si="3"/>
        <v>1</v>
      </c>
      <c r="AB40" s="1808">
        <f t="shared" si="4"/>
        <v>1</v>
      </c>
      <c r="AC40" s="1808">
        <f t="shared" si="5"/>
        <v>1</v>
      </c>
    </row>
    <row r="41" spans="1:29" ht="15">
      <c r="A41" s="476" t="s">
        <v>2549</v>
      </c>
      <c r="B41" s="477"/>
      <c r="C41" s="1404" t="s">
        <v>0</v>
      </c>
      <c r="D41" s="1405"/>
      <c r="E41" s="1406"/>
      <c r="F41" s="1407"/>
      <c r="G41" s="1408"/>
      <c r="H41" s="1409"/>
      <c r="I41" s="1406"/>
      <c r="J41" s="1409"/>
      <c r="K41" s="780"/>
      <c r="L41" s="1140"/>
      <c r="M41" s="1141"/>
      <c r="N41" s="1128"/>
      <c r="O41" s="1141"/>
      <c r="P41" s="3205" t="str">
        <f>A41</f>
        <v>成交单价（元/平方米）</v>
      </c>
      <c r="Q41" s="3205"/>
      <c r="R41" s="3206">
        <f>E41</f>
        <v>0</v>
      </c>
      <c r="S41" s="3206"/>
      <c r="T41" s="3206">
        <f>G41</f>
        <v>0</v>
      </c>
      <c r="U41" s="3206"/>
      <c r="V41" s="3206">
        <f>I41</f>
        <v>0</v>
      </c>
      <c r="W41" s="3206"/>
      <c r="X41" s="756"/>
      <c r="Y41" s="778"/>
      <c r="Z41" s="756"/>
      <c r="AA41" s="756"/>
      <c r="AB41" s="756"/>
      <c r="AC41" s="756"/>
    </row>
    <row r="42" spans="1:29" ht="15.75" thickBot="1">
      <c r="A42" s="483" t="s">
        <v>2641</v>
      </c>
      <c r="B42" s="484"/>
      <c r="C42" s="1410" t="e">
        <f>R43</f>
        <v>#DIV/0!</v>
      </c>
      <c r="D42" s="1411"/>
      <c r="E42" s="1412" t="e">
        <f>R42</f>
        <v>#DIV/0!</v>
      </c>
      <c r="F42" s="1412"/>
      <c r="G42" s="1410" t="e">
        <f>T42</f>
        <v>#DIV/0!</v>
      </c>
      <c r="H42" s="1411"/>
      <c r="I42" s="1412" t="e">
        <f>V42</f>
        <v>#DIV/0!</v>
      </c>
      <c r="J42" s="1411"/>
      <c r="K42" s="781"/>
      <c r="L42" s="1140"/>
      <c r="M42" s="1141"/>
      <c r="N42" s="1128"/>
      <c r="O42" s="1141"/>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6"/>
      <c r="Y42" s="756"/>
      <c r="Z42" s="756"/>
      <c r="AA42" s="756"/>
      <c r="AB42" s="756"/>
      <c r="AC42" s="756"/>
    </row>
    <row r="43" spans="1:29" ht="15.75" thickBot="1">
      <c r="A43" s="489" t="s">
        <v>2642</v>
      </c>
      <c r="B43" s="490"/>
      <c r="C43" s="1414" t="e">
        <f>R43</f>
        <v>#DIV/0!</v>
      </c>
      <c r="D43" s="1414"/>
      <c r="E43" s="1414"/>
      <c r="F43" s="1414"/>
      <c r="G43" s="1414"/>
      <c r="H43" s="1414"/>
      <c r="I43" s="1414"/>
      <c r="J43" s="1414"/>
      <c r="K43" s="782"/>
      <c r="L43" s="1140"/>
      <c r="M43" s="1141"/>
      <c r="N43" s="1141"/>
      <c r="O43" s="1141"/>
      <c r="P43" s="3202" t="str">
        <f>A43</f>
        <v>估价对象XX用房的比较价值（楼面单价，元/平方米）</v>
      </c>
      <c r="Q43" s="3203"/>
      <c r="R43" s="3204" t="e">
        <f>IF(F1="售价",ROUND(AVERAGE(R42:V42),0),ROUND(AVERAGE(R42:V42),1))</f>
        <v>#DIV/0!</v>
      </c>
      <c r="S43" s="3204"/>
      <c r="T43" s="3204"/>
      <c r="U43" s="3204"/>
      <c r="V43" s="3204"/>
      <c r="W43" s="3204"/>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2643</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2644</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2645</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2646</v>
      </c>
      <c r="B51" s="756"/>
      <c r="C51" s="761"/>
      <c r="D51" s="761"/>
      <c r="E51" s="761"/>
      <c r="F51" s="762"/>
      <c r="G51" s="762"/>
      <c r="H51" s="761"/>
      <c r="I51" s="761"/>
      <c r="J51" s="761"/>
      <c r="K51" s="1157"/>
      <c r="L51" s="1158"/>
      <c r="M51" s="1156"/>
      <c r="N51" s="1156"/>
      <c r="O51" s="1156"/>
      <c r="P51" s="500"/>
      <c r="Q51" s="501"/>
    </row>
    <row r="52" spans="1:17" s="505" customFormat="1" ht="15">
      <c r="A52" s="502" t="s">
        <v>2520</v>
      </c>
      <c r="B52" s="503"/>
      <c r="C52" s="1571" t="str">
        <f>YEAR(C7)&amp;"-"&amp;MONTH(C7)</f>
        <v>2020-1</v>
      </c>
      <c r="D52" s="1572">
        <f>EDATE(C52,-1)</f>
        <v>43800</v>
      </c>
      <c r="E52" s="1572">
        <f t="shared" ref="E52:O52" si="16">EDATE(D52,-1)</f>
        <v>43770</v>
      </c>
      <c r="F52" s="1572">
        <f t="shared" si="16"/>
        <v>43739</v>
      </c>
      <c r="G52" s="1572">
        <f t="shared" si="16"/>
        <v>43709</v>
      </c>
      <c r="H52" s="1572">
        <f t="shared" si="16"/>
        <v>43678</v>
      </c>
      <c r="I52" s="1572">
        <f t="shared" si="16"/>
        <v>43647</v>
      </c>
      <c r="J52" s="1572">
        <f t="shared" si="16"/>
        <v>43617</v>
      </c>
      <c r="K52" s="1572">
        <f t="shared" si="16"/>
        <v>43586</v>
      </c>
      <c r="L52" s="1572">
        <f t="shared" si="16"/>
        <v>43556</v>
      </c>
      <c r="M52" s="1572">
        <f t="shared" si="16"/>
        <v>43525</v>
      </c>
      <c r="N52" s="1572">
        <f t="shared" si="16"/>
        <v>43497</v>
      </c>
      <c r="O52" s="1572">
        <f t="shared" si="16"/>
        <v>43466</v>
      </c>
      <c r="P52" s="504"/>
    </row>
    <row r="53" spans="1:17" s="114" customFormat="1" ht="15">
      <c r="A53" s="506"/>
      <c r="B53" s="507"/>
      <c r="C53" s="1570">
        <v>100</v>
      </c>
      <c r="D53" s="509"/>
      <c r="E53" s="509"/>
      <c r="F53" s="509"/>
      <c r="G53" s="509"/>
      <c r="H53" s="509"/>
      <c r="I53" s="509"/>
      <c r="J53" s="509"/>
      <c r="K53" s="509"/>
      <c r="L53" s="509"/>
      <c r="M53" s="510"/>
      <c r="N53" s="509"/>
      <c r="O53" s="511"/>
      <c r="P53" s="501"/>
    </row>
    <row r="54" spans="1:17" s="114" customFormat="1" ht="15.75" thickBot="1">
      <c r="A54" s="512" t="s">
        <v>2557</v>
      </c>
      <c r="B54" s="513"/>
      <c r="C54" s="514"/>
      <c r="D54" s="515"/>
      <c r="E54" s="515"/>
      <c r="F54" s="515"/>
      <c r="G54" s="515"/>
      <c r="H54" s="515"/>
      <c r="I54" s="515"/>
      <c r="J54" s="515"/>
      <c r="K54" s="515"/>
      <c r="L54" s="515"/>
      <c r="M54" s="516"/>
      <c r="N54" s="515"/>
      <c r="O54" s="517"/>
      <c r="P54" s="501"/>
      <c r="Q54" s="501"/>
    </row>
    <row r="55" spans="1:17" s="114" customFormat="1" ht="15">
      <c r="A55" s="518" t="s">
        <v>2522</v>
      </c>
      <c r="B55" s="507"/>
      <c r="C55" s="519" t="s">
        <v>2624</v>
      </c>
      <c r="D55" s="520"/>
      <c r="E55" s="520"/>
      <c r="F55" s="520"/>
      <c r="G55" s="520"/>
      <c r="H55" s="520"/>
      <c r="I55" s="520"/>
      <c r="J55" s="520"/>
      <c r="K55" s="520"/>
      <c r="L55" s="521"/>
      <c r="M55" s="522"/>
      <c r="N55" s="1148"/>
      <c r="O55" s="1148"/>
      <c r="P55" s="523"/>
      <c r="Q55" s="501"/>
    </row>
    <row r="56" spans="1:17" s="114"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2560</v>
      </c>
      <c r="B57" s="525" t="s">
        <v>2526</v>
      </c>
      <c r="C57" s="526">
        <f>C9</f>
        <v>0</v>
      </c>
      <c r="D57" s="527"/>
      <c r="E57" s="527"/>
      <c r="F57" s="527"/>
      <c r="G57" s="527"/>
      <c r="H57" s="527"/>
      <c r="I57" s="527"/>
      <c r="J57" s="527"/>
      <c r="K57" s="528"/>
      <c r="L57" s="529"/>
      <c r="M57" s="530"/>
      <c r="N57" s="1149"/>
      <c r="O57" s="1149"/>
      <c r="P57" s="42"/>
      <c r="Q57" s="501"/>
    </row>
    <row r="58" spans="1:17" ht="15.75" thickBot="1">
      <c r="A58" s="531"/>
      <c r="B58" s="532"/>
      <c r="C58" s="533">
        <v>100</v>
      </c>
      <c r="D58" s="533"/>
      <c r="E58" s="533"/>
      <c r="F58" s="533"/>
      <c r="G58" s="533"/>
      <c r="H58" s="533"/>
      <c r="I58" s="533"/>
      <c r="J58" s="533"/>
      <c r="K58" s="533"/>
      <c r="L58" s="533"/>
      <c r="M58" s="534"/>
      <c r="N58" s="1150"/>
      <c r="O58" s="1150"/>
      <c r="P58" s="42"/>
      <c r="Q58" s="501"/>
    </row>
    <row r="59" spans="1:17" ht="27.75" thickTop="1">
      <c r="A59" s="531"/>
      <c r="B59" s="535" t="s">
        <v>2529</v>
      </c>
      <c r="C59" s="536" t="s">
        <v>2561</v>
      </c>
      <c r="D59" s="536" t="s">
        <v>2562</v>
      </c>
      <c r="E59" s="536" t="s">
        <v>2563</v>
      </c>
      <c r="F59" s="536" t="s">
        <v>2564</v>
      </c>
      <c r="G59" s="536" t="s">
        <v>2565</v>
      </c>
      <c r="H59" s="536" t="s">
        <v>2566</v>
      </c>
      <c r="I59" s="536" t="s">
        <v>2567</v>
      </c>
      <c r="J59" s="536"/>
      <c r="K59" s="537"/>
      <c r="L59" s="538"/>
      <c r="M59" s="539"/>
      <c r="N59" s="1149"/>
      <c r="O59" s="1149"/>
      <c r="P59" s="42"/>
      <c r="Q59" s="501"/>
    </row>
    <row r="60" spans="1:17" ht="15.75" thickBot="1">
      <c r="A60" s="531"/>
      <c r="B60" s="540"/>
      <c r="C60" s="541" t="s">
        <v>21</v>
      </c>
      <c r="D60" s="541" t="s">
        <v>22</v>
      </c>
      <c r="E60" s="541">
        <v>100</v>
      </c>
      <c r="F60" s="541">
        <f>E60-$K10</f>
        <v>100</v>
      </c>
      <c r="G60" s="541">
        <f>F60-$K10</f>
        <v>100</v>
      </c>
      <c r="H60" s="541">
        <f>G60-$K10</f>
        <v>100</v>
      </c>
      <c r="I60" s="541">
        <f>H60-$K10</f>
        <v>100</v>
      </c>
      <c r="J60" s="541"/>
      <c r="K60" s="541"/>
      <c r="L60" s="541"/>
      <c r="M60" s="542"/>
      <c r="N60" s="1150"/>
      <c r="O60" s="1150"/>
      <c r="P60" s="42"/>
      <c r="Q60" s="501"/>
    </row>
    <row r="61" spans="1:17" ht="15.75" thickTop="1">
      <c r="A61" s="531"/>
      <c r="B61" s="543" t="s">
        <v>2530</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2"/>
      <c r="Q61" s="501"/>
    </row>
    <row r="62" spans="1:17" ht="15">
      <c r="A62" s="531"/>
      <c r="B62" s="545"/>
      <c r="C62" s="546"/>
      <c r="D62" s="546"/>
      <c r="E62" s="546"/>
      <c r="F62" s="546"/>
      <c r="G62" s="546"/>
      <c r="H62" s="546"/>
      <c r="I62" s="546"/>
      <c r="J62" s="546"/>
      <c r="K62" s="547"/>
      <c r="L62" s="548"/>
      <c r="M62" s="549"/>
      <c r="N62" s="1149"/>
      <c r="O62" s="1149"/>
      <c r="P62" s="42"/>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2"/>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2531</v>
      </c>
      <c r="B70" s="525" t="s">
        <v>2677</v>
      </c>
      <c r="C70" s="570" t="s">
        <v>2569</v>
      </c>
      <c r="D70" s="570" t="s">
        <v>2570</v>
      </c>
      <c r="E70" s="570" t="s">
        <v>2571</v>
      </c>
      <c r="F70" s="570" t="s">
        <v>2572</v>
      </c>
      <c r="G70" s="570" t="s">
        <v>2573</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2"/>
      <c r="Q71" s="501"/>
    </row>
    <row r="72" spans="1:17" ht="15.75" thickTop="1">
      <c r="A72" s="531"/>
      <c r="B72" s="535" t="s">
        <v>2574</v>
      </c>
      <c r="C72" s="575" t="s">
        <v>2569</v>
      </c>
      <c r="D72" s="575" t="s">
        <v>2570</v>
      </c>
      <c r="E72" s="575" t="s">
        <v>2571</v>
      </c>
      <c r="F72" s="575" t="s">
        <v>2572</v>
      </c>
      <c r="G72" s="575" t="s">
        <v>2573</v>
      </c>
      <c r="H72" s="536"/>
      <c r="I72" s="536"/>
      <c r="J72" s="536"/>
      <c r="K72" s="537"/>
      <c r="L72" s="538"/>
      <c r="M72" s="539"/>
      <c r="N72" s="1149"/>
      <c r="O72" s="1149"/>
      <c r="P72" s="42"/>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2"/>
      <c r="Q73" s="501"/>
    </row>
    <row r="74" spans="1:17" ht="15.75" thickTop="1">
      <c r="A74" s="531"/>
      <c r="B74" s="535" t="s">
        <v>2575</v>
      </c>
      <c r="C74" s="575" t="s">
        <v>2569</v>
      </c>
      <c r="D74" s="575" t="s">
        <v>2570</v>
      </c>
      <c r="E74" s="575" t="s">
        <v>2571</v>
      </c>
      <c r="F74" s="575" t="s">
        <v>2572</v>
      </c>
      <c r="G74" s="575" t="s">
        <v>2573</v>
      </c>
      <c r="H74" s="536"/>
      <c r="I74" s="536"/>
      <c r="J74" s="536"/>
      <c r="K74" s="537"/>
      <c r="L74" s="538"/>
      <c r="M74" s="539"/>
      <c r="N74" s="1149"/>
      <c r="O74" s="1149"/>
      <c r="P74" s="42"/>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2"/>
      <c r="Q75" s="501"/>
    </row>
    <row r="76" spans="1:17" ht="15.75" thickTop="1">
      <c r="A76" s="531"/>
      <c r="B76" s="543" t="s">
        <v>2661</v>
      </c>
      <c r="C76" s="657" t="s">
        <v>2647</v>
      </c>
      <c r="D76" s="657" t="s">
        <v>2648</v>
      </c>
      <c r="E76" s="657" t="s">
        <v>2649</v>
      </c>
      <c r="F76" s="657" t="s">
        <v>2650</v>
      </c>
      <c r="G76" s="657" t="s">
        <v>2651</v>
      </c>
      <c r="H76" s="536"/>
      <c r="I76" s="536"/>
      <c r="J76" s="536"/>
      <c r="K76" s="536"/>
      <c r="L76" s="536"/>
      <c r="M76" s="1379"/>
      <c r="N76" s="1150"/>
      <c r="O76" s="1150"/>
      <c r="P76" s="42"/>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2"/>
      <c r="Q77" s="501"/>
    </row>
    <row r="78" spans="1:17" ht="15.75" thickTop="1">
      <c r="A78" s="531"/>
      <c r="B78" s="535" t="s">
        <v>2670</v>
      </c>
      <c r="C78" s="575" t="s">
        <v>2569</v>
      </c>
      <c r="D78" s="575" t="s">
        <v>2570</v>
      </c>
      <c r="E78" s="575" t="s">
        <v>2571</v>
      </c>
      <c r="F78" s="575" t="s">
        <v>2572</v>
      </c>
      <c r="G78" s="575" t="s">
        <v>2573</v>
      </c>
      <c r="H78" s="536"/>
      <c r="I78" s="536"/>
      <c r="J78" s="536"/>
      <c r="K78" s="537"/>
      <c r="L78" s="538"/>
      <c r="M78" s="539"/>
      <c r="N78" s="1149"/>
      <c r="O78" s="1149"/>
      <c r="P78" s="42"/>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2"/>
      <c r="Q79" s="501"/>
    </row>
    <row r="80" spans="1:17" s="114" customFormat="1" ht="15.75" thickTop="1">
      <c r="A80" s="576"/>
      <c r="B80" s="535">
        <f>B25</f>
        <v>111</v>
      </c>
      <c r="C80" s="551"/>
      <c r="D80" s="551"/>
      <c r="E80" s="551"/>
      <c r="F80" s="551"/>
      <c r="G80" s="551"/>
      <c r="H80" s="551"/>
      <c r="I80" s="551"/>
      <c r="J80" s="551"/>
      <c r="K80" s="551"/>
      <c r="L80" s="577"/>
      <c r="M80" s="578"/>
      <c r="N80" s="1148"/>
      <c r="O80" s="1148"/>
      <c r="P80" s="42"/>
      <c r="Q80" s="501"/>
    </row>
    <row r="81" spans="1:17" s="114" customFormat="1" ht="15.75" thickBot="1">
      <c r="A81" s="576"/>
      <c r="B81" s="540"/>
      <c r="C81" s="557"/>
      <c r="D81" s="533"/>
      <c r="E81" s="533"/>
      <c r="F81" s="533"/>
      <c r="G81" s="533"/>
      <c r="H81" s="533"/>
      <c r="I81" s="533"/>
      <c r="J81" s="533"/>
      <c r="K81" s="533"/>
      <c r="L81" s="533"/>
      <c r="M81" s="534"/>
      <c r="N81" s="1150"/>
      <c r="O81" s="1150"/>
      <c r="P81" s="42"/>
      <c r="Q81" s="501"/>
    </row>
    <row r="82" spans="1:17" s="114" customFormat="1" ht="15.75" thickTop="1">
      <c r="A82" s="576"/>
      <c r="B82" s="535">
        <f>B26</f>
        <v>111</v>
      </c>
      <c r="C82" s="551"/>
      <c r="D82" s="551"/>
      <c r="E82" s="551"/>
      <c r="F82" s="551"/>
      <c r="G82" s="551"/>
      <c r="H82" s="551"/>
      <c r="I82" s="551"/>
      <c r="J82" s="551"/>
      <c r="K82" s="551"/>
      <c r="L82" s="577"/>
      <c r="M82" s="578"/>
      <c r="N82" s="1148"/>
      <c r="O82" s="1148"/>
      <c r="P82" s="42"/>
      <c r="Q82" s="501"/>
    </row>
    <row r="83" spans="1:17" s="114" customFormat="1" ht="15.75" thickBot="1">
      <c r="A83" s="576"/>
      <c r="B83" s="540"/>
      <c r="C83" s="557"/>
      <c r="D83" s="533"/>
      <c r="E83" s="533"/>
      <c r="F83" s="533"/>
      <c r="G83" s="533"/>
      <c r="H83" s="533"/>
      <c r="I83" s="533"/>
      <c r="J83" s="533"/>
      <c r="K83" s="533"/>
      <c r="L83" s="533"/>
      <c r="M83" s="534"/>
      <c r="N83" s="1150"/>
      <c r="O83" s="1150"/>
      <c r="P83" s="42"/>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2"/>
      <c r="Q86" s="501"/>
    </row>
    <row r="87" spans="1:17" ht="15.75" thickBot="1">
      <c r="A87" s="2633"/>
      <c r="B87" s="566"/>
      <c r="C87" s="567"/>
      <c r="D87" s="567"/>
      <c r="E87" s="567"/>
      <c r="F87" s="567"/>
      <c r="G87" s="588"/>
      <c r="H87" s="588"/>
      <c r="I87" s="588"/>
      <c r="J87" s="588"/>
      <c r="K87" s="588"/>
      <c r="L87" s="588"/>
      <c r="M87" s="589"/>
      <c r="N87" s="1150"/>
      <c r="O87" s="1150"/>
      <c r="P87" s="42"/>
      <c r="Q87" s="501"/>
    </row>
    <row r="88" spans="1:17">
      <c r="A88" s="524" t="s">
        <v>2535</v>
      </c>
      <c r="B88" s="525" t="s">
        <v>2584</v>
      </c>
      <c r="C88" s="527"/>
      <c r="D88" s="527"/>
      <c r="E88" s="527"/>
      <c r="F88" s="527"/>
      <c r="G88" s="527"/>
      <c r="H88" s="527"/>
      <c r="I88" s="527"/>
      <c r="J88" s="527"/>
      <c r="K88" s="528"/>
      <c r="L88" s="529"/>
      <c r="M88" s="530"/>
      <c r="N88" s="1149"/>
      <c r="O88" s="1149"/>
      <c r="P88" s="42"/>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2"/>
      <c r="Q89" s="501"/>
    </row>
    <row r="90" spans="1:17" ht="15.75" thickTop="1">
      <c r="A90" s="531"/>
      <c r="B90" s="535" t="s">
        <v>2585</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2"/>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2586</v>
      </c>
      <c r="C93" s="551"/>
      <c r="D93" s="551"/>
      <c r="E93" s="580"/>
      <c r="F93" s="580"/>
      <c r="G93" s="580"/>
      <c r="H93" s="580"/>
      <c r="I93" s="580"/>
      <c r="J93" s="580"/>
      <c r="K93" s="581"/>
      <c r="L93" s="582"/>
      <c r="M93" s="583"/>
      <c r="N93" s="1149"/>
      <c r="O93" s="1149"/>
      <c r="P93" s="42"/>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2"/>
      <c r="Q94" s="501"/>
    </row>
    <row r="95" spans="1:17" ht="15" thickTop="1">
      <c r="A95" s="596"/>
      <c r="B95" s="535" t="s">
        <v>2588</v>
      </c>
      <c r="C95" s="551"/>
      <c r="D95" s="551"/>
      <c r="E95" s="551"/>
      <c r="F95" s="580"/>
      <c r="G95" s="580"/>
      <c r="H95" s="580"/>
      <c r="I95" s="580"/>
      <c r="J95" s="580"/>
      <c r="K95" s="581"/>
      <c r="L95" s="582"/>
      <c r="M95" s="583"/>
      <c r="N95" s="1149"/>
      <c r="O95" s="1149"/>
      <c r="P95" s="42"/>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2"/>
      <c r="Q96" s="501"/>
    </row>
    <row r="97" spans="1:17" ht="15" thickTop="1">
      <c r="A97" s="596"/>
      <c r="B97" s="535" t="s">
        <v>1970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2"/>
      <c r="Q97" s="501"/>
    </row>
    <row r="98" spans="1:17">
      <c r="A98" s="596"/>
      <c r="B98" s="543"/>
      <c r="C98" s="600">
        <v>0.5</v>
      </c>
      <c r="D98" s="600">
        <v>0.6</v>
      </c>
      <c r="E98" s="600">
        <v>0.7</v>
      </c>
      <c r="F98" s="600">
        <v>0.8</v>
      </c>
      <c r="G98" s="600">
        <v>0.9</v>
      </c>
      <c r="H98" s="600">
        <v>1.0001</v>
      </c>
      <c r="I98" s="620"/>
      <c r="J98" s="620"/>
      <c r="K98" s="621"/>
      <c r="L98" s="622"/>
      <c r="M98" s="623"/>
      <c r="N98" s="1149"/>
      <c r="O98" s="1149"/>
      <c r="P98" s="42"/>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2"/>
      <c r="Q99" s="501"/>
    </row>
    <row r="100" spans="1:17" s="468" customFormat="1" ht="15" thickTop="1">
      <c r="A100" s="590"/>
      <c r="B100" s="535" t="s">
        <v>2589</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2590</v>
      </c>
      <c r="C102" s="551"/>
      <c r="D102" s="551"/>
      <c r="E102" s="551"/>
      <c r="F102" s="551"/>
      <c r="G102" s="551"/>
      <c r="H102" s="580"/>
      <c r="I102" s="580"/>
      <c r="J102" s="580"/>
      <c r="K102" s="581"/>
      <c r="L102" s="582"/>
      <c r="M102" s="583"/>
      <c r="N102" s="1149"/>
      <c r="O102" s="1149"/>
      <c r="P102" s="42"/>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2"/>
      <c r="Q103" s="501"/>
    </row>
    <row r="104" spans="1:17" ht="15" thickTop="1">
      <c r="A104" s="596"/>
      <c r="B104" s="535" t="s">
        <v>2592</v>
      </c>
      <c r="C104" s="551"/>
      <c r="D104" s="551"/>
      <c r="E104" s="551"/>
      <c r="F104" s="551"/>
      <c r="G104" s="551"/>
      <c r="H104" s="580"/>
      <c r="I104" s="580"/>
      <c r="J104" s="580"/>
      <c r="K104" s="581"/>
      <c r="L104" s="582"/>
      <c r="M104" s="583"/>
      <c r="N104" s="1149"/>
      <c r="O104" s="1149"/>
      <c r="P104" s="42"/>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2"/>
      <c r="Q105" s="501"/>
    </row>
    <row r="106" spans="1:17" ht="15" thickTop="1">
      <c r="A106" s="596"/>
      <c r="B106" s="633" t="s">
        <v>2678</v>
      </c>
      <c r="C106" s="575" t="s">
        <v>2569</v>
      </c>
      <c r="D106" s="575" t="s">
        <v>2570</v>
      </c>
      <c r="E106" s="575" t="s">
        <v>2571</v>
      </c>
      <c r="F106" s="575" t="s">
        <v>2572</v>
      </c>
      <c r="G106" s="575" t="s">
        <v>2573</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2"/>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2"/>
      <c r="Q110" s="501"/>
    </row>
    <row r="111" spans="1:17" ht="15.75" thickBot="1">
      <c r="A111" s="531"/>
      <c r="B111" s="540"/>
      <c r="C111" s="557"/>
      <c r="D111" s="533"/>
      <c r="E111" s="533"/>
      <c r="F111" s="533"/>
      <c r="G111" s="557"/>
      <c r="H111" s="559"/>
      <c r="I111" s="559"/>
      <c r="J111" s="559"/>
      <c r="K111" s="559"/>
      <c r="L111" s="559"/>
      <c r="M111" s="560"/>
      <c r="N111" s="1150"/>
      <c r="O111" s="1150"/>
      <c r="P111" s="42"/>
      <c r="Q111" s="501"/>
    </row>
    <row r="112" spans="1:17" ht="15" thickTop="1">
      <c r="A112" s="596"/>
      <c r="B112" s="543">
        <f>B40</f>
        <v>111</v>
      </c>
      <c r="C112" s="520"/>
      <c r="D112" s="520"/>
      <c r="E112" s="520"/>
      <c r="F112" s="520"/>
      <c r="G112" s="584"/>
      <c r="H112" s="584"/>
      <c r="I112" s="584"/>
      <c r="J112" s="584"/>
      <c r="K112" s="520"/>
      <c r="L112" s="521"/>
      <c r="M112" s="587"/>
      <c r="N112" s="1149"/>
      <c r="O112" s="1149"/>
      <c r="P112" s="42"/>
      <c r="Q112" s="501"/>
    </row>
    <row r="113" spans="1:17" ht="15.75" thickBot="1">
      <c r="A113" s="2633"/>
      <c r="B113" s="566"/>
      <c r="C113" s="567"/>
      <c r="D113" s="567"/>
      <c r="E113" s="567"/>
      <c r="F113" s="567"/>
      <c r="G113" s="588"/>
      <c r="H113" s="588"/>
      <c r="I113" s="588"/>
      <c r="J113" s="588"/>
      <c r="K113" s="588"/>
      <c r="L113" s="588"/>
      <c r="M113" s="589"/>
      <c r="N113" s="1150"/>
      <c r="O113" s="1150"/>
      <c r="P113" s="42"/>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1581</v>
      </c>
    </row>
    <row r="2" spans="1:1">
      <c r="A2" s="1942"/>
    </row>
    <row r="3" spans="1:1" ht="18">
      <c r="A3" s="1943" t="str">
        <f>项目基本情况!B5&amp;"："</f>
        <v>北京国隆置业有限公司：</v>
      </c>
    </row>
    <row r="4" spans="1:1" ht="36">
      <c r="A4" s="1944" t="str">
        <f>"受贵公司委托，我公司对"&amp;项目基本情况!S1&amp;"进行了预评估。"</f>
        <v>受贵公司委托，我公司对北京市出让国有建设用地使用权及在建建筑物房地产抵押价值进行了预评估。</v>
      </c>
    </row>
    <row r="5" spans="1:1" ht="18.75">
      <c r="A5" s="1945" t="s">
        <v>1582</v>
      </c>
    </row>
    <row r="6" spans="1:1" ht="18.75">
      <c r="A6" s="1946" t="s">
        <v>1583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估价对象为北京市出让国有建设用地使用权及在建建筑物房地产，为所有。根据《国有土地使用证》[]，估价对象（分摊）出让国有建设用地使用权面积为10938.89平方米，建筑面积为46024.01平方米。</v>
      </c>
    </row>
    <row r="8" spans="1:1" ht="57.75">
      <c r="A8" s="1947" t="s">
        <v>1584</v>
      </c>
    </row>
    <row r="9" spans="1:1" ht="18.75">
      <c r="A9" s="1946" t="s">
        <v>1585</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10938.89平方米，规划建筑面积为46024.01平方米。</v>
      </c>
    </row>
    <row r="11" spans="1:1" ht="76.5">
      <c r="A11" s="1947" t="s">
        <v>1586</v>
      </c>
    </row>
    <row r="12" spans="1:1" ht="18.75">
      <c r="A12" s="1945" t="s">
        <v>1587</v>
      </c>
    </row>
    <row r="13" spans="1:1" ht="38.25" customHeight="1">
      <c r="A13" s="1948"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spans="1:1" ht="18.75">
      <c r="A14" s="1949" t="s">
        <v>1588</v>
      </c>
    </row>
    <row r="15" spans="1:1" ht="18">
      <c r="A15" s="1950" t="str">
        <f>TEXT(项目基本情况!D3,"yyyy年m月d日;;")&amp;IF(项目基本情况!D3=项目基本情况!B3,"（评估专业人员实地查勘之日）","")</f>
        <v>2020年1月2日（评估专业人员实地查勘之日）</v>
      </c>
    </row>
    <row r="16" spans="1:1" ht="18.75">
      <c r="A16" s="1949" t="s">
        <v>1589</v>
      </c>
    </row>
    <row r="17" spans="1:1" ht="75">
      <c r="A17" s="1944" t="s">
        <v>1590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1579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1580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2679</v>
      </c>
      <c r="B1" s="1616"/>
      <c r="C1" s="1617" t="s">
        <v>2502</v>
      </c>
      <c r="D1" s="1618"/>
      <c r="E1" s="1619"/>
      <c r="F1" s="2581"/>
      <c r="G1" s="1620" t="s">
        <v>2615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2302</v>
      </c>
      <c r="B2" s="1415" t="e">
        <f ca="1">IF(C2="——",IF(B37="元/平方米",ROUND(C39*D3/10000,0),ROUND(F3*C39/10000,0)),IF(B37="元/平方米",ROUND(C39*D3/10000,0),ROUND(F3*C39/10000,0))-D2)</f>
        <v>#DIV/0!</v>
      </c>
      <c r="C2" s="2583"/>
      <c r="D2" s="1121" t="e">
        <f ca="1">SUMIF(INDIRECT("'"&amp;F2&amp;"'"&amp;"!A:A"),"承租人权益价值",INDIRECT("'"&amp;F2&amp;"'"&amp;"!c:c"))</f>
        <v>#REF!</v>
      </c>
      <c r="E2" s="2584" t="s">
        <v>2303</v>
      </c>
      <c r="F2" s="2585"/>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2304</v>
      </c>
      <c r="B3" s="606" t="e">
        <f ca="1">IF(AND(C2="——",B37="元/平方米"),C39,ROUND(B2*10000/D3,0))</f>
        <v>#DIV/0!</v>
      </c>
      <c r="C3" s="397" t="s">
        <v>2616</v>
      </c>
      <c r="D3" s="396">
        <f>SUMIF('数据-汇总表'!$C19:$C33,D1,'数据-汇总表'!$E19:$E33)</f>
        <v>0</v>
      </c>
      <c r="E3" s="397" t="s">
        <v>2680</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8" t="s">
        <v>2617</v>
      </c>
      <c r="B4" s="399"/>
      <c r="C4" s="3220" t="s">
        <v>2618</v>
      </c>
      <c r="D4" s="3221"/>
      <c r="E4" s="3222" t="s">
        <v>2619</v>
      </c>
      <c r="F4" s="3223"/>
      <c r="G4" s="3220" t="s">
        <v>2620</v>
      </c>
      <c r="H4" s="3221"/>
      <c r="I4" s="3220" t="s">
        <v>2621</v>
      </c>
      <c r="J4" s="3221"/>
      <c r="K4" s="607" t="s">
        <v>2622</v>
      </c>
      <c r="L4" s="1127"/>
      <c r="M4" s="1128"/>
      <c r="N4" s="1128"/>
      <c r="O4" s="1128"/>
      <c r="P4" s="3224" t="s">
        <v>2623</v>
      </c>
      <c r="Q4" s="3225"/>
      <c r="R4" s="3230" t="s">
        <v>2619</v>
      </c>
      <c r="S4" s="3231"/>
      <c r="T4" s="3230" t="s">
        <v>2620</v>
      </c>
      <c r="U4" s="3231"/>
      <c r="V4" s="3236" t="s">
        <v>2621</v>
      </c>
      <c r="W4" s="3236"/>
      <c r="X4" s="1810"/>
      <c r="Y4" s="3230" t="s">
        <v>2623</v>
      </c>
      <c r="Z4" s="3231"/>
      <c r="AA4" s="3217" t="s">
        <v>2619</v>
      </c>
      <c r="AB4" s="3218" t="s">
        <v>2620</v>
      </c>
      <c r="AC4" s="3217" t="s">
        <v>2621</v>
      </c>
    </row>
    <row r="5" spans="1:29" ht="15">
      <c r="A5" s="401"/>
      <c r="B5" s="402"/>
      <c r="C5" s="3239" t="s">
        <v>2514</v>
      </c>
      <c r="D5" s="3240"/>
      <c r="E5" s="3246" t="s">
        <v>2515</v>
      </c>
      <c r="F5" s="3247"/>
      <c r="G5" s="3239" t="s">
        <v>2516</v>
      </c>
      <c r="H5" s="3240"/>
      <c r="I5" s="3239" t="s">
        <v>2517</v>
      </c>
      <c r="J5" s="3240"/>
      <c r="K5" s="607"/>
      <c r="L5" s="1127"/>
      <c r="M5" s="1128"/>
      <c r="N5" s="1128"/>
      <c r="O5" s="1128"/>
      <c r="P5" s="3226"/>
      <c r="Q5" s="3227"/>
      <c r="R5" s="3232"/>
      <c r="S5" s="3233"/>
      <c r="T5" s="3232"/>
      <c r="U5" s="3233"/>
      <c r="V5" s="3236"/>
      <c r="W5" s="3236"/>
      <c r="X5" s="1810"/>
      <c r="Y5" s="3232"/>
      <c r="Z5" s="3233"/>
      <c r="AA5" s="3218"/>
      <c r="AB5" s="3218"/>
      <c r="AC5" s="3218"/>
    </row>
    <row r="6" spans="1:29" ht="15.75" thickBot="1">
      <c r="A6" s="403"/>
      <c r="B6" s="404"/>
      <c r="C6" s="3237" t="s">
        <v>2518</v>
      </c>
      <c r="D6" s="3238"/>
      <c r="E6" s="3244" t="s">
        <v>2518</v>
      </c>
      <c r="F6" s="3245"/>
      <c r="G6" s="3237" t="s">
        <v>2518</v>
      </c>
      <c r="H6" s="3238"/>
      <c r="I6" s="3237" t="s">
        <v>2518</v>
      </c>
      <c r="J6" s="3238"/>
      <c r="K6" s="607" t="s">
        <v>2519</v>
      </c>
      <c r="L6" s="1127"/>
      <c r="M6" s="1128"/>
      <c r="N6" s="1128"/>
      <c r="O6" s="1128"/>
      <c r="P6" s="3228"/>
      <c r="Q6" s="3229"/>
      <c r="R6" s="3232"/>
      <c r="S6" s="3233"/>
      <c r="T6" s="3234"/>
      <c r="U6" s="3235"/>
      <c r="V6" s="3236"/>
      <c r="W6" s="3236"/>
      <c r="X6" s="1810"/>
      <c r="Y6" s="3234"/>
      <c r="Z6" s="3235"/>
      <c r="AA6" s="3219"/>
      <c r="AB6" s="3219"/>
      <c r="AC6" s="3219"/>
    </row>
    <row r="7" spans="1:29" s="114" customFormat="1" ht="15.75" thickBot="1">
      <c r="A7" s="405" t="s">
        <v>2520</v>
      </c>
      <c r="B7" s="406"/>
      <c r="C7" s="407">
        <f>'数据-取费表'!B2</f>
        <v>43832</v>
      </c>
      <c r="D7" s="408">
        <v>100</v>
      </c>
      <c r="E7" s="409"/>
      <c r="F7" s="410">
        <f>SUMIF(48:48,YEAR(E7)&amp;"-"&amp;MONTH(E7),49:49)</f>
        <v>0</v>
      </c>
      <c r="G7" s="409"/>
      <c r="H7" s="408">
        <f>SUMIF(48:48,YEAR(G7)&amp;"-"&amp;MONTH(G7),49:49)</f>
        <v>0</v>
      </c>
      <c r="I7" s="409"/>
      <c r="J7" s="408">
        <f>SUMIF(48:48,YEAR(I7)&amp;"-"&amp;MONTH(I7),49:49)</f>
        <v>0</v>
      </c>
      <c r="K7" s="608"/>
      <c r="L7" s="1129"/>
      <c r="M7" s="1130"/>
      <c r="N7" s="1130"/>
      <c r="O7" s="1130"/>
      <c r="P7" s="3241" t="s">
        <v>2521</v>
      </c>
      <c r="Q7" s="3243"/>
      <c r="R7" s="767" t="s">
        <v>14</v>
      </c>
      <c r="S7" s="768">
        <f t="shared" ref="S7:S14" si="0">F7</f>
        <v>0</v>
      </c>
      <c r="T7" s="767" t="s">
        <v>14</v>
      </c>
      <c r="U7" s="768">
        <f t="shared" ref="U7:U14" si="1">H7</f>
        <v>0</v>
      </c>
      <c r="V7" s="767" t="s">
        <v>14</v>
      </c>
      <c r="W7" s="768">
        <f t="shared" ref="W7:W14" si="2">J7</f>
        <v>0</v>
      </c>
      <c r="X7" s="769"/>
      <c r="Y7" s="3241" t="s">
        <v>2521</v>
      </c>
      <c r="Z7" s="3242"/>
      <c r="AA7" s="770" t="e">
        <f>D7/F7</f>
        <v>#DIV/0!</v>
      </c>
      <c r="AB7" s="770" t="e">
        <f>D7/H7</f>
        <v>#DIV/0!</v>
      </c>
      <c r="AC7" s="770" t="e">
        <f>D7/J7</f>
        <v>#DIV/0!</v>
      </c>
    </row>
    <row r="8" spans="1:29" s="114" customFormat="1" ht="15.75" thickBot="1">
      <c r="A8" s="405" t="s">
        <v>2522</v>
      </c>
      <c r="B8" s="406"/>
      <c r="C8" s="411" t="s">
        <v>2624</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241" t="s">
        <v>2524</v>
      </c>
      <c r="Q8" s="3242"/>
      <c r="R8" s="767" t="s">
        <v>14</v>
      </c>
      <c r="S8" s="768">
        <f t="shared" si="0"/>
        <v>0</v>
      </c>
      <c r="T8" s="767" t="s">
        <v>14</v>
      </c>
      <c r="U8" s="768">
        <f t="shared" si="1"/>
        <v>0</v>
      </c>
      <c r="V8" s="767" t="s">
        <v>14</v>
      </c>
      <c r="W8" s="768">
        <f t="shared" si="2"/>
        <v>0</v>
      </c>
      <c r="X8" s="769"/>
      <c r="Y8" s="3241" t="s">
        <v>2524</v>
      </c>
      <c r="Z8" s="3242"/>
      <c r="AA8" s="770" t="e">
        <f t="shared" ref="AA8:AA36" si="3">D8/F8</f>
        <v>#DIV/0!</v>
      </c>
      <c r="AB8" s="770" t="e">
        <f t="shared" ref="AB8:AB36" si="4">D8/H8</f>
        <v>#DIV/0!</v>
      </c>
      <c r="AC8" s="770" t="e">
        <f t="shared" ref="AC8:AC36" si="5">D8/J8</f>
        <v>#DIV/0!</v>
      </c>
    </row>
    <row r="9" spans="1:29" s="114" customFormat="1">
      <c r="A9" s="65" t="s">
        <v>2525</v>
      </c>
      <c r="B9" s="637" t="s">
        <v>2526</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205" t="s">
        <v>2527</v>
      </c>
      <c r="Q9" s="1792" t="str">
        <f t="shared" ref="Q9:Q14" si="6">B9</f>
        <v>用途</v>
      </c>
      <c r="R9" s="767" t="s">
        <v>14</v>
      </c>
      <c r="S9" s="768">
        <f t="shared" si="0"/>
        <v>100</v>
      </c>
      <c r="T9" s="767" t="s">
        <v>14</v>
      </c>
      <c r="U9" s="768">
        <f t="shared" si="1"/>
        <v>100</v>
      </c>
      <c r="V9" s="767" t="s">
        <v>14</v>
      </c>
      <c r="W9" s="768">
        <f t="shared" si="2"/>
        <v>100</v>
      </c>
      <c r="X9" s="769"/>
      <c r="Y9" s="3005" t="s">
        <v>2528</v>
      </c>
      <c r="Z9" s="52" t="str">
        <f t="shared" ref="Z9:Z14" si="7">Q9</f>
        <v>用途</v>
      </c>
      <c r="AA9" s="770">
        <f t="shared" si="3"/>
        <v>1</v>
      </c>
      <c r="AB9" s="770">
        <f t="shared" si="4"/>
        <v>1</v>
      </c>
      <c r="AC9" s="770">
        <f t="shared" si="5"/>
        <v>1</v>
      </c>
    </row>
    <row r="10" spans="1:29" s="424" customFormat="1" ht="27">
      <c r="A10" s="638"/>
      <c r="B10" s="639" t="s">
        <v>2529</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205"/>
      <c r="Q10" s="1792" t="str">
        <f t="shared" si="6"/>
        <v>土地使用年限（年）</v>
      </c>
      <c r="R10" s="767" t="s">
        <v>14</v>
      </c>
      <c r="S10" s="768">
        <f t="shared" si="0"/>
        <v>100</v>
      </c>
      <c r="T10" s="767" t="s">
        <v>14</v>
      </c>
      <c r="U10" s="768">
        <f t="shared" si="1"/>
        <v>100</v>
      </c>
      <c r="V10" s="767" t="s">
        <v>14</v>
      </c>
      <c r="W10" s="768">
        <f t="shared" si="2"/>
        <v>100</v>
      </c>
      <c r="X10" s="769"/>
      <c r="Y10" s="3005"/>
      <c r="Z10" s="52"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205"/>
      <c r="Q11" s="1792">
        <f t="shared" si="6"/>
        <v>111</v>
      </c>
      <c r="R11" s="767" t="s">
        <v>14</v>
      </c>
      <c r="S11" s="768">
        <f t="shared" si="0"/>
        <v>100</v>
      </c>
      <c r="T11" s="767" t="s">
        <v>14</v>
      </c>
      <c r="U11" s="768">
        <f t="shared" si="1"/>
        <v>100</v>
      </c>
      <c r="V11" s="767" t="s">
        <v>14</v>
      </c>
      <c r="W11" s="768">
        <f t="shared" si="2"/>
        <v>100</v>
      </c>
      <c r="X11" s="769"/>
      <c r="Y11" s="3005"/>
      <c r="Z11" s="52">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205"/>
      <c r="Q12" s="1792">
        <f t="shared" si="6"/>
        <v>111</v>
      </c>
      <c r="R12" s="767" t="s">
        <v>14</v>
      </c>
      <c r="S12" s="768">
        <f t="shared" si="0"/>
        <v>100</v>
      </c>
      <c r="T12" s="767" t="s">
        <v>14</v>
      </c>
      <c r="U12" s="768">
        <f t="shared" si="1"/>
        <v>100</v>
      </c>
      <c r="V12" s="767" t="s">
        <v>14</v>
      </c>
      <c r="W12" s="768">
        <f t="shared" si="2"/>
        <v>100</v>
      </c>
      <c r="X12" s="769"/>
      <c r="Y12" s="3005"/>
      <c r="Z12" s="52">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205"/>
      <c r="Q13" s="1792">
        <f t="shared" si="6"/>
        <v>111</v>
      </c>
      <c r="R13" s="767" t="s">
        <v>14</v>
      </c>
      <c r="S13" s="768">
        <f t="shared" si="0"/>
        <v>100</v>
      </c>
      <c r="T13" s="767" t="s">
        <v>14</v>
      </c>
      <c r="U13" s="768">
        <f t="shared" si="1"/>
        <v>100</v>
      </c>
      <c r="V13" s="767" t="s">
        <v>14</v>
      </c>
      <c r="W13" s="768">
        <f t="shared" si="2"/>
        <v>100</v>
      </c>
      <c r="X13" s="769"/>
      <c r="Y13" s="3005"/>
      <c r="Z13" s="52">
        <f t="shared" si="7"/>
        <v>111</v>
      </c>
      <c r="AA13" s="770">
        <f t="shared" si="3"/>
        <v>1</v>
      </c>
      <c r="AB13" s="770">
        <f t="shared" si="4"/>
        <v>1</v>
      </c>
      <c r="AC13" s="770">
        <f t="shared" si="5"/>
        <v>1</v>
      </c>
    </row>
    <row r="14" spans="1:29" ht="85.5">
      <c r="A14" s="398" t="s">
        <v>2531</v>
      </c>
      <c r="B14" s="626" t="s">
        <v>2681</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07" t="s">
        <v>2532</v>
      </c>
      <c r="Q14" s="1807" t="str">
        <f t="shared" si="6"/>
        <v>交通便捷度</v>
      </c>
      <c r="R14" s="771" t="s">
        <v>14</v>
      </c>
      <c r="S14" s="772">
        <f t="shared" si="0"/>
        <v>100</v>
      </c>
      <c r="T14" s="771" t="s">
        <v>14</v>
      </c>
      <c r="U14" s="772">
        <f t="shared" si="1"/>
        <v>100</v>
      </c>
      <c r="V14" s="771" t="s">
        <v>14</v>
      </c>
      <c r="W14" s="772">
        <f t="shared" si="2"/>
        <v>100</v>
      </c>
      <c r="X14" s="1810"/>
      <c r="Y14" s="3207" t="s">
        <v>2532</v>
      </c>
      <c r="Z14" s="1811" t="str">
        <f t="shared" si="7"/>
        <v>交通便捷度</v>
      </c>
      <c r="AA14" s="1808">
        <f t="shared" si="3"/>
        <v>1</v>
      </c>
      <c r="AB14" s="1808">
        <f t="shared" si="4"/>
        <v>1</v>
      </c>
      <c r="AC14" s="1808">
        <f t="shared" si="5"/>
        <v>1</v>
      </c>
    </row>
    <row r="15" spans="1:29" ht="15">
      <c r="A15" s="401"/>
      <c r="B15" s="644"/>
      <c r="C15" s="444"/>
      <c r="D15" s="445"/>
      <c r="E15" s="444"/>
      <c r="F15" s="446"/>
      <c r="G15" s="444"/>
      <c r="H15" s="447"/>
      <c r="I15" s="444"/>
      <c r="J15" s="445"/>
      <c r="K15" s="612"/>
      <c r="L15" s="1137"/>
      <c r="M15" s="1128"/>
      <c r="N15" s="1128"/>
      <c r="O15" s="1128"/>
      <c r="P15" s="3208"/>
      <c r="Q15" s="1807"/>
      <c r="R15" s="771"/>
      <c r="S15" s="772"/>
      <c r="T15" s="771"/>
      <c r="U15" s="772"/>
      <c r="V15" s="771"/>
      <c r="W15" s="772"/>
      <c r="X15" s="1810"/>
      <c r="Y15" s="3208"/>
      <c r="Z15" s="1811"/>
      <c r="AA15" s="1808">
        <v>1</v>
      </c>
      <c r="AB15" s="1808">
        <v>1</v>
      </c>
      <c r="AC15" s="1808">
        <v>1</v>
      </c>
    </row>
    <row r="16" spans="1:29" ht="42.75">
      <c r="A16" s="401"/>
      <c r="B16" s="628" t="s">
        <v>2660</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08"/>
      <c r="Q16" s="1807" t="str">
        <f>B16</f>
        <v>公共配套设施</v>
      </c>
      <c r="R16" s="771" t="s">
        <v>14</v>
      </c>
      <c r="S16" s="772">
        <f>F16</f>
        <v>100</v>
      </c>
      <c r="T16" s="771" t="s">
        <v>14</v>
      </c>
      <c r="U16" s="772">
        <f>H16</f>
        <v>100</v>
      </c>
      <c r="V16" s="771" t="s">
        <v>14</v>
      </c>
      <c r="W16" s="772">
        <f>J16</f>
        <v>100</v>
      </c>
      <c r="X16" s="1810"/>
      <c r="Y16" s="3208"/>
      <c r="Z16" s="1811" t="str">
        <f>Q16</f>
        <v>公共配套设施</v>
      </c>
      <c r="AA16" s="1808">
        <f t="shared" si="3"/>
        <v>1</v>
      </c>
      <c r="AB16" s="1808">
        <f t="shared" si="4"/>
        <v>1</v>
      </c>
      <c r="AC16" s="1808">
        <f t="shared" si="5"/>
        <v>1</v>
      </c>
    </row>
    <row r="17" spans="1:29" ht="15">
      <c r="A17" s="401"/>
      <c r="B17" s="629"/>
      <c r="C17" s="2605"/>
      <c r="D17" s="445"/>
      <c r="E17" s="444"/>
      <c r="F17" s="446"/>
      <c r="G17" s="444"/>
      <c r="H17" s="445"/>
      <c r="I17" s="444"/>
      <c r="J17" s="445"/>
      <c r="K17" s="612"/>
      <c r="L17" s="1137"/>
      <c r="M17" s="1128"/>
      <c r="N17" s="1128"/>
      <c r="O17" s="1128"/>
      <c r="P17" s="3208"/>
      <c r="Q17" s="1807"/>
      <c r="R17" s="771"/>
      <c r="S17" s="772"/>
      <c r="T17" s="771"/>
      <c r="U17" s="772"/>
      <c r="V17" s="771"/>
      <c r="W17" s="772"/>
      <c r="X17" s="1810"/>
      <c r="Y17" s="3208"/>
      <c r="Z17" s="1811"/>
      <c r="AA17" s="1808">
        <v>1</v>
      </c>
      <c r="AB17" s="1808">
        <v>1</v>
      </c>
      <c r="AC17" s="1808">
        <v>1</v>
      </c>
    </row>
    <row r="18" spans="1:29" ht="28.5">
      <c r="A18" s="401"/>
      <c r="B18" s="630" t="s">
        <v>2661</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08"/>
      <c r="Q18" s="1807" t="str">
        <f>B18</f>
        <v>基础设施水平</v>
      </c>
      <c r="R18" s="771" t="s">
        <v>14</v>
      </c>
      <c r="S18" s="772">
        <f>F18</f>
        <v>100</v>
      </c>
      <c r="T18" s="771" t="s">
        <v>14</v>
      </c>
      <c r="U18" s="772">
        <f>H18</f>
        <v>100</v>
      </c>
      <c r="V18" s="771" t="s">
        <v>14</v>
      </c>
      <c r="W18" s="772">
        <f>J18</f>
        <v>100</v>
      </c>
      <c r="X18" s="1810"/>
      <c r="Y18" s="3208"/>
      <c r="Z18" s="1811" t="str">
        <f>Q18</f>
        <v>基础设施水平</v>
      </c>
      <c r="AA18" s="1808">
        <f t="shared" ref="AA18" si="8">D18/F18</f>
        <v>1</v>
      </c>
      <c r="AB18" s="1808">
        <f t="shared" ref="AB18" si="9">D18/H18</f>
        <v>1</v>
      </c>
      <c r="AC18" s="1808">
        <f t="shared" ref="AC18" si="10">D18/J18</f>
        <v>1</v>
      </c>
    </row>
    <row r="19" spans="1:29" ht="15">
      <c r="A19" s="401"/>
      <c r="B19" s="630"/>
      <c r="C19" s="2605"/>
      <c r="D19" s="447"/>
      <c r="E19" s="2605"/>
      <c r="F19" s="450"/>
      <c r="G19" s="2605"/>
      <c r="H19" s="445"/>
      <c r="I19" s="444"/>
      <c r="J19" s="445"/>
      <c r="K19" s="1380"/>
      <c r="L19" s="1137"/>
      <c r="M19" s="1128"/>
      <c r="N19" s="1128"/>
      <c r="O19" s="1128"/>
      <c r="P19" s="3208"/>
      <c r="Q19" s="1807"/>
      <c r="R19" s="771"/>
      <c r="S19" s="772"/>
      <c r="T19" s="771"/>
      <c r="U19" s="772"/>
      <c r="V19" s="771"/>
      <c r="W19" s="772"/>
      <c r="X19" s="1810"/>
      <c r="Y19" s="3208"/>
      <c r="Z19" s="1811"/>
      <c r="AA19" s="1808">
        <v>1</v>
      </c>
      <c r="AB19" s="1808">
        <v>1</v>
      </c>
      <c r="AC19" s="1808">
        <v>1</v>
      </c>
    </row>
    <row r="20" spans="1:29" ht="57">
      <c r="A20" s="401"/>
      <c r="B20" s="628" t="s">
        <v>2682</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08"/>
      <c r="Q20" s="1807" t="str">
        <f>B20</f>
        <v>自然及人文环境</v>
      </c>
      <c r="R20" s="771" t="s">
        <v>14</v>
      </c>
      <c r="S20" s="772">
        <f>F20</f>
        <v>100</v>
      </c>
      <c r="T20" s="771" t="s">
        <v>14</v>
      </c>
      <c r="U20" s="772">
        <f>H20</f>
        <v>100</v>
      </c>
      <c r="V20" s="771" t="s">
        <v>14</v>
      </c>
      <c r="W20" s="772">
        <f>J20</f>
        <v>100</v>
      </c>
      <c r="X20" s="1810"/>
      <c r="Y20" s="3208"/>
      <c r="Z20" s="1811" t="str">
        <f>Q20</f>
        <v>自然及人文环境</v>
      </c>
      <c r="AA20" s="1808">
        <f t="shared" si="3"/>
        <v>1</v>
      </c>
      <c r="AB20" s="1808">
        <f t="shared" si="4"/>
        <v>1</v>
      </c>
      <c r="AC20" s="1808">
        <f t="shared" si="5"/>
        <v>1</v>
      </c>
    </row>
    <row r="21" spans="1:29" ht="15">
      <c r="A21" s="401"/>
      <c r="B21" s="629"/>
      <c r="C21" s="444"/>
      <c r="D21" s="445"/>
      <c r="E21" s="444"/>
      <c r="F21" s="446"/>
      <c r="G21" s="444"/>
      <c r="H21" s="445"/>
      <c r="I21" s="444"/>
      <c r="J21" s="445"/>
      <c r="K21" s="612"/>
      <c r="L21" s="1137"/>
      <c r="M21" s="1128"/>
      <c r="N21" s="1128"/>
      <c r="O21" s="1128"/>
      <c r="P21" s="3208"/>
      <c r="Q21" s="1807"/>
      <c r="R21" s="771"/>
      <c r="S21" s="772"/>
      <c r="T21" s="771"/>
      <c r="U21" s="772"/>
      <c r="V21" s="771"/>
      <c r="W21" s="772"/>
      <c r="X21" s="1810"/>
      <c r="Y21" s="3208"/>
      <c r="Z21" s="1811"/>
      <c r="AA21" s="1808">
        <v>1</v>
      </c>
      <c r="AB21" s="1808">
        <v>1</v>
      </c>
      <c r="AC21" s="1808">
        <v>1</v>
      </c>
    </row>
    <row r="22" spans="1:29" ht="15">
      <c r="A22" s="401"/>
      <c r="B22" s="628" t="s">
        <v>2683</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08"/>
      <c r="Q22" s="1807" t="str">
        <f>B22</f>
        <v>楼层</v>
      </c>
      <c r="R22" s="771" t="s">
        <v>14</v>
      </c>
      <c r="S22" s="772">
        <f>F22</f>
        <v>100</v>
      </c>
      <c r="T22" s="771" t="s">
        <v>14</v>
      </c>
      <c r="U22" s="772">
        <f>H22</f>
        <v>100</v>
      </c>
      <c r="V22" s="771" t="s">
        <v>14</v>
      </c>
      <c r="W22" s="772">
        <f>J22</f>
        <v>100</v>
      </c>
      <c r="X22" s="1810"/>
      <c r="Y22" s="3208"/>
      <c r="Z22" s="1811" t="str">
        <f>Q22</f>
        <v>楼层</v>
      </c>
      <c r="AA22" s="1808">
        <f t="shared" si="3"/>
        <v>1</v>
      </c>
      <c r="AB22" s="1808">
        <f t="shared" si="4"/>
        <v>1</v>
      </c>
      <c r="AC22" s="1808">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08"/>
      <c r="Q23" s="1807">
        <f>B23</f>
        <v>111</v>
      </c>
      <c r="R23" s="771" t="s">
        <v>14</v>
      </c>
      <c r="S23" s="772">
        <f>F23</f>
        <v>100</v>
      </c>
      <c r="T23" s="771" t="s">
        <v>14</v>
      </c>
      <c r="U23" s="772">
        <f>H23</f>
        <v>100</v>
      </c>
      <c r="V23" s="771" t="s">
        <v>14</v>
      </c>
      <c r="W23" s="772">
        <f>J23</f>
        <v>100</v>
      </c>
      <c r="X23" s="1810"/>
      <c r="Y23" s="3208"/>
      <c r="Z23" s="1811">
        <f>Q23</f>
        <v>111</v>
      </c>
      <c r="AA23" s="1808">
        <f t="shared" si="3"/>
        <v>1</v>
      </c>
      <c r="AB23" s="1808">
        <f t="shared" si="4"/>
        <v>1</v>
      </c>
      <c r="AC23" s="1808">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08"/>
      <c r="Q24" s="1807">
        <f t="shared" ref="Q24:Q36" si="11">B24</f>
        <v>111</v>
      </c>
      <c r="R24" s="771" t="s">
        <v>14</v>
      </c>
      <c r="S24" s="772">
        <f>F24</f>
        <v>100</v>
      </c>
      <c r="T24" s="771" t="s">
        <v>14</v>
      </c>
      <c r="U24" s="772">
        <f>H24</f>
        <v>100</v>
      </c>
      <c r="V24" s="771" t="s">
        <v>14</v>
      </c>
      <c r="W24" s="772">
        <f>J24</f>
        <v>100</v>
      </c>
      <c r="X24" s="1810"/>
      <c r="Y24" s="3208"/>
      <c r="Z24" s="1811">
        <f>Q24</f>
        <v>111</v>
      </c>
      <c r="AA24" s="1808">
        <f t="shared" si="3"/>
        <v>1</v>
      </c>
      <c r="AB24" s="1808">
        <f t="shared" si="4"/>
        <v>1</v>
      </c>
      <c r="AC24" s="1808">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08"/>
      <c r="Q25" s="1792">
        <f t="shared" si="11"/>
        <v>111</v>
      </c>
      <c r="R25" s="767" t="s">
        <v>14</v>
      </c>
      <c r="S25" s="768">
        <f>F25</f>
        <v>100</v>
      </c>
      <c r="T25" s="767" t="s">
        <v>14</v>
      </c>
      <c r="U25" s="768">
        <f>H25</f>
        <v>100</v>
      </c>
      <c r="V25" s="767" t="s">
        <v>14</v>
      </c>
      <c r="W25" s="768">
        <f>J25</f>
        <v>100</v>
      </c>
      <c r="X25" s="769"/>
      <c r="Y25" s="3208"/>
      <c r="Z25" s="52">
        <f>Q25</f>
        <v>111</v>
      </c>
      <c r="AA25" s="1808">
        <f>D25/F25</f>
        <v>1</v>
      </c>
      <c r="AB25" s="1808">
        <f>D25/H25</f>
        <v>1</v>
      </c>
      <c r="AC25" s="1808">
        <f>D25/J25</f>
        <v>1</v>
      </c>
    </row>
    <row r="26" spans="1:29" ht="28.5">
      <c r="A26" s="649" t="s">
        <v>2535</v>
      </c>
      <c r="B26" s="67" t="s">
        <v>2684</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63" t="s">
        <v>2537</v>
      </c>
      <c r="Q26" s="1807" t="str">
        <f t="shared" si="11"/>
        <v>配套类型</v>
      </c>
      <c r="R26" s="771" t="s">
        <v>14</v>
      </c>
      <c r="S26" s="772">
        <f t="shared" ref="S26:S36" si="12">F26</f>
        <v>100</v>
      </c>
      <c r="T26" s="771" t="s">
        <v>14</v>
      </c>
      <c r="U26" s="772">
        <f t="shared" ref="U26:U36" si="13">H26</f>
        <v>100</v>
      </c>
      <c r="V26" s="771" t="s">
        <v>14</v>
      </c>
      <c r="W26" s="772">
        <f t="shared" ref="W26:W36" si="14">J26</f>
        <v>100</v>
      </c>
      <c r="X26" s="1810"/>
      <c r="Y26" s="3212" t="s">
        <v>2537</v>
      </c>
      <c r="Z26" s="1811" t="str">
        <f t="shared" ref="Z26:Z36" si="15">Q26</f>
        <v>配套类型</v>
      </c>
      <c r="AA26" s="1808">
        <f t="shared" si="3"/>
        <v>1</v>
      </c>
      <c r="AB26" s="1808">
        <f t="shared" si="4"/>
        <v>1</v>
      </c>
      <c r="AC26" s="1808">
        <f t="shared" si="5"/>
        <v>1</v>
      </c>
    </row>
    <row r="27" spans="1:29" s="468" customFormat="1" ht="15">
      <c r="A27" s="650"/>
      <c r="B27" s="651" t="s">
        <v>2685</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12"/>
      <c r="Q27" s="773" t="str">
        <f t="shared" si="11"/>
        <v>项目停车位配比</v>
      </c>
      <c r="R27" s="774" t="s">
        <v>14</v>
      </c>
      <c r="S27" s="775">
        <f t="shared" si="12"/>
        <v>100</v>
      </c>
      <c r="T27" s="774" t="s">
        <v>14</v>
      </c>
      <c r="U27" s="775">
        <f t="shared" si="13"/>
        <v>100</v>
      </c>
      <c r="V27" s="774" t="s">
        <v>14</v>
      </c>
      <c r="W27" s="775">
        <f t="shared" si="14"/>
        <v>100</v>
      </c>
      <c r="X27" s="776"/>
      <c r="Y27" s="3212"/>
      <c r="Z27" s="777" t="str">
        <f t="shared" si="15"/>
        <v>项目停车位配比</v>
      </c>
      <c r="AA27" s="1808">
        <f t="shared" si="3"/>
        <v>1</v>
      </c>
      <c r="AB27" s="1808">
        <f t="shared" si="4"/>
        <v>1</v>
      </c>
      <c r="AC27" s="1808">
        <f t="shared" si="5"/>
        <v>1</v>
      </c>
    </row>
    <row r="28" spans="1:29" ht="15">
      <c r="A28" s="653"/>
      <c r="B28" s="651" t="s">
        <v>2686</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12"/>
      <c r="Q28" s="1807" t="str">
        <f t="shared" si="11"/>
        <v>公共部分装修</v>
      </c>
      <c r="R28" s="771" t="s">
        <v>14</v>
      </c>
      <c r="S28" s="772">
        <f t="shared" si="12"/>
        <v>100</v>
      </c>
      <c r="T28" s="771" t="s">
        <v>14</v>
      </c>
      <c r="U28" s="772">
        <f t="shared" si="13"/>
        <v>100</v>
      </c>
      <c r="V28" s="771" t="s">
        <v>14</v>
      </c>
      <c r="W28" s="772">
        <f t="shared" si="14"/>
        <v>100</v>
      </c>
      <c r="X28" s="1810"/>
      <c r="Y28" s="3212"/>
      <c r="Z28" s="1811" t="str">
        <f t="shared" si="15"/>
        <v>公共部分装修</v>
      </c>
      <c r="AA28" s="1808">
        <f t="shared" si="3"/>
        <v>1</v>
      </c>
      <c r="AB28" s="1808">
        <f t="shared" si="4"/>
        <v>1</v>
      </c>
      <c r="AC28" s="1808">
        <f t="shared" si="5"/>
        <v>1</v>
      </c>
    </row>
    <row r="29" spans="1:29" ht="15">
      <c r="A29" s="653"/>
      <c r="B29" s="651" t="s">
        <v>2687</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12"/>
      <c r="Q29" s="1807" t="str">
        <f t="shared" si="11"/>
        <v>成新率</v>
      </c>
      <c r="R29" s="771" t="s">
        <v>14</v>
      </c>
      <c r="S29" s="772" t="e">
        <f t="shared" si="12"/>
        <v>#N/A</v>
      </c>
      <c r="T29" s="771" t="s">
        <v>14</v>
      </c>
      <c r="U29" s="772" t="e">
        <f t="shared" si="13"/>
        <v>#N/A</v>
      </c>
      <c r="V29" s="771" t="s">
        <v>14</v>
      </c>
      <c r="W29" s="772" t="e">
        <f t="shared" si="14"/>
        <v>#N/A</v>
      </c>
      <c r="X29" s="1810"/>
      <c r="Y29" s="3212"/>
      <c r="Z29" s="1811" t="str">
        <f t="shared" si="15"/>
        <v>成新率</v>
      </c>
      <c r="AA29" s="1808" t="e">
        <f t="shared" si="3"/>
        <v>#N/A</v>
      </c>
      <c r="AB29" s="1808" t="e">
        <f t="shared" si="4"/>
        <v>#N/A</v>
      </c>
      <c r="AC29" s="1808" t="e">
        <f t="shared" si="5"/>
        <v>#N/A</v>
      </c>
    </row>
    <row r="30" spans="1:29" ht="15">
      <c r="A30" s="653"/>
      <c r="B30" s="651" t="s">
        <v>2688</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12"/>
      <c r="Q30" s="1807" t="str">
        <f t="shared" si="11"/>
        <v>物业等级</v>
      </c>
      <c r="R30" s="771" t="s">
        <v>14</v>
      </c>
      <c r="S30" s="772">
        <f t="shared" si="12"/>
        <v>100</v>
      </c>
      <c r="T30" s="771" t="s">
        <v>14</v>
      </c>
      <c r="U30" s="772">
        <f t="shared" si="13"/>
        <v>100</v>
      </c>
      <c r="V30" s="771" t="s">
        <v>14</v>
      </c>
      <c r="W30" s="772">
        <f t="shared" si="14"/>
        <v>100</v>
      </c>
      <c r="X30" s="1810"/>
      <c r="Y30" s="3212"/>
      <c r="Z30" s="1811" t="str">
        <f t="shared" si="15"/>
        <v>物业等级</v>
      </c>
      <c r="AA30" s="1808">
        <f t="shared" si="3"/>
        <v>1</v>
      </c>
      <c r="AB30" s="1808">
        <f t="shared" si="4"/>
        <v>1</v>
      </c>
      <c r="AC30" s="1808">
        <f t="shared" si="5"/>
        <v>1</v>
      </c>
    </row>
    <row r="31" spans="1:29" s="114" customFormat="1" ht="15">
      <c r="A31" s="655"/>
      <c r="B31" s="651" t="s">
        <v>2689</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12"/>
      <c r="Q31" s="1792" t="str">
        <f t="shared" si="11"/>
        <v>停车位面积</v>
      </c>
      <c r="R31" s="767" t="s">
        <v>14</v>
      </c>
      <c r="S31" s="768" t="e">
        <f t="shared" si="12"/>
        <v>#N/A</v>
      </c>
      <c r="T31" s="767" t="s">
        <v>14</v>
      </c>
      <c r="U31" s="768" t="e">
        <f t="shared" si="13"/>
        <v>#N/A</v>
      </c>
      <c r="V31" s="767" t="s">
        <v>14</v>
      </c>
      <c r="W31" s="768" t="e">
        <f t="shared" si="14"/>
        <v>#N/A</v>
      </c>
      <c r="X31" s="769"/>
      <c r="Y31" s="3212"/>
      <c r="Z31" s="52" t="str">
        <f t="shared" si="15"/>
        <v>停车位面积</v>
      </c>
      <c r="AA31" s="770" t="e">
        <f t="shared" si="3"/>
        <v>#N/A</v>
      </c>
      <c r="AB31" s="770" t="e">
        <f t="shared" si="4"/>
        <v>#N/A</v>
      </c>
      <c r="AC31" s="770" t="e">
        <f t="shared" si="5"/>
        <v>#N/A</v>
      </c>
    </row>
    <row r="32" spans="1:29" ht="15">
      <c r="A32" s="653"/>
      <c r="B32" s="651" t="s">
        <v>2690</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12" t="s">
        <v>2537</v>
      </c>
      <c r="Q32" s="1807" t="str">
        <f t="shared" si="11"/>
        <v>车位类型</v>
      </c>
      <c r="R32" s="771" t="s">
        <v>14</v>
      </c>
      <c r="S32" s="772">
        <f t="shared" si="12"/>
        <v>100</v>
      </c>
      <c r="T32" s="771" t="s">
        <v>14</v>
      </c>
      <c r="U32" s="772">
        <f t="shared" si="13"/>
        <v>100</v>
      </c>
      <c r="V32" s="771" t="s">
        <v>14</v>
      </c>
      <c r="W32" s="772">
        <f t="shared" si="14"/>
        <v>100</v>
      </c>
      <c r="X32" s="1810"/>
      <c r="Y32" s="3212" t="s">
        <v>2537</v>
      </c>
      <c r="Z32" s="1811" t="str">
        <f t="shared" si="15"/>
        <v>车位类型</v>
      </c>
      <c r="AA32" s="1808">
        <f t="shared" si="3"/>
        <v>1</v>
      </c>
      <c r="AB32" s="1808">
        <f t="shared" si="4"/>
        <v>1</v>
      </c>
      <c r="AC32" s="1808">
        <f t="shared" si="5"/>
        <v>1</v>
      </c>
    </row>
    <row r="33" spans="1:29" ht="15">
      <c r="A33" s="653"/>
      <c r="B33" s="651" t="s">
        <v>2691</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12"/>
      <c r="Q33" s="1807" t="str">
        <f t="shared" si="11"/>
        <v>是否直接入户</v>
      </c>
      <c r="R33" s="771" t="s">
        <v>14</v>
      </c>
      <c r="S33" s="772">
        <f t="shared" si="12"/>
        <v>100</v>
      </c>
      <c r="T33" s="771" t="s">
        <v>14</v>
      </c>
      <c r="U33" s="772">
        <f t="shared" si="13"/>
        <v>100</v>
      </c>
      <c r="V33" s="771" t="s">
        <v>14</v>
      </c>
      <c r="W33" s="772">
        <f t="shared" si="14"/>
        <v>100</v>
      </c>
      <c r="X33" s="1810"/>
      <c r="Y33" s="3212"/>
      <c r="Z33" s="1811" t="str">
        <f t="shared" si="15"/>
        <v>是否直接入户</v>
      </c>
      <c r="AA33" s="1808">
        <f t="shared" si="3"/>
        <v>1</v>
      </c>
      <c r="AB33" s="1808">
        <f t="shared" si="4"/>
        <v>1</v>
      </c>
      <c r="AC33" s="1808">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12"/>
      <c r="Q34" s="1807">
        <f t="shared" si="11"/>
        <v>111</v>
      </c>
      <c r="R34" s="771" t="s">
        <v>14</v>
      </c>
      <c r="S34" s="772">
        <f t="shared" si="12"/>
        <v>100</v>
      </c>
      <c r="T34" s="771" t="s">
        <v>14</v>
      </c>
      <c r="U34" s="772">
        <f t="shared" si="13"/>
        <v>100</v>
      </c>
      <c r="V34" s="771" t="s">
        <v>14</v>
      </c>
      <c r="W34" s="772">
        <f t="shared" si="14"/>
        <v>100</v>
      </c>
      <c r="X34" s="1810"/>
      <c r="Y34" s="3212"/>
      <c r="Z34" s="1811">
        <f t="shared" si="15"/>
        <v>111</v>
      </c>
      <c r="AA34" s="1808">
        <f t="shared" si="3"/>
        <v>1</v>
      </c>
      <c r="AB34" s="1808">
        <f t="shared" si="4"/>
        <v>1</v>
      </c>
      <c r="AC34" s="1808">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12"/>
      <c r="Q35" s="773">
        <f t="shared" si="11"/>
        <v>111</v>
      </c>
      <c r="R35" s="774" t="s">
        <v>14</v>
      </c>
      <c r="S35" s="775">
        <f t="shared" si="12"/>
        <v>100</v>
      </c>
      <c r="T35" s="774" t="s">
        <v>14</v>
      </c>
      <c r="U35" s="775">
        <f t="shared" si="13"/>
        <v>100</v>
      </c>
      <c r="V35" s="774" t="s">
        <v>14</v>
      </c>
      <c r="W35" s="775">
        <f t="shared" si="14"/>
        <v>100</v>
      </c>
      <c r="X35" s="776"/>
      <c r="Y35" s="3212"/>
      <c r="Z35" s="777">
        <f t="shared" si="15"/>
        <v>111</v>
      </c>
      <c r="AA35" s="1808">
        <f t="shared" si="3"/>
        <v>1</v>
      </c>
      <c r="AB35" s="1808">
        <f t="shared" si="4"/>
        <v>1</v>
      </c>
      <c r="AC35" s="1808">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12"/>
      <c r="Q36" s="1807">
        <f t="shared" si="11"/>
        <v>111</v>
      </c>
      <c r="R36" s="771" t="s">
        <v>14</v>
      </c>
      <c r="S36" s="772">
        <f t="shared" si="12"/>
        <v>100</v>
      </c>
      <c r="T36" s="771" t="s">
        <v>14</v>
      </c>
      <c r="U36" s="772">
        <f t="shared" si="13"/>
        <v>100</v>
      </c>
      <c r="V36" s="771" t="s">
        <v>14</v>
      </c>
      <c r="W36" s="772">
        <f t="shared" si="14"/>
        <v>100</v>
      </c>
      <c r="X36" s="1810"/>
      <c r="Y36" s="3212"/>
      <c r="Z36" s="1811">
        <f t="shared" si="15"/>
        <v>111</v>
      </c>
      <c r="AA36" s="1808">
        <f t="shared" si="3"/>
        <v>1</v>
      </c>
      <c r="AB36" s="1808">
        <f t="shared" si="4"/>
        <v>1</v>
      </c>
      <c r="AC36" s="1808">
        <f t="shared" si="5"/>
        <v>1</v>
      </c>
    </row>
    <row r="37" spans="1:29" ht="15">
      <c r="A37" s="476" t="s">
        <v>2692</v>
      </c>
      <c r="B37" s="2692" t="s">
        <v>2693</v>
      </c>
      <c r="C37" s="1404" t="s">
        <v>0</v>
      </c>
      <c r="D37" s="1405"/>
      <c r="E37" s="1406"/>
      <c r="F37" s="1407"/>
      <c r="G37" s="1408"/>
      <c r="H37" s="1409"/>
      <c r="I37" s="1406"/>
      <c r="J37" s="1409"/>
      <c r="K37" s="616"/>
      <c r="L37" s="1140"/>
      <c r="M37" s="1141"/>
      <c r="N37" s="1128"/>
      <c r="O37" s="1141"/>
      <c r="P37" s="3205" t="str">
        <f>A37</f>
        <v>成交单价</v>
      </c>
      <c r="Q37" s="3205"/>
      <c r="R37" s="3206">
        <f>E37</f>
        <v>0</v>
      </c>
      <c r="S37" s="3206"/>
      <c r="T37" s="3206">
        <f>G37</f>
        <v>0</v>
      </c>
      <c r="U37" s="3206"/>
      <c r="V37" s="3206">
        <f>I37</f>
        <v>0</v>
      </c>
      <c r="W37" s="3206"/>
      <c r="X37" s="756"/>
      <c r="Y37" s="778"/>
      <c r="Z37" s="756"/>
      <c r="AA37" s="756"/>
      <c r="AB37" s="756"/>
      <c r="AC37" s="756"/>
    </row>
    <row r="38" spans="1:29" ht="15.75" thickBot="1">
      <c r="A38" s="483" t="s">
        <v>2694</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6"/>
      <c r="Y38" s="756"/>
      <c r="Z38" s="756"/>
      <c r="AA38" s="756"/>
      <c r="AB38" s="756"/>
      <c r="AC38" s="756"/>
    </row>
    <row r="39" spans="1:29" ht="15.75" thickBot="1">
      <c r="A39" s="489" t="s">
        <v>2695</v>
      </c>
      <c r="B39" s="490"/>
      <c r="C39" s="1414" t="e">
        <f>R39</f>
        <v>#DIV/0!</v>
      </c>
      <c r="D39" s="1414"/>
      <c r="E39" s="1414"/>
      <c r="F39" s="1414"/>
      <c r="G39" s="1414"/>
      <c r="H39" s="1414"/>
      <c r="I39" s="1414"/>
      <c r="J39" s="1414"/>
      <c r="K39" s="618"/>
      <c r="L39" s="1140"/>
      <c r="M39" s="1141"/>
      <c r="N39" s="1141"/>
      <c r="O39" s="1141"/>
      <c r="P39" s="3202" t="str">
        <f>A39</f>
        <v>估价对象XX用房的比较价值（楼面单价，元/平方米）</v>
      </c>
      <c r="Q39" s="3203"/>
      <c r="R39" s="3204" t="e">
        <f>IF(F1="售价",ROUND(AVERAGE(R38:V38),0),ROUND(AVERAGE(R38:V38),1))</f>
        <v>#DIV/0!</v>
      </c>
      <c r="S39" s="3204"/>
      <c r="T39" s="3204"/>
      <c r="U39" s="3204"/>
      <c r="V39" s="3204"/>
      <c r="W39" s="3204"/>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2696</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2697</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2698</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2699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5">
      <c r="A48" s="502" t="s">
        <v>2700</v>
      </c>
      <c r="B48" s="503"/>
      <c r="C48" s="1571" t="str">
        <f>YEAR(C7)&amp;"-"&amp;MONTH(C7)</f>
        <v>2020-1</v>
      </c>
      <c r="D48" s="1572">
        <f>EDATE(C48,-1)</f>
        <v>43800</v>
      </c>
      <c r="E48" s="1572">
        <f t="shared" ref="E48:O48" si="16">EDATE(D48,-1)</f>
        <v>43770</v>
      </c>
      <c r="F48" s="1572">
        <f t="shared" si="16"/>
        <v>43739</v>
      </c>
      <c r="G48" s="1572">
        <f t="shared" si="16"/>
        <v>43709</v>
      </c>
      <c r="H48" s="1572">
        <f t="shared" si="16"/>
        <v>43678</v>
      </c>
      <c r="I48" s="1572">
        <f t="shared" si="16"/>
        <v>43647</v>
      </c>
      <c r="J48" s="1572">
        <f t="shared" si="16"/>
        <v>43617</v>
      </c>
      <c r="K48" s="1572">
        <f t="shared" si="16"/>
        <v>43586</v>
      </c>
      <c r="L48" s="1572">
        <f t="shared" si="16"/>
        <v>43556</v>
      </c>
      <c r="M48" s="1572">
        <f t="shared" si="16"/>
        <v>43525</v>
      </c>
      <c r="N48" s="1572">
        <f t="shared" si="16"/>
        <v>43497</v>
      </c>
      <c r="O48" s="1572">
        <f t="shared" si="16"/>
        <v>43466</v>
      </c>
      <c r="P48" s="1435"/>
      <c r="Q48" s="1436"/>
      <c r="R48" s="1436"/>
      <c r="S48" s="1436"/>
      <c r="T48" s="1436"/>
      <c r="U48" s="1436"/>
      <c r="V48" s="1436"/>
      <c r="W48" s="1436"/>
      <c r="X48" s="1436"/>
      <c r="Y48" s="1436"/>
      <c r="Z48" s="1436"/>
      <c r="AA48" s="1436"/>
      <c r="AB48" s="1436"/>
      <c r="AC48" s="1436"/>
    </row>
    <row r="49" spans="1:29" s="114" customFormat="1" ht="15">
      <c r="A49" s="506"/>
      <c r="B49" s="507"/>
      <c r="C49" s="1563">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4" customFormat="1" ht="15.75" thickBot="1">
      <c r="A50" s="512" t="s">
        <v>2557</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4" customFormat="1" ht="15">
      <c r="A51" s="518" t="s">
        <v>2522</v>
      </c>
      <c r="B51" s="507"/>
      <c r="C51" s="519" t="s">
        <v>2624</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4" customFormat="1" ht="15.75"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c r="A53" s="524" t="s">
        <v>2560</v>
      </c>
      <c r="B53" s="525" t="s">
        <v>2526</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7.75" thickTop="1">
      <c r="A55" s="531"/>
      <c r="B55" s="535" t="s">
        <v>2529</v>
      </c>
      <c r="C55" s="536" t="s">
        <v>2561</v>
      </c>
      <c r="D55" s="536" t="s">
        <v>2562</v>
      </c>
      <c r="E55" s="536" t="s">
        <v>2563</v>
      </c>
      <c r="F55" s="536" t="s">
        <v>2564</v>
      </c>
      <c r="G55" s="536" t="s">
        <v>2565</v>
      </c>
      <c r="H55" s="536" t="s">
        <v>2566</v>
      </c>
      <c r="I55" s="536" t="s">
        <v>2567</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5.75" thickBot="1">
      <c r="A56" s="531"/>
      <c r="B56" s="540"/>
      <c r="C56" s="541" t="s">
        <v>21</v>
      </c>
      <c r="D56" s="541" t="s">
        <v>22</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5.75"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5.75"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5.75"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2531</v>
      </c>
      <c r="B63" s="525" t="s">
        <v>2574</v>
      </c>
      <c r="C63" s="570" t="s">
        <v>2569</v>
      </c>
      <c r="D63" s="570" t="s">
        <v>2570</v>
      </c>
      <c r="E63" s="570" t="s">
        <v>2571</v>
      </c>
      <c r="F63" s="570" t="s">
        <v>2572</v>
      </c>
      <c r="G63" s="570" t="s">
        <v>2573</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75" thickTop="1">
      <c r="A65" s="531"/>
      <c r="B65" s="535" t="s">
        <v>2575</v>
      </c>
      <c r="C65" s="575" t="s">
        <v>2569</v>
      </c>
      <c r="D65" s="575" t="s">
        <v>2570</v>
      </c>
      <c r="E65" s="575" t="s">
        <v>2571</v>
      </c>
      <c r="F65" s="575" t="s">
        <v>2572</v>
      </c>
      <c r="G65" s="575" t="s">
        <v>2573</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75" thickTop="1">
      <c r="A67" s="531"/>
      <c r="B67" s="543" t="s">
        <v>2661</v>
      </c>
      <c r="C67" s="657" t="s">
        <v>2647</v>
      </c>
      <c r="D67" s="657" t="s">
        <v>2648</v>
      </c>
      <c r="E67" s="657" t="s">
        <v>2649</v>
      </c>
      <c r="F67" s="657" t="s">
        <v>2650</v>
      </c>
      <c r="G67" s="657" t="s">
        <v>2651</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75" thickTop="1">
      <c r="A69" s="531"/>
      <c r="B69" s="535" t="s">
        <v>2581</v>
      </c>
      <c r="C69" s="575" t="s">
        <v>2569</v>
      </c>
      <c r="D69" s="575" t="s">
        <v>2570</v>
      </c>
      <c r="E69" s="575" t="s">
        <v>2571</v>
      </c>
      <c r="F69" s="575" t="s">
        <v>2572</v>
      </c>
      <c r="G69" s="575" t="s">
        <v>2573</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75" thickTop="1">
      <c r="A71" s="531"/>
      <c r="B71" s="535" t="s">
        <v>2701</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4" customFormat="1" ht="15.75"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4" customFormat="1" ht="15.75"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4" customFormat="1" ht="15.75"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4" customFormat="1" ht="15.75"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5.75"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5.75"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7.75" thickTop="1">
      <c r="A79" s="524" t="s">
        <v>2535</v>
      </c>
      <c r="B79" s="525" t="s">
        <v>2702</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1"/>
      <c r="B81" s="535" t="s">
        <v>2703</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2588</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2704</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2705</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2706</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5.75"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2707</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2708</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5.75"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5"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2679</v>
      </c>
      <c r="B1" s="1616"/>
      <c r="C1" s="1617" t="s">
        <v>2502</v>
      </c>
      <c r="D1" s="1618"/>
      <c r="E1" s="1627"/>
      <c r="F1" s="2581"/>
      <c r="G1" s="1628" t="s">
        <v>2615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2302</v>
      </c>
      <c r="B2" s="1415" t="e">
        <f ca="1">IF(C2="——",ROUND(C37*D3/10000,0),ROUND(C37*D3/10000,0)-D2)</f>
        <v>#DIV/0!</v>
      </c>
      <c r="C2" s="2583"/>
      <c r="D2" s="1121" t="e">
        <f ca="1">SUMIF(INDIRECT("'"&amp;F2&amp;"'"&amp;"!A:A"),"承租人权益价值",INDIRECT("'"&amp;F2&amp;"'"&amp;"!c:c"))</f>
        <v>#REF!</v>
      </c>
      <c r="E2" s="2584" t="s">
        <v>2303</v>
      </c>
      <c r="F2" s="2585"/>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2304</v>
      </c>
      <c r="B3" s="606" t="e">
        <f ca="1">IF(C2="——",C37,ROUND(B2*10000/D3,0))</f>
        <v>#DIV/0!</v>
      </c>
      <c r="C3" s="397" t="s">
        <v>2616</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2617</v>
      </c>
      <c r="B4" s="399"/>
      <c r="C4" s="3220" t="s">
        <v>2618</v>
      </c>
      <c r="D4" s="3221"/>
      <c r="E4" s="3222" t="s">
        <v>2619</v>
      </c>
      <c r="F4" s="3223"/>
      <c r="G4" s="3220" t="s">
        <v>2620</v>
      </c>
      <c r="H4" s="3221"/>
      <c r="I4" s="3220" t="s">
        <v>2621</v>
      </c>
      <c r="J4" s="3221"/>
      <c r="K4" s="607" t="s">
        <v>2622</v>
      </c>
      <c r="L4" s="1127"/>
      <c r="M4" s="1128"/>
      <c r="N4" s="1128"/>
      <c r="O4" s="1128"/>
      <c r="P4" s="3224" t="s">
        <v>2623</v>
      </c>
      <c r="Q4" s="3225"/>
      <c r="R4" s="3230" t="s">
        <v>2619</v>
      </c>
      <c r="S4" s="3231"/>
      <c r="T4" s="3230" t="s">
        <v>2620</v>
      </c>
      <c r="U4" s="3231"/>
      <c r="V4" s="3236" t="s">
        <v>2621</v>
      </c>
      <c r="W4" s="3236"/>
      <c r="X4" s="1810"/>
      <c r="Y4" s="3230" t="s">
        <v>2623</v>
      </c>
      <c r="Z4" s="3231"/>
      <c r="AA4" s="3217" t="s">
        <v>2619</v>
      </c>
      <c r="AB4" s="3218" t="s">
        <v>2620</v>
      </c>
      <c r="AC4" s="3217" t="s">
        <v>2621</v>
      </c>
    </row>
    <row r="5" spans="1:29" ht="15">
      <c r="A5" s="401"/>
      <c r="B5" s="402"/>
      <c r="C5" s="3239" t="s">
        <v>2514</v>
      </c>
      <c r="D5" s="3240"/>
      <c r="E5" s="3246" t="s">
        <v>2515</v>
      </c>
      <c r="F5" s="3247"/>
      <c r="G5" s="3239" t="s">
        <v>2516</v>
      </c>
      <c r="H5" s="3240"/>
      <c r="I5" s="3239" t="s">
        <v>2517</v>
      </c>
      <c r="J5" s="3240"/>
      <c r="K5" s="607"/>
      <c r="L5" s="1127"/>
      <c r="M5" s="1128"/>
      <c r="N5" s="1128"/>
      <c r="O5" s="1128"/>
      <c r="P5" s="3226"/>
      <c r="Q5" s="3227"/>
      <c r="R5" s="3232"/>
      <c r="S5" s="3233"/>
      <c r="T5" s="3232"/>
      <c r="U5" s="3233"/>
      <c r="V5" s="3236"/>
      <c r="W5" s="3236"/>
      <c r="X5" s="1810"/>
      <c r="Y5" s="3232"/>
      <c r="Z5" s="3233"/>
      <c r="AA5" s="3218"/>
      <c r="AB5" s="3218"/>
      <c r="AC5" s="3218"/>
    </row>
    <row r="6" spans="1:29" ht="15.75" thickBot="1">
      <c r="A6" s="403"/>
      <c r="B6" s="404"/>
      <c r="C6" s="3237" t="s">
        <v>2518</v>
      </c>
      <c r="D6" s="3238"/>
      <c r="E6" s="3244" t="s">
        <v>2518</v>
      </c>
      <c r="F6" s="3245"/>
      <c r="G6" s="3237" t="s">
        <v>2518</v>
      </c>
      <c r="H6" s="3238"/>
      <c r="I6" s="3237" t="s">
        <v>2518</v>
      </c>
      <c r="J6" s="3238"/>
      <c r="K6" s="607" t="s">
        <v>2519</v>
      </c>
      <c r="L6" s="1127"/>
      <c r="M6" s="1128"/>
      <c r="N6" s="1128"/>
      <c r="O6" s="1128"/>
      <c r="P6" s="3228"/>
      <c r="Q6" s="3229"/>
      <c r="R6" s="3232"/>
      <c r="S6" s="3233"/>
      <c r="T6" s="3234"/>
      <c r="U6" s="3235"/>
      <c r="V6" s="3236"/>
      <c r="W6" s="3236"/>
      <c r="X6" s="1810"/>
      <c r="Y6" s="3234"/>
      <c r="Z6" s="3235"/>
      <c r="AA6" s="3219"/>
      <c r="AB6" s="3219"/>
      <c r="AC6" s="3219"/>
    </row>
    <row r="7" spans="1:29" s="114" customFormat="1" ht="15.75" thickBot="1">
      <c r="A7" s="405" t="s">
        <v>2520</v>
      </c>
      <c r="B7" s="406"/>
      <c r="C7" s="407">
        <f>'数据-取费表'!B2</f>
        <v>43832</v>
      </c>
      <c r="D7" s="408">
        <v>100</v>
      </c>
      <c r="E7" s="409"/>
      <c r="F7" s="410">
        <f>SUMIF(46:46,YEAR(E7)&amp;"-"&amp;MONTH(E7),47:47)</f>
        <v>0</v>
      </c>
      <c r="G7" s="2693"/>
      <c r="H7" s="408">
        <f>SUMIF(46:46,YEAR(G7)&amp;"-"&amp;MONTH(G7),47:47)</f>
        <v>0</v>
      </c>
      <c r="I7" s="409"/>
      <c r="J7" s="408">
        <f>SUMIF(46:46,YEAR(I7)&amp;"-"&amp;MONTH(I7),47:47)</f>
        <v>0</v>
      </c>
      <c r="K7" s="608"/>
      <c r="L7" s="1129"/>
      <c r="M7" s="1130"/>
      <c r="N7" s="1130"/>
      <c r="O7" s="1130"/>
      <c r="P7" s="3241" t="s">
        <v>2521</v>
      </c>
      <c r="Q7" s="3243"/>
      <c r="R7" s="767" t="s">
        <v>14</v>
      </c>
      <c r="S7" s="768">
        <f t="shared" ref="S7:S14" si="0">F7</f>
        <v>0</v>
      </c>
      <c r="T7" s="767" t="s">
        <v>14</v>
      </c>
      <c r="U7" s="768">
        <f t="shared" ref="U7:U14" si="1">H7</f>
        <v>0</v>
      </c>
      <c r="V7" s="767" t="s">
        <v>14</v>
      </c>
      <c r="W7" s="768">
        <f t="shared" ref="W7:W14" si="2">J7</f>
        <v>0</v>
      </c>
      <c r="X7" s="769"/>
      <c r="Y7" s="3241" t="s">
        <v>2521</v>
      </c>
      <c r="Z7" s="3242"/>
      <c r="AA7" s="770" t="e">
        <f>D7/F7</f>
        <v>#DIV/0!</v>
      </c>
      <c r="AB7" s="770" t="e">
        <f>D7/H7</f>
        <v>#DIV/0!</v>
      </c>
      <c r="AC7" s="770" t="e">
        <f>D7/J7</f>
        <v>#DIV/0!</v>
      </c>
    </row>
    <row r="8" spans="1:29" s="114" customFormat="1" ht="15.75" thickBot="1">
      <c r="A8" s="405" t="s">
        <v>2522</v>
      </c>
      <c r="B8" s="406"/>
      <c r="C8" s="411" t="s">
        <v>2624</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241" t="s">
        <v>2524</v>
      </c>
      <c r="Q8" s="3242"/>
      <c r="R8" s="767" t="s">
        <v>14</v>
      </c>
      <c r="S8" s="768">
        <f t="shared" si="0"/>
        <v>0</v>
      </c>
      <c r="T8" s="767" t="s">
        <v>14</v>
      </c>
      <c r="U8" s="768">
        <f t="shared" si="1"/>
        <v>0</v>
      </c>
      <c r="V8" s="767" t="s">
        <v>14</v>
      </c>
      <c r="W8" s="768">
        <f t="shared" si="2"/>
        <v>0</v>
      </c>
      <c r="X8" s="769"/>
      <c r="Y8" s="3241" t="s">
        <v>2524</v>
      </c>
      <c r="Z8" s="3242"/>
      <c r="AA8" s="770" t="e">
        <f t="shared" ref="AA8:AA34" si="3">D8/F8</f>
        <v>#DIV/0!</v>
      </c>
      <c r="AB8" s="770" t="e">
        <f t="shared" ref="AB8:AB34" si="4">D8/H8</f>
        <v>#DIV/0!</v>
      </c>
      <c r="AC8" s="770" t="e">
        <f t="shared" ref="AC8:AC34" si="5">D8/J8</f>
        <v>#DIV/0!</v>
      </c>
    </row>
    <row r="9" spans="1:29" s="114" customFormat="1">
      <c r="A9" s="412" t="s">
        <v>2525</v>
      </c>
      <c r="B9" s="68" t="s">
        <v>2526</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205" t="s">
        <v>2527</v>
      </c>
      <c r="Q9" s="1792" t="str">
        <f t="shared" ref="Q9:Q14" si="6">B9</f>
        <v>用途</v>
      </c>
      <c r="R9" s="767" t="s">
        <v>14</v>
      </c>
      <c r="S9" s="768">
        <f t="shared" si="0"/>
        <v>100</v>
      </c>
      <c r="T9" s="767" t="s">
        <v>14</v>
      </c>
      <c r="U9" s="768">
        <f t="shared" si="1"/>
        <v>100</v>
      </c>
      <c r="V9" s="767" t="s">
        <v>14</v>
      </c>
      <c r="W9" s="768">
        <f t="shared" si="2"/>
        <v>100</v>
      </c>
      <c r="X9" s="769"/>
      <c r="Y9" s="3005" t="s">
        <v>2528</v>
      </c>
      <c r="Z9" s="52" t="str">
        <f t="shared" ref="Z9:Z14" si="7">Q9</f>
        <v>用途</v>
      </c>
      <c r="AA9" s="770">
        <f t="shared" si="3"/>
        <v>1</v>
      </c>
      <c r="AB9" s="770">
        <f t="shared" si="4"/>
        <v>1</v>
      </c>
      <c r="AC9" s="770">
        <f t="shared" si="5"/>
        <v>1</v>
      </c>
    </row>
    <row r="10" spans="1:29" s="424" customFormat="1" ht="27">
      <c r="A10" s="418"/>
      <c r="B10" s="419" t="s">
        <v>2529</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205"/>
      <c r="Q10" s="1792" t="str">
        <f t="shared" si="6"/>
        <v>土地使用年限（年）</v>
      </c>
      <c r="R10" s="767" t="s">
        <v>14</v>
      </c>
      <c r="S10" s="768">
        <f t="shared" si="0"/>
        <v>100</v>
      </c>
      <c r="T10" s="767" t="s">
        <v>14</v>
      </c>
      <c r="U10" s="768">
        <f t="shared" si="1"/>
        <v>100</v>
      </c>
      <c r="V10" s="767" t="s">
        <v>14</v>
      </c>
      <c r="W10" s="768">
        <f t="shared" si="2"/>
        <v>100</v>
      </c>
      <c r="X10" s="769"/>
      <c r="Y10" s="3005"/>
      <c r="Z10" s="52"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205"/>
      <c r="Q11" s="1792">
        <f t="shared" si="6"/>
        <v>111</v>
      </c>
      <c r="R11" s="767" t="s">
        <v>14</v>
      </c>
      <c r="S11" s="768">
        <f t="shared" si="0"/>
        <v>100</v>
      </c>
      <c r="T11" s="767" t="s">
        <v>14</v>
      </c>
      <c r="U11" s="768">
        <f t="shared" si="1"/>
        <v>100</v>
      </c>
      <c r="V11" s="767" t="s">
        <v>14</v>
      </c>
      <c r="W11" s="768">
        <f t="shared" si="2"/>
        <v>100</v>
      </c>
      <c r="X11" s="769"/>
      <c r="Y11" s="3005"/>
      <c r="Z11" s="52">
        <f t="shared" si="7"/>
        <v>111</v>
      </c>
      <c r="AA11" s="770">
        <f t="shared" si="3"/>
        <v>1</v>
      </c>
      <c r="AB11" s="770">
        <f t="shared" si="4"/>
        <v>1</v>
      </c>
      <c r="AC11" s="770">
        <f t="shared" si="5"/>
        <v>1</v>
      </c>
    </row>
    <row r="12" spans="1:29" s="114"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205"/>
      <c r="Q12" s="1792">
        <f t="shared" si="6"/>
        <v>111</v>
      </c>
      <c r="R12" s="767" t="s">
        <v>14</v>
      </c>
      <c r="S12" s="768">
        <f t="shared" si="0"/>
        <v>100</v>
      </c>
      <c r="T12" s="767" t="s">
        <v>14</v>
      </c>
      <c r="U12" s="768">
        <f t="shared" si="1"/>
        <v>100</v>
      </c>
      <c r="V12" s="767" t="s">
        <v>14</v>
      </c>
      <c r="W12" s="768">
        <f t="shared" si="2"/>
        <v>100</v>
      </c>
      <c r="X12" s="769"/>
      <c r="Y12" s="3005"/>
      <c r="Z12" s="52">
        <f t="shared" si="7"/>
        <v>111</v>
      </c>
      <c r="AA12" s="770">
        <f>D12/F12</f>
        <v>1</v>
      </c>
      <c r="AB12" s="770">
        <f>D12/H12</f>
        <v>1</v>
      </c>
      <c r="AC12" s="770">
        <f>D12/J12</f>
        <v>1</v>
      </c>
    </row>
    <row r="13" spans="1:29" ht="15.75"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7"/>
      <c r="M13" s="1128"/>
      <c r="N13" s="1128"/>
      <c r="O13" s="1136"/>
      <c r="P13" s="3205"/>
      <c r="Q13" s="1792">
        <f t="shared" si="6"/>
        <v>111</v>
      </c>
      <c r="R13" s="767" t="s">
        <v>14</v>
      </c>
      <c r="S13" s="768">
        <f t="shared" si="0"/>
        <v>100</v>
      </c>
      <c r="T13" s="767" t="s">
        <v>14</v>
      </c>
      <c r="U13" s="768">
        <f t="shared" si="1"/>
        <v>100</v>
      </c>
      <c r="V13" s="767" t="s">
        <v>14</v>
      </c>
      <c r="W13" s="768">
        <f t="shared" si="2"/>
        <v>100</v>
      </c>
      <c r="X13" s="769"/>
      <c r="Y13" s="3005"/>
      <c r="Z13" s="52">
        <f t="shared" si="7"/>
        <v>111</v>
      </c>
      <c r="AA13" s="770">
        <f t="shared" si="3"/>
        <v>1</v>
      </c>
      <c r="AB13" s="770">
        <f t="shared" si="4"/>
        <v>1</v>
      </c>
      <c r="AC13" s="770">
        <f t="shared" si="5"/>
        <v>1</v>
      </c>
    </row>
    <row r="14" spans="1:29" ht="85.5">
      <c r="A14" s="437" t="s">
        <v>2531</v>
      </c>
      <c r="B14" s="66" t="s">
        <v>2681</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07" t="s">
        <v>2532</v>
      </c>
      <c r="Q14" s="1807" t="str">
        <f t="shared" si="6"/>
        <v>交通便捷度</v>
      </c>
      <c r="R14" s="771" t="s">
        <v>14</v>
      </c>
      <c r="S14" s="772">
        <f t="shared" si="0"/>
        <v>100</v>
      </c>
      <c r="T14" s="771" t="s">
        <v>14</v>
      </c>
      <c r="U14" s="772">
        <f t="shared" si="1"/>
        <v>100</v>
      </c>
      <c r="V14" s="771" t="s">
        <v>14</v>
      </c>
      <c r="W14" s="772">
        <f t="shared" si="2"/>
        <v>100</v>
      </c>
      <c r="X14" s="1810"/>
      <c r="Y14" s="3207" t="s">
        <v>2532</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2"/>
      <c r="L15" s="1137"/>
      <c r="M15" s="1128"/>
      <c r="N15" s="1128"/>
      <c r="O15" s="1136"/>
      <c r="P15" s="3208"/>
      <c r="Q15" s="1807"/>
      <c r="R15" s="771"/>
      <c r="S15" s="772"/>
      <c r="T15" s="771"/>
      <c r="U15" s="772"/>
      <c r="V15" s="771"/>
      <c r="W15" s="772"/>
      <c r="X15" s="1810"/>
      <c r="Y15" s="3208"/>
      <c r="Z15" s="1811"/>
      <c r="AA15" s="1808">
        <v>1</v>
      </c>
      <c r="AB15" s="1808">
        <v>1</v>
      </c>
      <c r="AC15" s="1808">
        <v>1</v>
      </c>
    </row>
    <row r="16" spans="1:29" ht="42.75">
      <c r="A16" s="425"/>
      <c r="B16" s="448" t="s">
        <v>2660</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08"/>
      <c r="Q16" s="1807" t="str">
        <f>B16</f>
        <v>公共配套设施</v>
      </c>
      <c r="R16" s="771" t="s">
        <v>14</v>
      </c>
      <c r="S16" s="772">
        <f>F16</f>
        <v>100</v>
      </c>
      <c r="T16" s="771" t="s">
        <v>14</v>
      </c>
      <c r="U16" s="772">
        <f>H16</f>
        <v>100</v>
      </c>
      <c r="V16" s="771" t="s">
        <v>14</v>
      </c>
      <c r="W16" s="772">
        <f>J16</f>
        <v>100</v>
      </c>
      <c r="X16" s="1810"/>
      <c r="Y16" s="3208"/>
      <c r="Z16" s="1811" t="str">
        <f>Q16</f>
        <v>公共配套设施</v>
      </c>
      <c r="AA16" s="1808">
        <f t="shared" si="3"/>
        <v>1</v>
      </c>
      <c r="AB16" s="1808">
        <f t="shared" si="4"/>
        <v>1</v>
      </c>
      <c r="AC16" s="1808">
        <f t="shared" si="5"/>
        <v>1</v>
      </c>
    </row>
    <row r="17" spans="1:29" ht="15">
      <c r="A17" s="425"/>
      <c r="B17" s="453"/>
      <c r="C17" s="2605"/>
      <c r="D17" s="445"/>
      <c r="E17" s="444"/>
      <c r="F17" s="446"/>
      <c r="G17" s="444"/>
      <c r="H17" s="445"/>
      <c r="I17" s="444"/>
      <c r="J17" s="445"/>
      <c r="K17" s="612"/>
      <c r="L17" s="1137"/>
      <c r="M17" s="1128"/>
      <c r="N17" s="1128"/>
      <c r="O17" s="1136"/>
      <c r="P17" s="3208"/>
      <c r="Q17" s="1807"/>
      <c r="R17" s="771"/>
      <c r="S17" s="772"/>
      <c r="T17" s="771"/>
      <c r="U17" s="772"/>
      <c r="V17" s="771"/>
      <c r="W17" s="772"/>
      <c r="X17" s="1810"/>
      <c r="Y17" s="3208"/>
      <c r="Z17" s="1811"/>
      <c r="AA17" s="1808">
        <v>1</v>
      </c>
      <c r="AB17" s="1808">
        <v>1</v>
      </c>
      <c r="AC17" s="1808">
        <v>1</v>
      </c>
    </row>
    <row r="18" spans="1:29" ht="28.5">
      <c r="A18" s="425"/>
      <c r="B18" s="1381" t="s">
        <v>2661</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08"/>
      <c r="Q18" s="1807" t="str">
        <f>B18</f>
        <v>基础设施水平</v>
      </c>
      <c r="R18" s="771" t="s">
        <v>14</v>
      </c>
      <c r="S18" s="772">
        <f>F18</f>
        <v>100</v>
      </c>
      <c r="T18" s="771" t="s">
        <v>14</v>
      </c>
      <c r="U18" s="772">
        <f>H18</f>
        <v>100</v>
      </c>
      <c r="V18" s="771" t="s">
        <v>14</v>
      </c>
      <c r="W18" s="772">
        <f>J18</f>
        <v>100</v>
      </c>
      <c r="X18" s="1810"/>
      <c r="Y18" s="3208"/>
      <c r="Z18" s="1811" t="str">
        <f>Q18</f>
        <v>基础设施水平</v>
      </c>
      <c r="AA18" s="1808">
        <f t="shared" ref="AA18" si="8">D18/F18</f>
        <v>1</v>
      </c>
      <c r="AB18" s="1808">
        <f t="shared" ref="AB18" si="9">D18/H18</f>
        <v>1</v>
      </c>
      <c r="AC18" s="1808">
        <f t="shared" ref="AC18" si="10">D18/J18</f>
        <v>1</v>
      </c>
    </row>
    <row r="19" spans="1:29" ht="15">
      <c r="A19" s="425"/>
      <c r="B19" s="1381"/>
      <c r="C19" s="2605"/>
      <c r="D19" s="447"/>
      <c r="E19" s="2605"/>
      <c r="F19" s="450"/>
      <c r="G19" s="2605"/>
      <c r="H19" s="445"/>
      <c r="I19" s="444"/>
      <c r="J19" s="445"/>
      <c r="K19" s="1380"/>
      <c r="L19" s="1137"/>
      <c r="M19" s="1128"/>
      <c r="N19" s="1128"/>
      <c r="O19" s="1136"/>
      <c r="P19" s="3208"/>
      <c r="Q19" s="1807"/>
      <c r="R19" s="771"/>
      <c r="S19" s="772"/>
      <c r="T19" s="771"/>
      <c r="U19" s="772"/>
      <c r="V19" s="771"/>
      <c r="W19" s="772"/>
      <c r="X19" s="1810"/>
      <c r="Y19" s="3208"/>
      <c r="Z19" s="1811"/>
      <c r="AA19" s="1808">
        <v>1</v>
      </c>
      <c r="AB19" s="1808">
        <v>1</v>
      </c>
      <c r="AC19" s="1808">
        <v>1</v>
      </c>
    </row>
    <row r="20" spans="1:29" ht="57">
      <c r="A20" s="425"/>
      <c r="B20" s="448" t="s">
        <v>2682</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08"/>
      <c r="Q20" s="1807" t="str">
        <f>B20</f>
        <v>自然及人文环境</v>
      </c>
      <c r="R20" s="771" t="s">
        <v>14</v>
      </c>
      <c r="S20" s="772">
        <f>F20</f>
        <v>100</v>
      </c>
      <c r="T20" s="771" t="s">
        <v>14</v>
      </c>
      <c r="U20" s="772">
        <f>H20</f>
        <v>100</v>
      </c>
      <c r="V20" s="771" t="s">
        <v>14</v>
      </c>
      <c r="W20" s="772">
        <f>J20</f>
        <v>100</v>
      </c>
      <c r="X20" s="1810"/>
      <c r="Y20" s="3208"/>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2"/>
      <c r="L21" s="1137"/>
      <c r="M21" s="1128"/>
      <c r="N21" s="1128"/>
      <c r="O21" s="1136"/>
      <c r="P21" s="3208"/>
      <c r="Q21" s="1807"/>
      <c r="R21" s="771"/>
      <c r="S21" s="772"/>
      <c r="T21" s="771"/>
      <c r="U21" s="772"/>
      <c r="V21" s="771"/>
      <c r="W21" s="772"/>
      <c r="X21" s="1810"/>
      <c r="Y21" s="3208"/>
      <c r="Z21" s="1811"/>
      <c r="AA21" s="1808">
        <v>1</v>
      </c>
      <c r="AB21" s="1808">
        <v>1</v>
      </c>
      <c r="AC21" s="1808">
        <v>1</v>
      </c>
    </row>
    <row r="22" spans="1:29" ht="15">
      <c r="A22" s="425"/>
      <c r="B22" s="448" t="s">
        <v>2683</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08"/>
      <c r="Q22" s="1807" t="str">
        <f>B22</f>
        <v>楼层</v>
      </c>
      <c r="R22" s="771" t="s">
        <v>14</v>
      </c>
      <c r="S22" s="772">
        <f>F22</f>
        <v>100</v>
      </c>
      <c r="T22" s="771" t="s">
        <v>14</v>
      </c>
      <c r="U22" s="772">
        <f>H22</f>
        <v>100</v>
      </c>
      <c r="V22" s="771" t="s">
        <v>14</v>
      </c>
      <c r="W22" s="772">
        <f>J22</f>
        <v>100</v>
      </c>
      <c r="X22" s="1810"/>
      <c r="Y22" s="3208"/>
      <c r="Z22" s="1811" t="str">
        <f>Q22</f>
        <v>楼层</v>
      </c>
      <c r="AA22" s="1808">
        <f t="shared" si="3"/>
        <v>1</v>
      </c>
      <c r="AB22" s="1808">
        <f t="shared" si="4"/>
        <v>1</v>
      </c>
      <c r="AC22" s="1808">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08"/>
      <c r="Q23" s="1807">
        <f>B23</f>
        <v>111</v>
      </c>
      <c r="R23" s="771" t="s">
        <v>14</v>
      </c>
      <c r="S23" s="772">
        <f>F23</f>
        <v>100</v>
      </c>
      <c r="T23" s="771" t="s">
        <v>14</v>
      </c>
      <c r="U23" s="772">
        <f>H23</f>
        <v>100</v>
      </c>
      <c r="V23" s="771" t="s">
        <v>14</v>
      </c>
      <c r="W23" s="772">
        <f>J23</f>
        <v>100</v>
      </c>
      <c r="X23" s="1810"/>
      <c r="Y23" s="3208"/>
      <c r="Z23" s="1811">
        <f>Q23</f>
        <v>111</v>
      </c>
      <c r="AA23" s="1808">
        <f t="shared" si="3"/>
        <v>1</v>
      </c>
      <c r="AB23" s="1808">
        <f t="shared" si="4"/>
        <v>1</v>
      </c>
      <c r="AC23" s="1808">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08"/>
      <c r="Q24" s="1807">
        <f t="shared" ref="Q24:Q34" si="11">B24</f>
        <v>111</v>
      </c>
      <c r="R24" s="771" t="s">
        <v>14</v>
      </c>
      <c r="S24" s="772">
        <f>F24</f>
        <v>100</v>
      </c>
      <c r="T24" s="771" t="s">
        <v>14</v>
      </c>
      <c r="U24" s="772">
        <f>H24</f>
        <v>100</v>
      </c>
      <c r="V24" s="771" t="s">
        <v>14</v>
      </c>
      <c r="W24" s="772">
        <f>J24</f>
        <v>100</v>
      </c>
      <c r="X24" s="1810"/>
      <c r="Y24" s="3208"/>
      <c r="Z24" s="1811">
        <f>Q24</f>
        <v>111</v>
      </c>
      <c r="AA24" s="1808">
        <f t="shared" si="3"/>
        <v>1</v>
      </c>
      <c r="AB24" s="1808">
        <f t="shared" si="4"/>
        <v>1</v>
      </c>
      <c r="AC24" s="1808">
        <f t="shared" si="5"/>
        <v>1</v>
      </c>
    </row>
    <row r="25" spans="1:29" s="114" customFormat="1" ht="15.75"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9"/>
      <c r="M25" s="1130"/>
      <c r="N25" s="1130"/>
      <c r="O25" s="1131"/>
      <c r="P25" s="3208"/>
      <c r="Q25" s="1792">
        <f t="shared" si="11"/>
        <v>111</v>
      </c>
      <c r="R25" s="767" t="s">
        <v>14</v>
      </c>
      <c r="S25" s="768">
        <f>F25</f>
        <v>100</v>
      </c>
      <c r="T25" s="767" t="s">
        <v>14</v>
      </c>
      <c r="U25" s="768">
        <f>H25</f>
        <v>100</v>
      </c>
      <c r="V25" s="767" t="s">
        <v>14</v>
      </c>
      <c r="W25" s="768">
        <f>J25</f>
        <v>100</v>
      </c>
      <c r="X25" s="769"/>
      <c r="Y25" s="3208"/>
      <c r="Z25" s="52">
        <f>Q25</f>
        <v>111</v>
      </c>
      <c r="AA25" s="1808">
        <f>D25/F25</f>
        <v>1</v>
      </c>
      <c r="AB25" s="1808">
        <f>D25/H25</f>
        <v>1</v>
      </c>
      <c r="AC25" s="1808">
        <f>D25/J25</f>
        <v>1</v>
      </c>
    </row>
    <row r="26" spans="1:29" ht="28.5">
      <c r="A26" s="463" t="s">
        <v>2535</v>
      </c>
      <c r="B26" s="68" t="s">
        <v>2686</v>
      </c>
      <c r="C26" s="2676"/>
      <c r="D26" s="464">
        <v>100</v>
      </c>
      <c r="E26" s="2676"/>
      <c r="F26" s="664">
        <f>SUMIF(77:77,E26,78:78)-SUMIF(77:77,C26,78:78)+100</f>
        <v>100</v>
      </c>
      <c r="G26" s="2676"/>
      <c r="H26" s="464">
        <f>SUMIF(77:77,G26,78:78)-SUMIF(77:77,C26,78:78)+100</f>
        <v>100</v>
      </c>
      <c r="I26" s="2676"/>
      <c r="J26" s="464">
        <f>SUMIF(77:77,I26,78:78)-SUMIF(77:77,C26,78:78)+100</f>
        <v>100</v>
      </c>
      <c r="K26" s="609"/>
      <c r="L26" s="1137"/>
      <c r="M26" s="1128"/>
      <c r="N26" s="1128"/>
      <c r="O26" s="1136"/>
      <c r="P26" s="3263" t="s">
        <v>2537</v>
      </c>
      <c r="Q26" s="1807" t="str">
        <f t="shared" si="11"/>
        <v>公共部分装修</v>
      </c>
      <c r="R26" s="771" t="s">
        <v>14</v>
      </c>
      <c r="S26" s="772">
        <f t="shared" ref="S26:S34" si="12">F26</f>
        <v>100</v>
      </c>
      <c r="T26" s="771" t="s">
        <v>14</v>
      </c>
      <c r="U26" s="772">
        <f t="shared" ref="U26:U34" si="13">H26</f>
        <v>100</v>
      </c>
      <c r="V26" s="771" t="s">
        <v>14</v>
      </c>
      <c r="W26" s="772">
        <f t="shared" ref="W26:W34" si="14">J26</f>
        <v>100</v>
      </c>
      <c r="X26" s="1810"/>
      <c r="Y26" s="3212" t="s">
        <v>2537</v>
      </c>
      <c r="Z26" s="1811" t="str">
        <f t="shared" ref="Z26:Z34" si="15">Q26</f>
        <v>公共部分装修</v>
      </c>
      <c r="AA26" s="1808">
        <f t="shared" si="3"/>
        <v>1</v>
      </c>
      <c r="AB26" s="1808">
        <f t="shared" si="4"/>
        <v>1</v>
      </c>
      <c r="AC26" s="1808">
        <f t="shared" si="5"/>
        <v>1</v>
      </c>
    </row>
    <row r="27" spans="1:29" s="468" customFormat="1" ht="15">
      <c r="A27" s="465"/>
      <c r="B27" s="419" t="s">
        <v>2687</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12"/>
      <c r="Q27" s="773" t="str">
        <f t="shared" si="11"/>
        <v>成新率</v>
      </c>
      <c r="R27" s="774" t="s">
        <v>14</v>
      </c>
      <c r="S27" s="775" t="e">
        <f t="shared" si="12"/>
        <v>#N/A</v>
      </c>
      <c r="T27" s="774" t="s">
        <v>14</v>
      </c>
      <c r="U27" s="775" t="e">
        <f t="shared" si="13"/>
        <v>#N/A</v>
      </c>
      <c r="V27" s="774" t="s">
        <v>14</v>
      </c>
      <c r="W27" s="775" t="e">
        <f t="shared" si="14"/>
        <v>#N/A</v>
      </c>
      <c r="X27" s="776"/>
      <c r="Y27" s="3212"/>
      <c r="Z27" s="777" t="str">
        <f t="shared" si="15"/>
        <v>成新率</v>
      </c>
      <c r="AA27" s="1808" t="e">
        <f t="shared" si="3"/>
        <v>#N/A</v>
      </c>
      <c r="AB27" s="1808" t="e">
        <f t="shared" si="4"/>
        <v>#N/A</v>
      </c>
      <c r="AC27" s="1808" t="e">
        <f t="shared" si="5"/>
        <v>#N/A</v>
      </c>
    </row>
    <row r="28" spans="1:29" ht="15">
      <c r="A28" s="469"/>
      <c r="B28" s="419" t="s">
        <v>2688</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12"/>
      <c r="Q28" s="1807" t="str">
        <f t="shared" si="11"/>
        <v>物业等级</v>
      </c>
      <c r="R28" s="771" t="s">
        <v>14</v>
      </c>
      <c r="S28" s="772">
        <f t="shared" si="12"/>
        <v>100</v>
      </c>
      <c r="T28" s="771" t="s">
        <v>14</v>
      </c>
      <c r="U28" s="772">
        <f t="shared" si="13"/>
        <v>100</v>
      </c>
      <c r="V28" s="771" t="s">
        <v>14</v>
      </c>
      <c r="W28" s="772">
        <f t="shared" si="14"/>
        <v>100</v>
      </c>
      <c r="X28" s="1810"/>
      <c r="Y28" s="3212"/>
      <c r="Z28" s="1811" t="str">
        <f t="shared" si="15"/>
        <v>物业等级</v>
      </c>
      <c r="AA28" s="1808">
        <f t="shared" si="3"/>
        <v>1</v>
      </c>
      <c r="AB28" s="1808">
        <f t="shared" si="4"/>
        <v>1</v>
      </c>
      <c r="AC28" s="1808">
        <f t="shared" si="5"/>
        <v>1</v>
      </c>
    </row>
    <row r="29" spans="1:29" ht="15">
      <c r="A29" s="469"/>
      <c r="B29" s="419" t="s">
        <v>2709</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12"/>
      <c r="Q29" s="1807" t="str">
        <f t="shared" si="11"/>
        <v>有无电梯</v>
      </c>
      <c r="R29" s="771" t="s">
        <v>14</v>
      </c>
      <c r="S29" s="772">
        <f t="shared" si="12"/>
        <v>100</v>
      </c>
      <c r="T29" s="771" t="s">
        <v>14</v>
      </c>
      <c r="U29" s="772">
        <f t="shared" si="13"/>
        <v>100</v>
      </c>
      <c r="V29" s="771" t="s">
        <v>14</v>
      </c>
      <c r="W29" s="772">
        <f t="shared" si="14"/>
        <v>100</v>
      </c>
      <c r="X29" s="1810"/>
      <c r="Y29" s="3212"/>
      <c r="Z29" s="1811" t="str">
        <f t="shared" si="15"/>
        <v>有无电梯</v>
      </c>
      <c r="AA29" s="1808">
        <f t="shared" si="3"/>
        <v>1</v>
      </c>
      <c r="AB29" s="1808">
        <f t="shared" si="4"/>
        <v>1</v>
      </c>
      <c r="AC29" s="1808">
        <f t="shared" si="5"/>
        <v>1</v>
      </c>
    </row>
    <row r="30" spans="1:29" ht="15">
      <c r="A30" s="469"/>
      <c r="B30" s="419" t="s">
        <v>2710</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12"/>
      <c r="Q30" s="1807" t="str">
        <f t="shared" si="11"/>
        <v>建筑面积</v>
      </c>
      <c r="R30" s="771" t="s">
        <v>14</v>
      </c>
      <c r="S30" s="772" t="e">
        <f t="shared" si="12"/>
        <v>#N/A</v>
      </c>
      <c r="T30" s="771" t="s">
        <v>14</v>
      </c>
      <c r="U30" s="772" t="e">
        <f t="shared" si="13"/>
        <v>#N/A</v>
      </c>
      <c r="V30" s="771" t="s">
        <v>14</v>
      </c>
      <c r="W30" s="772" t="e">
        <f t="shared" si="14"/>
        <v>#N/A</v>
      </c>
      <c r="X30" s="1810"/>
      <c r="Y30" s="3212"/>
      <c r="Z30" s="1811" t="str">
        <f t="shared" si="15"/>
        <v>建筑面积</v>
      </c>
      <c r="AA30" s="1808" t="e">
        <f t="shared" si="3"/>
        <v>#N/A</v>
      </c>
      <c r="AB30" s="1808" t="e">
        <f t="shared" si="4"/>
        <v>#N/A</v>
      </c>
      <c r="AC30" s="1808" t="e">
        <f t="shared" si="5"/>
        <v>#N/A</v>
      </c>
    </row>
    <row r="31" spans="1:29" s="114" customFormat="1" ht="15">
      <c r="A31" s="470"/>
      <c r="B31" s="419" t="s">
        <v>2711</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12"/>
      <c r="Q31" s="1792" t="str">
        <f t="shared" si="11"/>
        <v>是否封闭</v>
      </c>
      <c r="R31" s="767" t="s">
        <v>14</v>
      </c>
      <c r="S31" s="768">
        <f t="shared" si="12"/>
        <v>100</v>
      </c>
      <c r="T31" s="767" t="s">
        <v>14</v>
      </c>
      <c r="U31" s="768">
        <f t="shared" si="13"/>
        <v>100</v>
      </c>
      <c r="V31" s="767" t="s">
        <v>14</v>
      </c>
      <c r="W31" s="768">
        <f t="shared" si="14"/>
        <v>100</v>
      </c>
      <c r="X31" s="769"/>
      <c r="Y31" s="3212"/>
      <c r="Z31" s="52"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12" t="s">
        <v>2537</v>
      </c>
      <c r="Q32" s="1807">
        <f t="shared" si="11"/>
        <v>111</v>
      </c>
      <c r="R32" s="771" t="s">
        <v>14</v>
      </c>
      <c r="S32" s="772">
        <f t="shared" si="12"/>
        <v>100</v>
      </c>
      <c r="T32" s="771" t="s">
        <v>14</v>
      </c>
      <c r="U32" s="772">
        <f t="shared" si="13"/>
        <v>100</v>
      </c>
      <c r="V32" s="771" t="s">
        <v>14</v>
      </c>
      <c r="W32" s="772">
        <f t="shared" si="14"/>
        <v>100</v>
      </c>
      <c r="X32" s="1810"/>
      <c r="Y32" s="3212" t="s">
        <v>2537</v>
      </c>
      <c r="Z32" s="1811">
        <f t="shared" si="15"/>
        <v>111</v>
      </c>
      <c r="AA32" s="1808">
        <f t="shared" si="3"/>
        <v>1</v>
      </c>
      <c r="AB32" s="1808">
        <f t="shared" si="4"/>
        <v>1</v>
      </c>
      <c r="AC32" s="1808">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12"/>
      <c r="Q33" s="1807">
        <f t="shared" si="11"/>
        <v>111</v>
      </c>
      <c r="R33" s="771" t="s">
        <v>14</v>
      </c>
      <c r="S33" s="772">
        <f t="shared" si="12"/>
        <v>100</v>
      </c>
      <c r="T33" s="771" t="s">
        <v>14</v>
      </c>
      <c r="U33" s="772">
        <f t="shared" si="13"/>
        <v>100</v>
      </c>
      <c r="V33" s="771" t="s">
        <v>14</v>
      </c>
      <c r="W33" s="772">
        <f t="shared" si="14"/>
        <v>100</v>
      </c>
      <c r="X33" s="1810"/>
      <c r="Y33" s="3212"/>
      <c r="Z33" s="1811">
        <f t="shared" si="15"/>
        <v>111</v>
      </c>
      <c r="AA33" s="1808">
        <f t="shared" si="3"/>
        <v>1</v>
      </c>
      <c r="AB33" s="1808">
        <f t="shared" si="4"/>
        <v>1</v>
      </c>
      <c r="AC33" s="1808">
        <f t="shared" si="5"/>
        <v>1</v>
      </c>
    </row>
    <row r="34" spans="1:29" ht="15.75"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7"/>
      <c r="M34" s="1128"/>
      <c r="N34" s="1128"/>
      <c r="O34" s="1136"/>
      <c r="P34" s="3212"/>
      <c r="Q34" s="1807">
        <f t="shared" si="11"/>
        <v>111</v>
      </c>
      <c r="R34" s="771" t="s">
        <v>14</v>
      </c>
      <c r="S34" s="772">
        <f t="shared" si="12"/>
        <v>100</v>
      </c>
      <c r="T34" s="771" t="s">
        <v>14</v>
      </c>
      <c r="U34" s="772">
        <f t="shared" si="13"/>
        <v>100</v>
      </c>
      <c r="V34" s="771" t="s">
        <v>14</v>
      </c>
      <c r="W34" s="772">
        <f t="shared" si="14"/>
        <v>100</v>
      </c>
      <c r="X34" s="1810"/>
      <c r="Y34" s="3212"/>
      <c r="Z34" s="1811">
        <f t="shared" si="15"/>
        <v>111</v>
      </c>
      <c r="AA34" s="1808">
        <f t="shared" si="3"/>
        <v>1</v>
      </c>
      <c r="AB34" s="1808">
        <f t="shared" si="4"/>
        <v>1</v>
      </c>
      <c r="AC34" s="1808">
        <f t="shared" si="5"/>
        <v>1</v>
      </c>
    </row>
    <row r="35" spans="1:29" ht="15">
      <c r="A35" s="476" t="s">
        <v>2549</v>
      </c>
      <c r="B35" s="477"/>
      <c r="C35" s="1404" t="s">
        <v>0</v>
      </c>
      <c r="D35" s="1405"/>
      <c r="E35" s="1406"/>
      <c r="F35" s="1407"/>
      <c r="G35" s="1408"/>
      <c r="H35" s="1409"/>
      <c r="I35" s="1406"/>
      <c r="J35" s="1409"/>
      <c r="K35" s="780"/>
      <c r="L35" s="1140"/>
      <c r="M35" s="1141"/>
      <c r="N35" s="1128"/>
      <c r="O35" s="1141"/>
      <c r="P35" s="3205" t="str">
        <f>A35</f>
        <v>成交单价（元/平方米）</v>
      </c>
      <c r="Q35" s="3205"/>
      <c r="R35" s="3206">
        <f>E35</f>
        <v>0</v>
      </c>
      <c r="S35" s="3206"/>
      <c r="T35" s="3206">
        <f>G35</f>
        <v>0</v>
      </c>
      <c r="U35" s="3206"/>
      <c r="V35" s="3206">
        <f>I35</f>
        <v>0</v>
      </c>
      <c r="W35" s="3206"/>
      <c r="X35" s="756"/>
      <c r="Y35" s="778"/>
      <c r="Z35" s="756"/>
      <c r="AA35" s="756"/>
      <c r="AB35" s="756"/>
      <c r="AC35" s="756"/>
    </row>
    <row r="36" spans="1:29" ht="15.75" thickBot="1">
      <c r="A36" s="483" t="s">
        <v>2641</v>
      </c>
      <c r="B36" s="484"/>
      <c r="C36" s="1410" t="e">
        <f>R37</f>
        <v>#DIV/0!</v>
      </c>
      <c r="D36" s="1411"/>
      <c r="E36" s="1412" t="e">
        <f>R36</f>
        <v>#DIV/0!</v>
      </c>
      <c r="F36" s="1412"/>
      <c r="G36" s="1410" t="e">
        <f>T36</f>
        <v>#DIV/0!</v>
      </c>
      <c r="H36" s="1411"/>
      <c r="I36" s="1412" t="e">
        <f>V36</f>
        <v>#DIV/0!</v>
      </c>
      <c r="J36" s="1411"/>
      <c r="K36" s="781"/>
      <c r="L36" s="1140"/>
      <c r="M36" s="1141"/>
      <c r="N36" s="1128"/>
      <c r="O36" s="1141"/>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6"/>
      <c r="Y36" s="756"/>
      <c r="Z36" s="756"/>
      <c r="AA36" s="756"/>
      <c r="AB36" s="756"/>
      <c r="AC36" s="756"/>
    </row>
    <row r="37" spans="1:29" ht="15.75" thickBot="1">
      <c r="A37" s="489" t="s">
        <v>2642</v>
      </c>
      <c r="B37" s="490"/>
      <c r="C37" s="1414" t="e">
        <f>R37</f>
        <v>#DIV/0!</v>
      </c>
      <c r="D37" s="1414"/>
      <c r="E37" s="1414"/>
      <c r="F37" s="1414"/>
      <c r="G37" s="1414"/>
      <c r="H37" s="1414"/>
      <c r="I37" s="1414"/>
      <c r="J37" s="1414"/>
      <c r="K37" s="782"/>
      <c r="L37" s="1140"/>
      <c r="M37" s="1141"/>
      <c r="N37" s="1141"/>
      <c r="O37" s="1141"/>
      <c r="P37" s="3202" t="str">
        <f>A37</f>
        <v>估价对象XX用房的比较价值（楼面单价，元/平方米）</v>
      </c>
      <c r="Q37" s="3203"/>
      <c r="R37" s="3204" t="e">
        <f>IF(F1="售价",ROUND(AVERAGE(R36:V36),0),ROUND(AVERAGE(R36:V36),1))</f>
        <v>#DIV/0!</v>
      </c>
      <c r="S37" s="3204"/>
      <c r="T37" s="3204"/>
      <c r="U37" s="3204"/>
      <c r="V37" s="3204"/>
      <c r="W37" s="3204"/>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2643</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2644</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2645</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2646</v>
      </c>
      <c r="B45" s="756"/>
      <c r="C45" s="761"/>
      <c r="D45" s="761"/>
      <c r="E45" s="761"/>
      <c r="F45" s="762"/>
      <c r="G45" s="762"/>
      <c r="H45" s="761"/>
      <c r="I45" s="761"/>
      <c r="J45" s="761"/>
      <c r="K45" s="763"/>
      <c r="L45" s="764"/>
      <c r="M45" s="761"/>
      <c r="N45" s="761"/>
      <c r="O45" s="761"/>
      <c r="P45" s="500"/>
      <c r="Q45" s="501"/>
    </row>
    <row r="46" spans="1:29" s="505" customFormat="1" ht="15">
      <c r="A46" s="502" t="s">
        <v>2520</v>
      </c>
      <c r="B46" s="503"/>
      <c r="C46" s="1571" t="str">
        <f>YEAR(C7)&amp;"-"&amp;MONTH(C7)</f>
        <v>2020-1</v>
      </c>
      <c r="D46" s="1572">
        <f>EDATE(C46,-1)</f>
        <v>43800</v>
      </c>
      <c r="E46" s="1572">
        <f t="shared" ref="E46:O46" si="16">EDATE(D46,-1)</f>
        <v>43770</v>
      </c>
      <c r="F46" s="1572">
        <f t="shared" si="16"/>
        <v>43739</v>
      </c>
      <c r="G46" s="1572">
        <f t="shared" si="16"/>
        <v>43709</v>
      </c>
      <c r="H46" s="1572">
        <f t="shared" si="16"/>
        <v>43678</v>
      </c>
      <c r="I46" s="1572">
        <f t="shared" si="16"/>
        <v>43647</v>
      </c>
      <c r="J46" s="1572">
        <f t="shared" si="16"/>
        <v>43617</v>
      </c>
      <c r="K46" s="1572">
        <f t="shared" si="16"/>
        <v>43586</v>
      </c>
      <c r="L46" s="1572">
        <f t="shared" si="16"/>
        <v>43556</v>
      </c>
      <c r="M46" s="1572">
        <f t="shared" si="16"/>
        <v>43525</v>
      </c>
      <c r="N46" s="1572">
        <f t="shared" si="16"/>
        <v>43497</v>
      </c>
      <c r="O46" s="1572">
        <f t="shared" si="16"/>
        <v>43466</v>
      </c>
      <c r="P46" s="504"/>
    </row>
    <row r="47" spans="1:29" s="114" customFormat="1" ht="15">
      <c r="A47" s="506"/>
      <c r="B47" s="507"/>
      <c r="C47" s="1570">
        <v>100</v>
      </c>
      <c r="D47" s="509"/>
      <c r="E47" s="509"/>
      <c r="F47" s="509"/>
      <c r="G47" s="509"/>
      <c r="H47" s="509"/>
      <c r="I47" s="509"/>
      <c r="J47" s="509"/>
      <c r="K47" s="509"/>
      <c r="L47" s="509"/>
      <c r="M47" s="510"/>
      <c r="N47" s="509"/>
      <c r="O47" s="511"/>
      <c r="P47" s="501"/>
    </row>
    <row r="48" spans="1:29" s="114" customFormat="1" ht="15.75" thickBot="1">
      <c r="A48" s="512" t="s">
        <v>2557</v>
      </c>
      <c r="B48" s="513"/>
      <c r="C48" s="514"/>
      <c r="D48" s="515"/>
      <c r="E48" s="515"/>
      <c r="F48" s="515"/>
      <c r="G48" s="515"/>
      <c r="H48" s="515"/>
      <c r="I48" s="515"/>
      <c r="J48" s="515"/>
      <c r="K48" s="515"/>
      <c r="L48" s="515"/>
      <c r="M48" s="516"/>
      <c r="N48" s="515"/>
      <c r="O48" s="517"/>
      <c r="P48" s="501"/>
      <c r="Q48" s="501"/>
    </row>
    <row r="49" spans="1:17" s="114" customFormat="1" ht="15">
      <c r="A49" s="518" t="s">
        <v>2522</v>
      </c>
      <c r="B49" s="507"/>
      <c r="C49" s="519" t="s">
        <v>2624</v>
      </c>
      <c r="D49" s="520"/>
      <c r="E49" s="520"/>
      <c r="F49" s="520"/>
      <c r="G49" s="520"/>
      <c r="H49" s="520"/>
      <c r="I49" s="520"/>
      <c r="J49" s="520"/>
      <c r="K49" s="520"/>
      <c r="L49" s="521"/>
      <c r="M49" s="522"/>
      <c r="N49" s="1148"/>
      <c r="O49" s="1148"/>
      <c r="P49" s="523"/>
      <c r="Q49" s="501"/>
    </row>
    <row r="50" spans="1:17" s="114"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2560</v>
      </c>
      <c r="B51" s="525" t="s">
        <v>2526</v>
      </c>
      <c r="C51" s="526">
        <f>C9</f>
        <v>0</v>
      </c>
      <c r="D51" s="527"/>
      <c r="E51" s="527"/>
      <c r="F51" s="527"/>
      <c r="G51" s="527"/>
      <c r="H51" s="527"/>
      <c r="I51" s="527"/>
      <c r="J51" s="527"/>
      <c r="K51" s="528"/>
      <c r="L51" s="529"/>
      <c r="M51" s="530"/>
      <c r="N51" s="1149"/>
      <c r="O51" s="1149"/>
      <c r="P51" s="42"/>
      <c r="Q51" s="501"/>
    </row>
    <row r="52" spans="1:17" ht="15.75" thickBot="1">
      <c r="A52" s="531"/>
      <c r="B52" s="532"/>
      <c r="C52" s="533">
        <v>100</v>
      </c>
      <c r="D52" s="533"/>
      <c r="E52" s="533"/>
      <c r="F52" s="533"/>
      <c r="G52" s="533"/>
      <c r="H52" s="533"/>
      <c r="I52" s="533"/>
      <c r="J52" s="533"/>
      <c r="K52" s="533"/>
      <c r="L52" s="533"/>
      <c r="M52" s="534"/>
      <c r="N52" s="1150"/>
      <c r="O52" s="1150"/>
      <c r="P52" s="42"/>
      <c r="Q52" s="501"/>
    </row>
    <row r="53" spans="1:17" ht="27.75" thickTop="1">
      <c r="A53" s="531"/>
      <c r="B53" s="535" t="s">
        <v>2529</v>
      </c>
      <c r="C53" s="536" t="s">
        <v>2561</v>
      </c>
      <c r="D53" s="536" t="s">
        <v>2562</v>
      </c>
      <c r="E53" s="536" t="s">
        <v>2563</v>
      </c>
      <c r="F53" s="536" t="s">
        <v>2564</v>
      </c>
      <c r="G53" s="536" t="s">
        <v>2565</v>
      </c>
      <c r="H53" s="536" t="s">
        <v>2566</v>
      </c>
      <c r="I53" s="536" t="s">
        <v>2567</v>
      </c>
      <c r="J53" s="536"/>
      <c r="K53" s="537"/>
      <c r="L53" s="538"/>
      <c r="M53" s="539"/>
      <c r="N53" s="1149"/>
      <c r="O53" s="1149"/>
      <c r="P53" s="42"/>
      <c r="Q53" s="501"/>
    </row>
    <row r="54" spans="1:17" ht="15.75" thickBot="1">
      <c r="A54" s="531"/>
      <c r="B54" s="540"/>
      <c r="C54" s="541" t="s">
        <v>21</v>
      </c>
      <c r="D54" s="541" t="s">
        <v>22</v>
      </c>
      <c r="E54" s="541">
        <v>100</v>
      </c>
      <c r="F54" s="541">
        <f>E54-$K10</f>
        <v>100</v>
      </c>
      <c r="G54" s="541">
        <f>F54-$K10</f>
        <v>100</v>
      </c>
      <c r="H54" s="541">
        <f>G54-$K10</f>
        <v>100</v>
      </c>
      <c r="I54" s="541">
        <f>H54-$K10</f>
        <v>100</v>
      </c>
      <c r="J54" s="541"/>
      <c r="K54" s="541"/>
      <c r="L54" s="541"/>
      <c r="M54" s="542"/>
      <c r="N54" s="1150"/>
      <c r="O54" s="1150"/>
      <c r="P54" s="42"/>
      <c r="Q54" s="501"/>
    </row>
    <row r="55" spans="1:17" ht="15.75" thickTop="1">
      <c r="A55" s="531"/>
      <c r="B55" s="657">
        <f>B11</f>
        <v>111</v>
      </c>
      <c r="C55" s="546"/>
      <c r="D55" s="546"/>
      <c r="E55" s="546"/>
      <c r="F55" s="546"/>
      <c r="G55" s="546"/>
      <c r="H55" s="546"/>
      <c r="I55" s="546"/>
      <c r="J55" s="546"/>
      <c r="K55" s="547"/>
      <c r="L55" s="548"/>
      <c r="M55" s="549"/>
      <c r="N55" s="1149"/>
      <c r="O55" s="1149"/>
      <c r="P55" s="42"/>
      <c r="Q55" s="501"/>
    </row>
    <row r="56" spans="1:17" ht="15.75" thickBot="1">
      <c r="A56" s="531"/>
      <c r="B56" s="532"/>
      <c r="C56" s="557"/>
      <c r="D56" s="533"/>
      <c r="E56" s="533"/>
      <c r="F56" s="533"/>
      <c r="G56" s="533"/>
      <c r="H56" s="533"/>
      <c r="I56" s="533"/>
      <c r="J56" s="533"/>
      <c r="K56" s="533"/>
      <c r="L56" s="533"/>
      <c r="M56" s="534"/>
      <c r="N56" s="1150"/>
      <c r="O56" s="1150"/>
      <c r="P56" s="42"/>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2531</v>
      </c>
      <c r="B61" s="525" t="s">
        <v>2574</v>
      </c>
      <c r="C61" s="570" t="s">
        <v>2569</v>
      </c>
      <c r="D61" s="570" t="s">
        <v>2570</v>
      </c>
      <c r="E61" s="570" t="s">
        <v>2571</v>
      </c>
      <c r="F61" s="570" t="s">
        <v>2572</v>
      </c>
      <c r="G61" s="570" t="s">
        <v>2573</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2"/>
      <c r="Q62" s="501"/>
    </row>
    <row r="63" spans="1:17" ht="27.75" thickTop="1">
      <c r="A63" s="531"/>
      <c r="B63" s="535" t="s">
        <v>2712</v>
      </c>
      <c r="C63" s="575" t="s">
        <v>2569</v>
      </c>
      <c r="D63" s="575" t="s">
        <v>2570</v>
      </c>
      <c r="E63" s="575" t="s">
        <v>2571</v>
      </c>
      <c r="F63" s="575" t="s">
        <v>2572</v>
      </c>
      <c r="G63" s="575" t="s">
        <v>2573</v>
      </c>
      <c r="H63" s="536"/>
      <c r="I63" s="536"/>
      <c r="J63" s="536"/>
      <c r="K63" s="537"/>
      <c r="L63" s="538"/>
      <c r="M63" s="539"/>
      <c r="N63" s="1149"/>
      <c r="O63" s="1149"/>
      <c r="P63" s="42"/>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2"/>
      <c r="Q64" s="501"/>
    </row>
    <row r="65" spans="1:17" ht="15.75" thickTop="1">
      <c r="A65" s="531"/>
      <c r="B65" s="543" t="s">
        <v>2661</v>
      </c>
      <c r="C65" s="657" t="s">
        <v>2647</v>
      </c>
      <c r="D65" s="657" t="s">
        <v>2648</v>
      </c>
      <c r="E65" s="657" t="s">
        <v>2649</v>
      </c>
      <c r="F65" s="657" t="s">
        <v>2650</v>
      </c>
      <c r="G65" s="657" t="s">
        <v>2651</v>
      </c>
      <c r="H65" s="536"/>
      <c r="I65" s="536"/>
      <c r="J65" s="536"/>
      <c r="K65" s="536"/>
      <c r="L65" s="536"/>
      <c r="M65" s="1379"/>
      <c r="N65" s="1150"/>
      <c r="O65" s="1150"/>
      <c r="P65" s="42"/>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2"/>
      <c r="Q66" s="501"/>
    </row>
    <row r="67" spans="1:17" ht="15.75" thickTop="1">
      <c r="A67" s="531"/>
      <c r="B67" s="535" t="s">
        <v>2581</v>
      </c>
      <c r="C67" s="575" t="s">
        <v>2569</v>
      </c>
      <c r="D67" s="575" t="s">
        <v>2570</v>
      </c>
      <c r="E67" s="575" t="s">
        <v>2571</v>
      </c>
      <c r="F67" s="575" t="s">
        <v>2572</v>
      </c>
      <c r="G67" s="575" t="s">
        <v>2573</v>
      </c>
      <c r="H67" s="536"/>
      <c r="I67" s="536"/>
      <c r="J67" s="536"/>
      <c r="K67" s="537"/>
      <c r="L67" s="538"/>
      <c r="M67" s="539"/>
      <c r="N67" s="1149"/>
      <c r="O67" s="1149"/>
      <c r="P67" s="42"/>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2"/>
      <c r="Q68" s="501"/>
    </row>
    <row r="69" spans="1:17" ht="15.75" thickTop="1">
      <c r="A69" s="531"/>
      <c r="B69" s="535" t="s">
        <v>2701</v>
      </c>
      <c r="C69" s="551"/>
      <c r="D69" s="551"/>
      <c r="E69" s="551"/>
      <c r="F69" s="551"/>
      <c r="G69" s="551"/>
      <c r="H69" s="580"/>
      <c r="I69" s="580"/>
      <c r="J69" s="580"/>
      <c r="K69" s="581"/>
      <c r="L69" s="582"/>
      <c r="M69" s="583"/>
      <c r="N69" s="1149"/>
      <c r="O69" s="1149"/>
      <c r="P69" s="42"/>
      <c r="Q69" s="501"/>
    </row>
    <row r="70" spans="1:17" ht="15.75" thickBot="1">
      <c r="A70" s="531"/>
      <c r="B70" s="540"/>
      <c r="C70" s="541">
        <v>100</v>
      </c>
      <c r="D70" s="541">
        <f>C70-$K22</f>
        <v>100</v>
      </c>
      <c r="E70" s="541"/>
      <c r="F70" s="541"/>
      <c r="G70" s="541"/>
      <c r="H70" s="541"/>
      <c r="I70" s="541"/>
      <c r="J70" s="541"/>
      <c r="K70" s="541"/>
      <c r="L70" s="541"/>
      <c r="M70" s="542"/>
      <c r="N70" s="1150"/>
      <c r="O70" s="1150"/>
      <c r="P70" s="42"/>
      <c r="Q70" s="501"/>
    </row>
    <row r="71" spans="1:17" s="114" customFormat="1" ht="15.75" thickTop="1">
      <c r="A71" s="576"/>
      <c r="B71" s="535">
        <f>B23</f>
        <v>111</v>
      </c>
      <c r="C71" s="546"/>
      <c r="D71" s="546"/>
      <c r="E71" s="546"/>
      <c r="F71" s="546"/>
      <c r="G71" s="551"/>
      <c r="H71" s="551"/>
      <c r="I71" s="551"/>
      <c r="J71" s="551"/>
      <c r="K71" s="551"/>
      <c r="L71" s="577"/>
      <c r="M71" s="578"/>
      <c r="N71" s="1148"/>
      <c r="O71" s="1148"/>
      <c r="P71" s="42"/>
      <c r="Q71" s="501"/>
    </row>
    <row r="72" spans="1:17" s="114" customFormat="1" ht="15.75" thickBot="1">
      <c r="A72" s="576"/>
      <c r="B72" s="540"/>
      <c r="C72" s="557"/>
      <c r="D72" s="533"/>
      <c r="E72" s="533"/>
      <c r="F72" s="533"/>
      <c r="G72" s="533"/>
      <c r="H72" s="533"/>
      <c r="I72" s="533"/>
      <c r="J72" s="533"/>
      <c r="K72" s="533"/>
      <c r="L72" s="533"/>
      <c r="M72" s="534"/>
      <c r="N72" s="1150"/>
      <c r="O72" s="1150"/>
      <c r="P72" s="42"/>
      <c r="Q72" s="501"/>
    </row>
    <row r="73" spans="1:17" s="114" customFormat="1" ht="15.75" thickTop="1">
      <c r="A73" s="576"/>
      <c r="B73" s="535">
        <f>B24</f>
        <v>111</v>
      </c>
      <c r="C73" s="546"/>
      <c r="D73" s="546"/>
      <c r="E73" s="546"/>
      <c r="F73" s="546"/>
      <c r="G73" s="551"/>
      <c r="H73" s="551"/>
      <c r="I73" s="551"/>
      <c r="J73" s="551"/>
      <c r="K73" s="551"/>
      <c r="L73" s="551"/>
      <c r="M73" s="578"/>
      <c r="N73" s="1148"/>
      <c r="O73" s="1148"/>
      <c r="P73" s="42"/>
      <c r="Q73" s="501"/>
    </row>
    <row r="74" spans="1:17" s="114" customFormat="1" ht="15.75" thickBot="1">
      <c r="A74" s="576"/>
      <c r="B74" s="540"/>
      <c r="C74" s="557"/>
      <c r="D74" s="533"/>
      <c r="E74" s="533"/>
      <c r="F74" s="533"/>
      <c r="G74" s="533"/>
      <c r="H74" s="533"/>
      <c r="I74" s="533"/>
      <c r="J74" s="533"/>
      <c r="K74" s="533"/>
      <c r="L74" s="533"/>
      <c r="M74" s="534"/>
      <c r="N74" s="1150"/>
      <c r="O74" s="1150"/>
      <c r="P74" s="42"/>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2535</v>
      </c>
      <c r="B77" s="525" t="s">
        <v>2588</v>
      </c>
      <c r="C77" s="551"/>
      <c r="D77" s="551"/>
      <c r="E77" s="527"/>
      <c r="F77" s="527"/>
      <c r="G77" s="527"/>
      <c r="H77" s="527"/>
      <c r="I77" s="527"/>
      <c r="J77" s="527"/>
      <c r="K77" s="528"/>
      <c r="L77" s="529"/>
      <c r="M77" s="530"/>
      <c r="N77" s="1149"/>
      <c r="O77" s="1149"/>
      <c r="P77" s="42"/>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2"/>
      <c r="Q78" s="501"/>
    </row>
    <row r="79" spans="1:17" ht="15.75" thickTop="1">
      <c r="A79" s="531"/>
      <c r="B79" s="535" t="s">
        <v>2704</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2"/>
      <c r="Q79" s="501"/>
    </row>
    <row r="80" spans="1:17" ht="15">
      <c r="A80" s="531"/>
      <c r="B80" s="543"/>
      <c r="C80" s="600">
        <v>0.5</v>
      </c>
      <c r="D80" s="600">
        <v>0.6</v>
      </c>
      <c r="E80" s="600">
        <v>0.7</v>
      </c>
      <c r="F80" s="600">
        <v>0.8</v>
      </c>
      <c r="G80" s="600">
        <v>0.9</v>
      </c>
      <c r="H80" s="600">
        <v>1.0001</v>
      </c>
      <c r="I80" s="657"/>
      <c r="J80" s="657"/>
      <c r="K80" s="665"/>
      <c r="L80" s="666"/>
      <c r="M80" s="667"/>
      <c r="N80" s="1148"/>
      <c r="O80" s="1148"/>
      <c r="P80" s="42"/>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2705</v>
      </c>
      <c r="C82" s="551"/>
      <c r="D82" s="551"/>
      <c r="E82" s="580"/>
      <c r="F82" s="580"/>
      <c r="G82" s="580"/>
      <c r="H82" s="580"/>
      <c r="I82" s="580"/>
      <c r="J82" s="580"/>
      <c r="K82" s="581"/>
      <c r="L82" s="582"/>
      <c r="M82" s="583"/>
      <c r="N82" s="1149"/>
      <c r="O82" s="1149"/>
      <c r="P82" s="42"/>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2"/>
      <c r="Q83" s="501"/>
    </row>
    <row r="84" spans="1:17" ht="15" thickTop="1">
      <c r="A84" s="596"/>
      <c r="B84" s="535" t="s">
        <v>2713</v>
      </c>
      <c r="C84" s="551"/>
      <c r="D84" s="551"/>
      <c r="E84" s="551"/>
      <c r="F84" s="551"/>
      <c r="G84" s="551"/>
      <c r="H84" s="551"/>
      <c r="I84" s="580"/>
      <c r="J84" s="580"/>
      <c r="K84" s="581"/>
      <c r="L84" s="582"/>
      <c r="M84" s="583"/>
      <c r="N84" s="1149"/>
      <c r="O84" s="1149"/>
      <c r="P84" s="42"/>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2"/>
      <c r="Q85" s="501"/>
    </row>
    <row r="86" spans="1:17" ht="15" thickTop="1">
      <c r="A86" s="596"/>
      <c r="B86" s="543" t="s">
        <v>2714</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2"/>
      <c r="Q86" s="501"/>
    </row>
    <row r="87" spans="1:17">
      <c r="A87" s="596"/>
      <c r="B87" s="543"/>
      <c r="C87" s="592"/>
      <c r="D87" s="592"/>
      <c r="E87" s="592"/>
      <c r="F87" s="592"/>
      <c r="G87" s="592"/>
      <c r="H87" s="592"/>
      <c r="I87" s="592"/>
      <c r="J87" s="593"/>
      <c r="K87" s="593"/>
      <c r="L87" s="594"/>
      <c r="M87" s="595"/>
      <c r="N87" s="1149"/>
      <c r="O87" s="1149"/>
      <c r="P87" s="42"/>
      <c r="Q87" s="501"/>
    </row>
    <row r="88" spans="1:17" ht="15.75" thickBot="1">
      <c r="A88" s="531"/>
      <c r="B88" s="540"/>
      <c r="C88" s="557"/>
      <c r="D88" s="533"/>
      <c r="E88" s="533"/>
      <c r="F88" s="533"/>
      <c r="G88" s="533"/>
      <c r="H88" s="533"/>
      <c r="I88" s="533"/>
      <c r="J88" s="533"/>
      <c r="K88" s="533"/>
      <c r="L88" s="533"/>
      <c r="M88" s="533"/>
      <c r="N88" s="1150"/>
      <c r="O88" s="1150"/>
      <c r="P88" s="42"/>
      <c r="Q88" s="501"/>
    </row>
    <row r="89" spans="1:17" s="468" customFormat="1" ht="15" thickTop="1">
      <c r="A89" s="590"/>
      <c r="B89" s="535" t="s">
        <v>2715</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2"/>
      <c r="Q91" s="501"/>
    </row>
    <row r="92" spans="1:17" ht="15.75" thickBot="1">
      <c r="A92" s="531"/>
      <c r="B92" s="540"/>
      <c r="C92" s="557"/>
      <c r="D92" s="533"/>
      <c r="E92" s="533"/>
      <c r="F92" s="533"/>
      <c r="G92" s="557"/>
      <c r="H92" s="559"/>
      <c r="I92" s="559"/>
      <c r="J92" s="559"/>
      <c r="K92" s="559"/>
      <c r="L92" s="559"/>
      <c r="M92" s="560"/>
      <c r="N92" s="1150"/>
      <c r="O92" s="1150"/>
      <c r="P92" s="42"/>
      <c r="Q92" s="501"/>
    </row>
    <row r="93" spans="1:17" ht="15" thickTop="1">
      <c r="A93" s="596"/>
      <c r="B93" s="535">
        <f>B33</f>
        <v>111</v>
      </c>
      <c r="C93" s="546"/>
      <c r="D93" s="546"/>
      <c r="E93" s="546"/>
      <c r="F93" s="546"/>
      <c r="G93" s="551"/>
      <c r="H93" s="552"/>
      <c r="I93" s="552"/>
      <c r="J93" s="552"/>
      <c r="K93" s="552"/>
      <c r="L93" s="553"/>
      <c r="M93" s="554"/>
      <c r="N93" s="1149"/>
      <c r="O93" s="1149"/>
      <c r="P93" s="42"/>
      <c r="Q93" s="501"/>
    </row>
    <row r="94" spans="1:17" ht="15.75" thickBot="1">
      <c r="A94" s="531"/>
      <c r="B94" s="540"/>
      <c r="C94" s="557"/>
      <c r="D94" s="533"/>
      <c r="E94" s="533"/>
      <c r="F94" s="533"/>
      <c r="G94" s="557"/>
      <c r="H94" s="559"/>
      <c r="I94" s="559"/>
      <c r="J94" s="559"/>
      <c r="K94" s="559"/>
      <c r="L94" s="559"/>
      <c r="M94" s="560"/>
      <c r="N94" s="1150"/>
      <c r="O94" s="1150"/>
      <c r="P94" s="42"/>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2"/>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9" sqref="H19"/>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2716</v>
      </c>
      <c r="B1" s="392"/>
      <c r="C1" s="393" t="s">
        <v>2717</v>
      </c>
      <c r="D1" s="752"/>
      <c r="E1" s="752"/>
      <c r="F1" s="751" t="s">
        <v>2615</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2302</v>
      </c>
      <c r="B2" s="668"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2304</v>
      </c>
      <c r="B3" s="606" t="e">
        <f>ROUND(IF(D3="",B2*10000/'数据-汇总表'!E3,B2*10000/D3),0)</f>
        <v>#DIV/0!</v>
      </c>
      <c r="C3" s="244" t="s">
        <v>2718</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8" t="s">
        <v>2617</v>
      </c>
      <c r="B4" s="399"/>
      <c r="C4" s="3220" t="s">
        <v>2618</v>
      </c>
      <c r="D4" s="3221"/>
      <c r="E4" s="3222" t="s">
        <v>2619</v>
      </c>
      <c r="F4" s="3223"/>
      <c r="G4" s="3220" t="s">
        <v>2620</v>
      </c>
      <c r="H4" s="3221"/>
      <c r="I4" s="3220" t="s">
        <v>2621</v>
      </c>
      <c r="J4" s="3221"/>
      <c r="K4" s="607" t="s">
        <v>2622</v>
      </c>
      <c r="L4" s="1127"/>
      <c r="M4" s="1128"/>
      <c r="N4" s="1128"/>
      <c r="O4" s="1128"/>
      <c r="P4" s="3224" t="s">
        <v>2623</v>
      </c>
      <c r="Q4" s="3225"/>
      <c r="R4" s="3230" t="s">
        <v>2619</v>
      </c>
      <c r="S4" s="3231"/>
      <c r="T4" s="3230" t="s">
        <v>2620</v>
      </c>
      <c r="U4" s="3231"/>
      <c r="V4" s="3236" t="s">
        <v>2621</v>
      </c>
      <c r="W4" s="3236"/>
      <c r="X4" s="1810"/>
      <c r="Y4" s="3230" t="s">
        <v>2623</v>
      </c>
      <c r="Z4" s="3231"/>
      <c r="AA4" s="3217" t="s">
        <v>2619</v>
      </c>
      <c r="AB4" s="3218" t="s">
        <v>2620</v>
      </c>
      <c r="AC4" s="3217" t="s">
        <v>2621</v>
      </c>
    </row>
    <row r="5" spans="1:30" ht="15">
      <c r="A5" s="401"/>
      <c r="B5" s="402"/>
      <c r="C5" s="3239" t="s">
        <v>2514</v>
      </c>
      <c r="D5" s="3240"/>
      <c r="E5" s="3246" t="s">
        <v>2515</v>
      </c>
      <c r="F5" s="3247"/>
      <c r="G5" s="3239" t="s">
        <v>2516</v>
      </c>
      <c r="H5" s="3240"/>
      <c r="I5" s="3239" t="s">
        <v>2517</v>
      </c>
      <c r="J5" s="3240"/>
      <c r="K5" s="607"/>
      <c r="L5" s="1127"/>
      <c r="M5" s="1128"/>
      <c r="N5" s="1128"/>
      <c r="O5" s="1128"/>
      <c r="P5" s="3226"/>
      <c r="Q5" s="3227"/>
      <c r="R5" s="3232"/>
      <c r="S5" s="3233"/>
      <c r="T5" s="3232"/>
      <c r="U5" s="3233"/>
      <c r="V5" s="3236"/>
      <c r="W5" s="3236"/>
      <c r="X5" s="1810"/>
      <c r="Y5" s="3232"/>
      <c r="Z5" s="3233"/>
      <c r="AA5" s="3218"/>
      <c r="AB5" s="3218"/>
      <c r="AC5" s="3218"/>
    </row>
    <row r="6" spans="1:30" ht="15.75" thickBot="1">
      <c r="A6" s="403"/>
      <c r="B6" s="404"/>
      <c r="C6" s="3237" t="s">
        <v>2518</v>
      </c>
      <c r="D6" s="3238"/>
      <c r="E6" s="3244" t="s">
        <v>2518</v>
      </c>
      <c r="F6" s="3245"/>
      <c r="G6" s="3237" t="s">
        <v>2518</v>
      </c>
      <c r="H6" s="3238"/>
      <c r="I6" s="3237" t="s">
        <v>2518</v>
      </c>
      <c r="J6" s="3238"/>
      <c r="K6" s="607" t="s">
        <v>2519</v>
      </c>
      <c r="L6" s="1127"/>
      <c r="M6" s="1128"/>
      <c r="N6" s="1128"/>
      <c r="O6" s="1128"/>
      <c r="P6" s="3228"/>
      <c r="Q6" s="3229"/>
      <c r="R6" s="3232"/>
      <c r="S6" s="3233"/>
      <c r="T6" s="3234"/>
      <c r="U6" s="3235"/>
      <c r="V6" s="3236"/>
      <c r="W6" s="3236"/>
      <c r="X6" s="1810"/>
      <c r="Y6" s="3234"/>
      <c r="Z6" s="3235"/>
      <c r="AA6" s="3219"/>
      <c r="AB6" s="3219"/>
      <c r="AC6" s="3219"/>
    </row>
    <row r="7" spans="1:30" s="114" customFormat="1" ht="15.75" thickBot="1">
      <c r="A7" s="405" t="s">
        <v>2520</v>
      </c>
      <c r="B7" s="406"/>
      <c r="C7" s="407">
        <f>'数据-取费表'!B2</f>
        <v>43832</v>
      </c>
      <c r="D7" s="408">
        <v>100</v>
      </c>
      <c r="E7" s="409">
        <v>42309</v>
      </c>
      <c r="F7" s="410">
        <f>SUMIF(70:70,YEAR(E7)&amp;"-"&amp;INT((MONTH(E7)+2)/3),71:71)</f>
        <v>0</v>
      </c>
      <c r="G7" s="2693">
        <v>42309</v>
      </c>
      <c r="H7" s="408">
        <f>SUMIF(70:70,YEAR(G7)&amp;"-"&amp;INT((MONTH(G7)+2)/3),71:71)</f>
        <v>0</v>
      </c>
      <c r="I7" s="2693">
        <v>42036</v>
      </c>
      <c r="J7" s="408">
        <f>SUMIF(70:70,YEAR(I7)&amp;"-"&amp;INT((MONTH(I7)+2)/3),71:71)</f>
        <v>0</v>
      </c>
      <c r="K7" s="608"/>
      <c r="L7" s="1129"/>
      <c r="M7" s="1130"/>
      <c r="N7" s="1130"/>
      <c r="O7" s="1130"/>
      <c r="P7" s="3241" t="s">
        <v>2521</v>
      </c>
      <c r="Q7" s="3243"/>
      <c r="R7" s="767" t="s">
        <v>14</v>
      </c>
      <c r="S7" s="768">
        <f t="shared" ref="S7:S15" si="0">F7</f>
        <v>0</v>
      </c>
      <c r="T7" s="767" t="s">
        <v>14</v>
      </c>
      <c r="U7" s="768">
        <f t="shared" ref="U7:U15" si="1">H7</f>
        <v>0</v>
      </c>
      <c r="V7" s="767" t="s">
        <v>14</v>
      </c>
      <c r="W7" s="768">
        <f t="shared" ref="W7:W15" si="2">J7</f>
        <v>0</v>
      </c>
      <c r="X7" s="769"/>
      <c r="Y7" s="3241" t="s">
        <v>2521</v>
      </c>
      <c r="Z7" s="3242"/>
      <c r="AA7" s="770" t="e">
        <f>D7/F7</f>
        <v>#DIV/0!</v>
      </c>
      <c r="AB7" s="770" t="e">
        <f>D7/H7</f>
        <v>#DIV/0!</v>
      </c>
      <c r="AC7" s="770" t="e">
        <f>D7/J7</f>
        <v>#DIV/0!</v>
      </c>
    </row>
    <row r="8" spans="1:30" s="114" customFormat="1" ht="15.75" thickBot="1">
      <c r="A8" s="405" t="s">
        <v>2522</v>
      </c>
      <c r="B8" s="406"/>
      <c r="C8" s="411" t="s">
        <v>2523</v>
      </c>
      <c r="D8" s="408">
        <v>100</v>
      </c>
      <c r="E8" s="411"/>
      <c r="F8" s="410">
        <f>SUMIF(73:73,E8,74:74)-SUMIF(73:73,C8,74:74)+100</f>
        <v>0</v>
      </c>
      <c r="G8" s="411"/>
      <c r="H8" s="408">
        <f>SUMIF(73:73,G8,74:74)-SUMIF(73:73,C8,74:74)+100</f>
        <v>0</v>
      </c>
      <c r="I8" s="411"/>
      <c r="J8" s="408">
        <f>SUMIF(73:73,I8,74:74)-SUMIF(73:73,C8,74:74)+100</f>
        <v>0</v>
      </c>
      <c r="K8" s="608"/>
      <c r="L8" s="1129"/>
      <c r="M8" s="1130"/>
      <c r="N8" s="1130"/>
      <c r="O8" s="1130"/>
      <c r="P8" s="3241" t="s">
        <v>2524</v>
      </c>
      <c r="Q8" s="3242"/>
      <c r="R8" s="767" t="s">
        <v>14</v>
      </c>
      <c r="S8" s="768">
        <f t="shared" si="0"/>
        <v>0</v>
      </c>
      <c r="T8" s="767" t="s">
        <v>14</v>
      </c>
      <c r="U8" s="768">
        <f t="shared" si="1"/>
        <v>0</v>
      </c>
      <c r="V8" s="767" t="s">
        <v>14</v>
      </c>
      <c r="W8" s="768">
        <f t="shared" si="2"/>
        <v>0</v>
      </c>
      <c r="X8" s="769"/>
      <c r="Y8" s="3241" t="s">
        <v>2524</v>
      </c>
      <c r="Z8" s="3242"/>
      <c r="AA8" s="770" t="e">
        <f t="shared" ref="AA8:AA45" si="3">D8/F8</f>
        <v>#DIV/0!</v>
      </c>
      <c r="AB8" s="770" t="e">
        <f t="shared" ref="AB8:AB45" si="4">D8/H8</f>
        <v>#DIV/0!</v>
      </c>
      <c r="AC8" s="770" t="e">
        <f t="shared" ref="AC8:AC45" si="5">D8/J8</f>
        <v>#DIV/0!</v>
      </c>
    </row>
    <row r="9" spans="1:30" s="114" customFormat="1">
      <c r="A9" s="412" t="s">
        <v>2525</v>
      </c>
      <c r="B9" s="68" t="s">
        <v>2526</v>
      </c>
      <c r="C9" s="2696"/>
      <c r="D9" s="132">
        <v>100</v>
      </c>
      <c r="E9" s="2696"/>
      <c r="F9" s="132">
        <f>SUMIF(75:75,E9,76:76)-SUMIF(75:75,C9,76:76)+100</f>
        <v>100</v>
      </c>
      <c r="G9" s="2696"/>
      <c r="H9" s="132">
        <f>SUMIF(75:75,G9,76:76)-SUMIF(75:75,C9,76:76)+100</f>
        <v>100</v>
      </c>
      <c r="I9" s="2696"/>
      <c r="J9" s="132">
        <f>SUMIF(75:75,I9,76:76)-SUMIF(75:75,C9,76:76)+100</f>
        <v>100</v>
      </c>
      <c r="K9" s="608"/>
      <c r="L9" s="1129"/>
      <c r="M9" s="1130"/>
      <c r="N9" s="1130"/>
      <c r="O9" s="1131"/>
      <c r="P9" s="3205" t="s">
        <v>2527</v>
      </c>
      <c r="Q9" s="1792" t="str">
        <f t="shared" ref="Q9:Q15" si="6">B9</f>
        <v>用途</v>
      </c>
      <c r="R9" s="767" t="s">
        <v>14</v>
      </c>
      <c r="S9" s="768">
        <f t="shared" si="0"/>
        <v>100</v>
      </c>
      <c r="T9" s="767" t="s">
        <v>14</v>
      </c>
      <c r="U9" s="768">
        <f t="shared" si="1"/>
        <v>100</v>
      </c>
      <c r="V9" s="767" t="s">
        <v>14</v>
      </c>
      <c r="W9" s="768">
        <f t="shared" si="2"/>
        <v>100</v>
      </c>
      <c r="X9" s="769"/>
      <c r="Y9" s="3005" t="s">
        <v>2528</v>
      </c>
      <c r="Z9" s="52" t="str">
        <f t="shared" ref="Z9:Z15" si="7">Q9</f>
        <v>用途</v>
      </c>
      <c r="AA9" s="770">
        <f t="shared" si="3"/>
        <v>1</v>
      </c>
      <c r="AB9" s="770">
        <f t="shared" si="4"/>
        <v>1</v>
      </c>
      <c r="AC9" s="770">
        <f t="shared" si="5"/>
        <v>1</v>
      </c>
    </row>
    <row r="10" spans="1:30" s="424" customFormat="1" ht="27">
      <c r="A10" s="418"/>
      <c r="B10" s="419" t="s">
        <v>2529</v>
      </c>
      <c r="C10" s="429"/>
      <c r="D10" s="133">
        <v>100</v>
      </c>
      <c r="E10" s="462"/>
      <c r="F10" s="133">
        <f>ROUND(100/'数据-取费表'!G16,0)</f>
        <v>103</v>
      </c>
      <c r="G10" s="460"/>
      <c r="H10" s="133">
        <f>ROUND(100/'数据-取费表'!G16,0)</f>
        <v>103</v>
      </c>
      <c r="I10" s="460"/>
      <c r="J10" s="133">
        <f>ROUND(100/'数据-取费表'!G16,0)</f>
        <v>103</v>
      </c>
      <c r="K10" s="669"/>
      <c r="L10" s="1132"/>
      <c r="M10" s="1133"/>
      <c r="N10" s="1133"/>
      <c r="O10" s="1134"/>
      <c r="P10" s="3205"/>
      <c r="Q10" s="1792" t="str">
        <f t="shared" si="6"/>
        <v>土地使用年限（年）</v>
      </c>
      <c r="R10" s="767" t="s">
        <v>14</v>
      </c>
      <c r="S10" s="768">
        <f t="shared" si="0"/>
        <v>103</v>
      </c>
      <c r="T10" s="767" t="s">
        <v>14</v>
      </c>
      <c r="U10" s="768">
        <f t="shared" si="1"/>
        <v>103</v>
      </c>
      <c r="V10" s="767" t="s">
        <v>14</v>
      </c>
      <c r="W10" s="768">
        <f t="shared" si="2"/>
        <v>103</v>
      </c>
      <c r="X10" s="769"/>
      <c r="Y10" s="3005"/>
      <c r="Z10" s="52" t="str">
        <f t="shared" si="7"/>
        <v>土地使用年限（年）</v>
      </c>
      <c r="AA10" s="770">
        <f t="shared" si="3"/>
        <v>0.970873786407767</v>
      </c>
      <c r="AB10" s="770">
        <f t="shared" si="4"/>
        <v>0.970873786407767</v>
      </c>
      <c r="AC10" s="770">
        <f t="shared" si="5"/>
        <v>0.970873786407767</v>
      </c>
    </row>
    <row r="11" spans="1:30" ht="15">
      <c r="A11" s="425"/>
      <c r="B11" s="419" t="s">
        <v>2530</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5"/>
      <c r="M11" s="1128"/>
      <c r="N11" s="1128"/>
      <c r="O11" s="1136"/>
      <c r="P11" s="3205"/>
      <c r="Q11" s="1792" t="str">
        <f t="shared" si="6"/>
        <v>容积率</v>
      </c>
      <c r="R11" s="767" t="s">
        <v>14</v>
      </c>
      <c r="S11" s="768" t="e">
        <f t="shared" si="0"/>
        <v>#N/A</v>
      </c>
      <c r="T11" s="767" t="s">
        <v>14</v>
      </c>
      <c r="U11" s="768" t="e">
        <f t="shared" si="1"/>
        <v>#N/A</v>
      </c>
      <c r="V11" s="767" t="s">
        <v>14</v>
      </c>
      <c r="W11" s="768" t="e">
        <f t="shared" si="2"/>
        <v>#N/A</v>
      </c>
      <c r="X11" s="769"/>
      <c r="Y11" s="3005"/>
      <c r="Z11" s="52" t="str">
        <f t="shared" si="7"/>
        <v>容积率</v>
      </c>
      <c r="AA11" s="770" t="e">
        <f t="shared" si="3"/>
        <v>#N/A</v>
      </c>
      <c r="AB11" s="770" t="e">
        <f t="shared" si="4"/>
        <v>#N/A</v>
      </c>
      <c r="AC11" s="770" t="e">
        <f t="shared" si="5"/>
        <v>#N/A</v>
      </c>
    </row>
    <row r="12" spans="1:30" s="114" customFormat="1" ht="15">
      <c r="A12" s="428"/>
      <c r="B12" s="2597" t="s">
        <v>2719</v>
      </c>
      <c r="C12" s="429"/>
      <c r="D12" s="430">
        <v>100</v>
      </c>
      <c r="E12" s="462"/>
      <c r="F12" s="133">
        <f>SUMIF(82:82,E12,83:83)-SUMIF(82:82,C12,83:83)+100</f>
        <v>100</v>
      </c>
      <c r="G12" s="460"/>
      <c r="H12" s="133">
        <f>SUMIF(82:82,G12,83:83)-SUMIF(82:82,C12,83:83)+100</f>
        <v>100</v>
      </c>
      <c r="I12" s="462"/>
      <c r="J12" s="133">
        <f>SUMIF(82:82,I12,83:83)-SUMIF(82:82,C12,83:83)+100</f>
        <v>100</v>
      </c>
      <c r="K12" s="669"/>
      <c r="L12" s="1129"/>
      <c r="M12" s="1130"/>
      <c r="N12" s="1130"/>
      <c r="O12" s="1131"/>
      <c r="P12" s="3205"/>
      <c r="Q12" s="1792" t="str">
        <f t="shared" si="6"/>
        <v>配建</v>
      </c>
      <c r="R12" s="767" t="s">
        <v>14</v>
      </c>
      <c r="S12" s="768">
        <f t="shared" si="0"/>
        <v>100</v>
      </c>
      <c r="T12" s="767" t="s">
        <v>14</v>
      </c>
      <c r="U12" s="768">
        <f t="shared" si="1"/>
        <v>100</v>
      </c>
      <c r="V12" s="767" t="s">
        <v>14</v>
      </c>
      <c r="W12" s="768">
        <f t="shared" si="2"/>
        <v>100</v>
      </c>
      <c r="X12" s="769"/>
      <c r="Y12" s="3005"/>
      <c r="Z12" s="52" t="str">
        <f t="shared" si="7"/>
        <v>配建</v>
      </c>
      <c r="AA12" s="770">
        <f>D12/F12</f>
        <v>1</v>
      </c>
      <c r="AB12" s="770">
        <f>D12/H12</f>
        <v>1</v>
      </c>
      <c r="AC12" s="770">
        <f>D12/J12</f>
        <v>1</v>
      </c>
    </row>
    <row r="13" spans="1:30" ht="15">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7"/>
      <c r="M13" s="1128"/>
      <c r="N13" s="1128"/>
      <c r="O13" s="1136"/>
      <c r="P13" s="3205"/>
      <c r="Q13" s="1792">
        <f t="shared" si="6"/>
        <v>111</v>
      </c>
      <c r="R13" s="767" t="s">
        <v>14</v>
      </c>
      <c r="S13" s="768">
        <f t="shared" si="0"/>
        <v>100</v>
      </c>
      <c r="T13" s="767" t="s">
        <v>14</v>
      </c>
      <c r="U13" s="768">
        <f t="shared" si="1"/>
        <v>100</v>
      </c>
      <c r="V13" s="767" t="s">
        <v>14</v>
      </c>
      <c r="W13" s="768">
        <f t="shared" si="2"/>
        <v>100</v>
      </c>
      <c r="X13" s="769"/>
      <c r="Y13" s="3005"/>
      <c r="Z13" s="52">
        <f t="shared" si="7"/>
        <v>111</v>
      </c>
      <c r="AA13" s="770">
        <f>D13/F13</f>
        <v>1</v>
      </c>
      <c r="AB13" s="770">
        <f>D13/H13</f>
        <v>1</v>
      </c>
      <c r="AC13" s="770">
        <f>D13/J13</f>
        <v>1</v>
      </c>
    </row>
    <row r="14" spans="1:30" ht="15.75"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05"/>
      <c r="Q14" s="1792">
        <f t="shared" si="6"/>
        <v>111</v>
      </c>
      <c r="R14" s="767" t="s">
        <v>14</v>
      </c>
      <c r="S14" s="768">
        <f t="shared" si="0"/>
        <v>100</v>
      </c>
      <c r="T14" s="767" t="s">
        <v>14</v>
      </c>
      <c r="U14" s="768">
        <f t="shared" si="1"/>
        <v>100</v>
      </c>
      <c r="V14" s="767" t="s">
        <v>14</v>
      </c>
      <c r="W14" s="768">
        <f t="shared" si="2"/>
        <v>100</v>
      </c>
      <c r="X14" s="769"/>
      <c r="Y14" s="3005"/>
      <c r="Z14" s="52">
        <f t="shared" si="7"/>
        <v>111</v>
      </c>
      <c r="AA14" s="770">
        <f>D14/F14</f>
        <v>1</v>
      </c>
      <c r="AB14" s="770">
        <f>D14/H14</f>
        <v>1</v>
      </c>
      <c r="AC14" s="770">
        <f>D14/J14</f>
        <v>1</v>
      </c>
    </row>
    <row r="15" spans="1:30" ht="99.75">
      <c r="A15" s="437" t="s">
        <v>2531</v>
      </c>
      <c r="B15" s="66" t="s">
        <v>2060</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7"/>
      <c r="M15" s="1128"/>
      <c r="N15" s="1128"/>
      <c r="O15" s="1136"/>
      <c r="P15" s="3207" t="s">
        <v>2532</v>
      </c>
      <c r="Q15" s="1807" t="str">
        <f t="shared" si="6"/>
        <v>居住社区成熟度</v>
      </c>
      <c r="R15" s="771" t="s">
        <v>14</v>
      </c>
      <c r="S15" s="772">
        <f t="shared" si="0"/>
        <v>100</v>
      </c>
      <c r="T15" s="771" t="s">
        <v>14</v>
      </c>
      <c r="U15" s="772">
        <f t="shared" si="1"/>
        <v>100</v>
      </c>
      <c r="V15" s="771" t="s">
        <v>14</v>
      </c>
      <c r="W15" s="772">
        <f t="shared" si="2"/>
        <v>100</v>
      </c>
      <c r="X15" s="1810"/>
      <c r="Y15" s="3207" t="s">
        <v>2532</v>
      </c>
      <c r="Z15" s="1811" t="str">
        <f t="shared" si="7"/>
        <v>居住社区成熟度</v>
      </c>
      <c r="AA15" s="1808">
        <f t="shared" si="3"/>
        <v>1</v>
      </c>
      <c r="AB15" s="1808">
        <f t="shared" si="4"/>
        <v>1</v>
      </c>
      <c r="AC15" s="1808">
        <f t="shared" si="5"/>
        <v>1</v>
      </c>
    </row>
    <row r="16" spans="1:30" ht="15">
      <c r="A16" s="425"/>
      <c r="B16" s="443"/>
      <c r="C16" s="444"/>
      <c r="D16" s="445"/>
      <c r="E16" s="2602"/>
      <c r="F16" s="445"/>
      <c r="G16" s="2602"/>
      <c r="H16" s="447"/>
      <c r="I16" s="2601"/>
      <c r="J16" s="445"/>
      <c r="K16" s="669"/>
      <c r="L16" s="1137"/>
      <c r="M16" s="1128"/>
      <c r="N16" s="1128"/>
      <c r="O16" s="1136"/>
      <c r="P16" s="3208"/>
      <c r="Q16" s="1807"/>
      <c r="R16" s="771"/>
      <c r="S16" s="772"/>
      <c r="T16" s="771"/>
      <c r="U16" s="772"/>
      <c r="V16" s="771"/>
      <c r="W16" s="772"/>
      <c r="X16" s="1810"/>
      <c r="Y16" s="3208"/>
      <c r="Z16" s="1811"/>
      <c r="AA16" s="1808">
        <v>1</v>
      </c>
      <c r="AB16" s="1808">
        <v>1</v>
      </c>
      <c r="AC16" s="1808">
        <v>1</v>
      </c>
    </row>
    <row r="17" spans="1:29" ht="71.25">
      <c r="A17" s="425"/>
      <c r="B17" s="448" t="s">
        <v>2625</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c r="L17" s="1137"/>
      <c r="M17" s="1128"/>
      <c r="N17" s="1128"/>
      <c r="O17" s="1136"/>
      <c r="P17" s="3208"/>
      <c r="Q17" s="1807" t="str">
        <f>B17</f>
        <v>商业繁华度</v>
      </c>
      <c r="R17" s="771" t="s">
        <v>14</v>
      </c>
      <c r="S17" s="772">
        <f>F17</f>
        <v>100</v>
      </c>
      <c r="T17" s="771" t="s">
        <v>14</v>
      </c>
      <c r="U17" s="772">
        <f>H17</f>
        <v>100</v>
      </c>
      <c r="V17" s="771" t="s">
        <v>14</v>
      </c>
      <c r="W17" s="772">
        <f>J17</f>
        <v>100</v>
      </c>
      <c r="X17" s="1810"/>
      <c r="Y17" s="3208"/>
      <c r="Z17" s="1811" t="str">
        <f>Q17</f>
        <v>商业繁华度</v>
      </c>
      <c r="AA17" s="1808">
        <f t="shared" si="3"/>
        <v>1</v>
      </c>
      <c r="AB17" s="1808">
        <f t="shared" si="4"/>
        <v>1</v>
      </c>
      <c r="AC17" s="1808">
        <f t="shared" si="5"/>
        <v>1</v>
      </c>
    </row>
    <row r="18" spans="1:29" ht="15">
      <c r="A18" s="425"/>
      <c r="B18" s="453"/>
      <c r="C18" s="2605"/>
      <c r="D18" s="447"/>
      <c r="E18" s="2607"/>
      <c r="F18" s="447"/>
      <c r="G18" s="2607"/>
      <c r="H18" s="445"/>
      <c r="I18" s="2606"/>
      <c r="J18" s="445"/>
      <c r="K18" s="669"/>
      <c r="L18" s="1137"/>
      <c r="M18" s="1128"/>
      <c r="N18" s="1128"/>
      <c r="O18" s="1136"/>
      <c r="P18" s="3208"/>
      <c r="Q18" s="1807"/>
      <c r="R18" s="771"/>
      <c r="S18" s="772"/>
      <c r="T18" s="771"/>
      <c r="U18" s="772"/>
      <c r="V18" s="771"/>
      <c r="W18" s="772"/>
      <c r="X18" s="1810"/>
      <c r="Y18" s="3208"/>
      <c r="Z18" s="1811"/>
      <c r="AA18" s="1808">
        <v>1</v>
      </c>
      <c r="AB18" s="1808">
        <v>1</v>
      </c>
      <c r="AC18" s="1808">
        <v>1</v>
      </c>
    </row>
    <row r="19" spans="1:29" ht="71.25">
      <c r="A19" s="425"/>
      <c r="B19" s="448" t="s">
        <v>2659</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7"/>
      <c r="M19" s="1128"/>
      <c r="N19" s="1128"/>
      <c r="O19" s="1136"/>
      <c r="P19" s="3208"/>
      <c r="Q19" s="1807" t="str">
        <f>B19</f>
        <v>办公集聚程度</v>
      </c>
      <c r="R19" s="771" t="s">
        <v>14</v>
      </c>
      <c r="S19" s="772">
        <f>F19</f>
        <v>100</v>
      </c>
      <c r="T19" s="771" t="s">
        <v>14</v>
      </c>
      <c r="U19" s="772">
        <f>H19</f>
        <v>100</v>
      </c>
      <c r="V19" s="771" t="s">
        <v>14</v>
      </c>
      <c r="W19" s="772">
        <f>J19</f>
        <v>100</v>
      </c>
      <c r="X19" s="1810"/>
      <c r="Y19" s="3208"/>
      <c r="Z19" s="1811" t="str">
        <f>Q19</f>
        <v>办公集聚程度</v>
      </c>
      <c r="AA19" s="1808">
        <f t="shared" si="3"/>
        <v>1</v>
      </c>
      <c r="AB19" s="1808">
        <f t="shared" si="4"/>
        <v>1</v>
      </c>
      <c r="AC19" s="1808">
        <f t="shared" si="5"/>
        <v>1</v>
      </c>
    </row>
    <row r="20" spans="1:29" ht="15">
      <c r="A20" s="425"/>
      <c r="B20" s="453"/>
      <c r="C20" s="444"/>
      <c r="D20" s="445"/>
      <c r="E20" s="2602"/>
      <c r="F20" s="445"/>
      <c r="G20" s="2602"/>
      <c r="H20" s="445"/>
      <c r="I20" s="2601"/>
      <c r="J20" s="445"/>
      <c r="K20" s="669"/>
      <c r="L20" s="1137"/>
      <c r="M20" s="1128"/>
      <c r="N20" s="1128"/>
      <c r="O20" s="1136"/>
      <c r="P20" s="3208"/>
      <c r="Q20" s="1807"/>
      <c r="R20" s="771"/>
      <c r="S20" s="772"/>
      <c r="T20" s="771"/>
      <c r="U20" s="772"/>
      <c r="V20" s="771"/>
      <c r="W20" s="772"/>
      <c r="X20" s="1810"/>
      <c r="Y20" s="3208"/>
      <c r="Z20" s="1811"/>
      <c r="AA20" s="1808">
        <v>1</v>
      </c>
      <c r="AB20" s="1808">
        <v>1</v>
      </c>
      <c r="AC20" s="1808">
        <v>1</v>
      </c>
    </row>
    <row r="21" spans="1:29" ht="85.5">
      <c r="A21" s="425"/>
      <c r="B21" s="448" t="s">
        <v>2681</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c r="L21" s="1137"/>
      <c r="M21" s="1128"/>
      <c r="N21" s="1128"/>
      <c r="O21" s="1136"/>
      <c r="P21" s="3208"/>
      <c r="Q21" s="1807" t="str">
        <f>B21</f>
        <v>交通便捷度</v>
      </c>
      <c r="R21" s="771" t="s">
        <v>14</v>
      </c>
      <c r="S21" s="772">
        <f>F21</f>
        <v>100</v>
      </c>
      <c r="T21" s="771" t="s">
        <v>14</v>
      </c>
      <c r="U21" s="772">
        <f>H21</f>
        <v>100</v>
      </c>
      <c r="V21" s="771" t="s">
        <v>14</v>
      </c>
      <c r="W21" s="772">
        <f>J21</f>
        <v>100</v>
      </c>
      <c r="X21" s="1810"/>
      <c r="Y21" s="3208"/>
      <c r="Z21" s="1811" t="str">
        <f>Q21</f>
        <v>交通便捷度</v>
      </c>
      <c r="AA21" s="1808">
        <f t="shared" si="3"/>
        <v>1</v>
      </c>
      <c r="AB21" s="1808">
        <f t="shared" si="4"/>
        <v>1</v>
      </c>
      <c r="AC21" s="1808">
        <f t="shared" si="5"/>
        <v>1</v>
      </c>
    </row>
    <row r="22" spans="1:29" ht="15">
      <c r="A22" s="425"/>
      <c r="B22" s="1381"/>
      <c r="C22" s="444"/>
      <c r="D22" s="447"/>
      <c r="E22" s="2602"/>
      <c r="F22" s="445"/>
      <c r="G22" s="2602"/>
      <c r="H22" s="445"/>
      <c r="I22" s="2601"/>
      <c r="J22" s="445"/>
      <c r="K22" s="669"/>
      <c r="L22" s="1137"/>
      <c r="M22" s="1128"/>
      <c r="N22" s="1128"/>
      <c r="O22" s="1136"/>
      <c r="P22" s="3208"/>
      <c r="Q22" s="1807"/>
      <c r="R22" s="771"/>
      <c r="S22" s="772"/>
      <c r="T22" s="771"/>
      <c r="U22" s="772"/>
      <c r="V22" s="771"/>
      <c r="W22" s="772"/>
      <c r="X22" s="1810"/>
      <c r="Y22" s="3208"/>
      <c r="Z22" s="1811"/>
      <c r="AA22" s="1808">
        <v>1</v>
      </c>
      <c r="AB22" s="1808">
        <v>1</v>
      </c>
      <c r="AC22" s="1808">
        <v>1</v>
      </c>
    </row>
    <row r="23" spans="1:29" ht="15">
      <c r="A23" s="401"/>
      <c r="B23" s="448" t="s">
        <v>2720</v>
      </c>
      <c r="C23" s="1386">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7"/>
      <c r="M23" s="1128"/>
      <c r="N23" s="1128"/>
      <c r="O23" s="1136"/>
      <c r="P23" s="3208"/>
      <c r="Q23" s="1807" t="str">
        <f t="shared" ref="Q23:Q37" si="8">B23</f>
        <v>区域土地利用方向</v>
      </c>
      <c r="R23" s="771" t="s">
        <v>14</v>
      </c>
      <c r="S23" s="772">
        <f>F23</f>
        <v>100</v>
      </c>
      <c r="T23" s="771" t="s">
        <v>14</v>
      </c>
      <c r="U23" s="772">
        <f>H23</f>
        <v>100</v>
      </c>
      <c r="V23" s="771" t="s">
        <v>14</v>
      </c>
      <c r="W23" s="772">
        <f>J23</f>
        <v>100</v>
      </c>
      <c r="X23" s="1810"/>
      <c r="Y23" s="3208"/>
      <c r="Z23" s="1811" t="str">
        <f>Q23</f>
        <v>区域土地利用方向</v>
      </c>
      <c r="AA23" s="1808">
        <f t="shared" si="3"/>
        <v>1</v>
      </c>
      <c r="AB23" s="1808">
        <f t="shared" si="4"/>
        <v>1</v>
      </c>
      <c r="AC23" s="1808">
        <f t="shared" si="5"/>
        <v>1</v>
      </c>
    </row>
    <row r="24" spans="1:29" ht="15">
      <c r="A24" s="401"/>
      <c r="B24" s="453"/>
      <c r="C24" s="613"/>
      <c r="D24" s="445"/>
      <c r="E24" s="2602"/>
      <c r="F24" s="445"/>
      <c r="G24" s="2601"/>
      <c r="H24" s="445"/>
      <c r="I24" s="2601"/>
      <c r="J24" s="445"/>
      <c r="K24" s="809"/>
      <c r="L24" s="1137"/>
      <c r="M24" s="1128"/>
      <c r="N24" s="1128"/>
      <c r="O24" s="1136"/>
      <c r="P24" s="3208"/>
      <c r="Q24" s="1807"/>
      <c r="R24" s="771"/>
      <c r="S24" s="772"/>
      <c r="T24" s="771"/>
      <c r="U24" s="772"/>
      <c r="V24" s="771"/>
      <c r="W24" s="772"/>
      <c r="X24" s="1810"/>
      <c r="Y24" s="3208"/>
      <c r="Z24" s="1811"/>
      <c r="AA24" s="1808"/>
      <c r="AB24" s="1808"/>
      <c r="AC24" s="1808"/>
    </row>
    <row r="25" spans="1:29" ht="57">
      <c r="A25" s="401"/>
      <c r="B25" s="1381" t="s">
        <v>2721</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7"/>
      <c r="M25" s="1128"/>
      <c r="N25" s="1128"/>
      <c r="O25" s="1136"/>
      <c r="P25" s="3208"/>
      <c r="Q25" s="1807" t="str">
        <f t="shared" si="8"/>
        <v>自然及人文环境状况</v>
      </c>
      <c r="R25" s="771" t="s">
        <v>14</v>
      </c>
      <c r="S25" s="772">
        <f>F25</f>
        <v>100</v>
      </c>
      <c r="T25" s="771" t="s">
        <v>14</v>
      </c>
      <c r="U25" s="772">
        <f>H25</f>
        <v>100</v>
      </c>
      <c r="V25" s="771" t="s">
        <v>14</v>
      </c>
      <c r="W25" s="772">
        <f>J25</f>
        <v>100</v>
      </c>
      <c r="X25" s="1810"/>
      <c r="Y25" s="3208"/>
      <c r="Z25" s="1811" t="str">
        <f>Q25</f>
        <v>自然及人文环境状况</v>
      </c>
      <c r="AA25" s="1808">
        <f t="shared" si="3"/>
        <v>1</v>
      </c>
      <c r="AB25" s="1808">
        <f t="shared" si="4"/>
        <v>1</v>
      </c>
      <c r="AC25" s="1808">
        <f t="shared" si="5"/>
        <v>1</v>
      </c>
    </row>
    <row r="26" spans="1:29" ht="15">
      <c r="A26" s="401"/>
      <c r="B26" s="453"/>
      <c r="C26" s="444"/>
      <c r="D26" s="445"/>
      <c r="E26" s="2608"/>
      <c r="F26" s="445"/>
      <c r="G26" s="2608"/>
      <c r="H26" s="445"/>
      <c r="I26" s="444"/>
      <c r="J26" s="445"/>
      <c r="K26" s="669"/>
      <c r="L26" s="1137"/>
      <c r="M26" s="1128"/>
      <c r="N26" s="1128"/>
      <c r="O26" s="1136"/>
      <c r="P26" s="3208"/>
      <c r="Q26" s="1807"/>
      <c r="R26" s="771"/>
      <c r="S26" s="772"/>
      <c r="T26" s="771"/>
      <c r="U26" s="772"/>
      <c r="V26" s="771"/>
      <c r="W26" s="772"/>
      <c r="X26" s="1810"/>
      <c r="Y26" s="3208"/>
      <c r="Z26" s="1811"/>
      <c r="AA26" s="1808">
        <v>1</v>
      </c>
      <c r="AB26" s="1808">
        <v>1</v>
      </c>
      <c r="AC26" s="1808">
        <v>1</v>
      </c>
    </row>
    <row r="27" spans="1:29" s="114" customFormat="1" ht="42.75">
      <c r="A27" s="646"/>
      <c r="B27" s="1381" t="s">
        <v>2626</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9"/>
      <c r="M27" s="1130"/>
      <c r="N27" s="1130"/>
      <c r="O27" s="1131"/>
      <c r="P27" s="3208"/>
      <c r="Q27" s="1792" t="str">
        <f t="shared" si="8"/>
        <v>公共配套设施</v>
      </c>
      <c r="R27" s="767" t="s">
        <v>14</v>
      </c>
      <c r="S27" s="768">
        <f>F27</f>
        <v>100</v>
      </c>
      <c r="T27" s="767" t="s">
        <v>14</v>
      </c>
      <c r="U27" s="768">
        <f>H27</f>
        <v>100</v>
      </c>
      <c r="V27" s="767" t="s">
        <v>14</v>
      </c>
      <c r="W27" s="768">
        <f>J27</f>
        <v>100</v>
      </c>
      <c r="X27" s="769"/>
      <c r="Y27" s="3208"/>
      <c r="Z27" s="52" t="str">
        <f>Q27</f>
        <v>公共配套设施</v>
      </c>
      <c r="AA27" s="1808">
        <f>D27/F27</f>
        <v>1</v>
      </c>
      <c r="AB27" s="1808">
        <f>D27/H27</f>
        <v>1</v>
      </c>
      <c r="AC27" s="1808">
        <f>D27/J27</f>
        <v>1</v>
      </c>
    </row>
    <row r="28" spans="1:29" s="114" customFormat="1" ht="15">
      <c r="A28" s="646"/>
      <c r="B28" s="453"/>
      <c r="C28" s="2697"/>
      <c r="D28" s="445"/>
      <c r="E28" s="2608"/>
      <c r="F28" s="445"/>
      <c r="G28" s="2608"/>
      <c r="H28" s="445"/>
      <c r="I28" s="444"/>
      <c r="J28" s="445"/>
      <c r="K28" s="669"/>
      <c r="L28" s="1129"/>
      <c r="M28" s="1130"/>
      <c r="N28" s="1130"/>
      <c r="O28" s="1131"/>
      <c r="P28" s="3208"/>
      <c r="Q28" s="1792"/>
      <c r="R28" s="767"/>
      <c r="S28" s="768"/>
      <c r="T28" s="767"/>
      <c r="U28" s="768"/>
      <c r="V28" s="767"/>
      <c r="W28" s="768"/>
      <c r="X28" s="769"/>
      <c r="Y28" s="3208"/>
      <c r="Z28" s="52"/>
      <c r="AA28" s="1808">
        <v>1</v>
      </c>
      <c r="AB28" s="1808">
        <v>1</v>
      </c>
      <c r="AC28" s="1808">
        <v>1</v>
      </c>
    </row>
    <row r="29" spans="1:29" s="114" customFormat="1" ht="28.5">
      <c r="A29" s="646"/>
      <c r="B29" s="1381" t="s">
        <v>2627</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9"/>
      <c r="M29" s="1130"/>
      <c r="N29" s="1130"/>
      <c r="O29" s="1131"/>
      <c r="P29" s="3208"/>
      <c r="Q29" s="1792" t="str">
        <f t="shared" ref="Q29" si="9">B29</f>
        <v>基础设施水平</v>
      </c>
      <c r="R29" s="767" t="s">
        <v>14</v>
      </c>
      <c r="S29" s="768">
        <f>F29</f>
        <v>100</v>
      </c>
      <c r="T29" s="767" t="s">
        <v>14</v>
      </c>
      <c r="U29" s="768">
        <f>H29</f>
        <v>100</v>
      </c>
      <c r="V29" s="767" t="s">
        <v>14</v>
      </c>
      <c r="W29" s="768">
        <f>J29</f>
        <v>100</v>
      </c>
      <c r="X29" s="769"/>
      <c r="Y29" s="3208"/>
      <c r="Z29" s="52" t="str">
        <f>Q29</f>
        <v>基础设施水平</v>
      </c>
      <c r="AA29" s="1808">
        <f>D29/F29</f>
        <v>1</v>
      </c>
      <c r="AB29" s="1808">
        <f>D29/H29</f>
        <v>1</v>
      </c>
      <c r="AC29" s="1808">
        <f>D29/J29</f>
        <v>1</v>
      </c>
    </row>
    <row r="30" spans="1:29" s="114" customFormat="1" ht="15">
      <c r="A30" s="646"/>
      <c r="B30" s="453"/>
      <c r="C30" s="2697"/>
      <c r="D30" s="445"/>
      <c r="E30" s="2698"/>
      <c r="F30" s="445"/>
      <c r="G30" s="2698"/>
      <c r="H30" s="445"/>
      <c r="I30" s="2698"/>
      <c r="J30" s="445"/>
      <c r="K30" s="669"/>
      <c r="L30" s="1129"/>
      <c r="M30" s="1130"/>
      <c r="N30" s="1130"/>
      <c r="O30" s="1131"/>
      <c r="P30" s="3208"/>
      <c r="Q30" s="1792"/>
      <c r="R30" s="767"/>
      <c r="S30" s="768"/>
      <c r="T30" s="767"/>
      <c r="U30" s="768"/>
      <c r="V30" s="767"/>
      <c r="W30" s="768"/>
      <c r="X30" s="769"/>
      <c r="Y30" s="3208"/>
      <c r="Z30" s="52"/>
      <c r="AA30" s="1808">
        <v>1</v>
      </c>
      <c r="AB30" s="1808">
        <v>1</v>
      </c>
      <c r="AC30" s="1808">
        <v>1</v>
      </c>
    </row>
    <row r="31" spans="1:29" ht="15">
      <c r="A31" s="425"/>
      <c r="B31" s="453" t="s">
        <v>2628</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7"/>
      <c r="M31" s="1128"/>
      <c r="N31" s="1128"/>
      <c r="O31" s="1136"/>
      <c r="P31" s="3208"/>
      <c r="Q31" s="1807" t="str">
        <f t="shared" si="8"/>
        <v>临街状况</v>
      </c>
      <c r="R31" s="771" t="s">
        <v>14</v>
      </c>
      <c r="S31" s="772">
        <f t="shared" ref="S31:S45" si="10">F31</f>
        <v>100</v>
      </c>
      <c r="T31" s="771" t="s">
        <v>14</v>
      </c>
      <c r="U31" s="772">
        <f t="shared" ref="U31:U45" si="11">H31</f>
        <v>100</v>
      </c>
      <c r="V31" s="771" t="s">
        <v>14</v>
      </c>
      <c r="W31" s="772">
        <f t="shared" ref="W31:W45" si="12">J31</f>
        <v>100</v>
      </c>
      <c r="X31" s="1810"/>
      <c r="Y31" s="3208"/>
      <c r="Z31" s="1811" t="str">
        <f t="shared" ref="Z31:Z45" si="13">Q31</f>
        <v>临街状况</v>
      </c>
      <c r="AA31" s="1808">
        <f t="shared" si="3"/>
        <v>1</v>
      </c>
      <c r="AB31" s="1808">
        <f t="shared" si="4"/>
        <v>1</v>
      </c>
      <c r="AC31" s="1808">
        <f t="shared" si="5"/>
        <v>1</v>
      </c>
    </row>
    <row r="32" spans="1:29" ht="27">
      <c r="A32" s="425"/>
      <c r="B32" s="1381" t="s">
        <v>2663</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7"/>
      <c r="M32" s="1128"/>
      <c r="N32" s="1128"/>
      <c r="O32" s="1136"/>
      <c r="P32" s="3208"/>
      <c r="Q32" s="1807" t="str">
        <f t="shared" si="8"/>
        <v>毗邻道路的类型与等级</v>
      </c>
      <c r="R32" s="771" t="s">
        <v>14</v>
      </c>
      <c r="S32" s="772">
        <f t="shared" si="10"/>
        <v>100</v>
      </c>
      <c r="T32" s="771" t="s">
        <v>14</v>
      </c>
      <c r="U32" s="772">
        <f t="shared" si="11"/>
        <v>100</v>
      </c>
      <c r="V32" s="771" t="s">
        <v>14</v>
      </c>
      <c r="W32" s="772">
        <f t="shared" si="12"/>
        <v>100</v>
      </c>
      <c r="X32" s="1810"/>
      <c r="Y32" s="3208"/>
      <c r="Z32" s="1811" t="str">
        <f t="shared" si="13"/>
        <v>毗邻道路的类型与等级</v>
      </c>
      <c r="AA32" s="1808">
        <f t="shared" si="3"/>
        <v>1</v>
      </c>
      <c r="AB32" s="1808">
        <f t="shared" si="4"/>
        <v>1</v>
      </c>
      <c r="AC32" s="1808">
        <f t="shared" si="5"/>
        <v>1</v>
      </c>
    </row>
    <row r="33" spans="1:29" ht="15">
      <c r="A33" s="425"/>
      <c r="B33" s="453"/>
      <c r="C33" s="444"/>
      <c r="D33" s="445"/>
      <c r="E33" s="2608"/>
      <c r="F33" s="445"/>
      <c r="G33" s="2608"/>
      <c r="H33" s="445"/>
      <c r="I33" s="444"/>
      <c r="J33" s="445"/>
      <c r="K33" s="610"/>
      <c r="L33" s="1137"/>
      <c r="M33" s="1128"/>
      <c r="N33" s="1128"/>
      <c r="O33" s="1136"/>
      <c r="P33" s="3208"/>
      <c r="Q33" s="1807"/>
      <c r="R33" s="771"/>
      <c r="S33" s="772"/>
      <c r="T33" s="771"/>
      <c r="U33" s="772"/>
      <c r="V33" s="771"/>
      <c r="W33" s="772"/>
      <c r="X33" s="1810"/>
      <c r="Y33" s="3208"/>
      <c r="Z33" s="1811"/>
      <c r="AA33" s="1808">
        <v>1</v>
      </c>
      <c r="AB33" s="1808">
        <v>1</v>
      </c>
      <c r="AC33" s="1808">
        <v>1</v>
      </c>
    </row>
    <row r="34" spans="1:29" ht="15">
      <c r="A34" s="425"/>
      <c r="B34" s="419" t="s">
        <v>2722</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208"/>
      <c r="Q34" s="1807" t="str">
        <f t="shared" si="8"/>
        <v>土地级别</v>
      </c>
      <c r="R34" s="771" t="s">
        <v>14</v>
      </c>
      <c r="S34" s="772">
        <f t="shared" si="10"/>
        <v>100</v>
      </c>
      <c r="T34" s="771" t="s">
        <v>14</v>
      </c>
      <c r="U34" s="772">
        <f t="shared" si="11"/>
        <v>100</v>
      </c>
      <c r="V34" s="771" t="s">
        <v>14</v>
      </c>
      <c r="W34" s="772">
        <f t="shared" si="12"/>
        <v>100</v>
      </c>
      <c r="X34" s="1810"/>
      <c r="Y34" s="3208"/>
      <c r="Z34" s="1811" t="str">
        <f t="shared" si="13"/>
        <v>土地级别</v>
      </c>
      <c r="AA34" s="1808">
        <f t="shared" si="3"/>
        <v>1</v>
      </c>
      <c r="AB34" s="1808">
        <f t="shared" si="4"/>
        <v>1</v>
      </c>
      <c r="AC34" s="1808">
        <f t="shared" si="5"/>
        <v>1</v>
      </c>
    </row>
    <row r="35" spans="1:29" ht="15">
      <c r="A35" s="401"/>
      <c r="B35" s="1383">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08"/>
      <c r="Q35" s="1807">
        <f t="shared" si="8"/>
        <v>111</v>
      </c>
      <c r="R35" s="771" t="s">
        <v>14</v>
      </c>
      <c r="S35" s="772">
        <f t="shared" si="10"/>
        <v>100</v>
      </c>
      <c r="T35" s="771" t="s">
        <v>14</v>
      </c>
      <c r="U35" s="772">
        <f t="shared" si="11"/>
        <v>100</v>
      </c>
      <c r="V35" s="771" t="s">
        <v>14</v>
      </c>
      <c r="W35" s="772">
        <f t="shared" si="12"/>
        <v>100</v>
      </c>
      <c r="X35" s="1810"/>
      <c r="Y35" s="3208"/>
      <c r="Z35" s="1811">
        <f t="shared" si="13"/>
        <v>111</v>
      </c>
      <c r="AA35" s="1808">
        <f t="shared" si="3"/>
        <v>1</v>
      </c>
      <c r="AB35" s="1808">
        <f t="shared" si="4"/>
        <v>1</v>
      </c>
      <c r="AC35" s="1808">
        <f t="shared" si="5"/>
        <v>1</v>
      </c>
    </row>
    <row r="36" spans="1:29" ht="15">
      <c r="A36" s="672"/>
      <c r="B36" s="1384">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63" t="s">
        <v>2537</v>
      </c>
      <c r="Q36" s="1807">
        <f t="shared" si="8"/>
        <v>111</v>
      </c>
      <c r="R36" s="771" t="s">
        <v>14</v>
      </c>
      <c r="S36" s="772">
        <f t="shared" si="10"/>
        <v>100</v>
      </c>
      <c r="T36" s="771" t="s">
        <v>14</v>
      </c>
      <c r="U36" s="772">
        <f t="shared" si="11"/>
        <v>100</v>
      </c>
      <c r="V36" s="771" t="s">
        <v>14</v>
      </c>
      <c r="W36" s="772">
        <f t="shared" si="12"/>
        <v>100</v>
      </c>
      <c r="X36" s="1810"/>
      <c r="Y36" s="3212" t="s">
        <v>2537</v>
      </c>
      <c r="Z36" s="1811">
        <f t="shared" si="13"/>
        <v>111</v>
      </c>
      <c r="AA36" s="1808">
        <f t="shared" si="3"/>
        <v>1</v>
      </c>
      <c r="AB36" s="1808">
        <f t="shared" si="4"/>
        <v>1</v>
      </c>
      <c r="AC36" s="1808">
        <f t="shared" si="5"/>
        <v>1</v>
      </c>
    </row>
    <row r="37" spans="1:29" s="468" customFormat="1" ht="15.75" thickBot="1">
      <c r="A37" s="673"/>
      <c r="B37" s="1385">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12"/>
      <c r="Q37" s="1807">
        <f t="shared" si="8"/>
        <v>111</v>
      </c>
      <c r="R37" s="774" t="s">
        <v>14</v>
      </c>
      <c r="S37" s="775">
        <f t="shared" si="10"/>
        <v>100</v>
      </c>
      <c r="T37" s="774" t="s">
        <v>14</v>
      </c>
      <c r="U37" s="775">
        <f t="shared" si="11"/>
        <v>100</v>
      </c>
      <c r="V37" s="774" t="s">
        <v>14</v>
      </c>
      <c r="W37" s="775">
        <f t="shared" si="12"/>
        <v>100</v>
      </c>
      <c r="X37" s="776"/>
      <c r="Y37" s="3212"/>
      <c r="Z37" s="777">
        <f t="shared" si="13"/>
        <v>111</v>
      </c>
      <c r="AA37" s="1808">
        <f t="shared" si="3"/>
        <v>1</v>
      </c>
      <c r="AB37" s="1808">
        <f t="shared" si="4"/>
        <v>1</v>
      </c>
      <c r="AC37" s="1808">
        <f t="shared" si="5"/>
        <v>1</v>
      </c>
    </row>
    <row r="38" spans="1:29" ht="15">
      <c r="A38" s="469" t="s">
        <v>2535</v>
      </c>
      <c r="B38" s="453" t="s">
        <v>2723</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7"/>
      <c r="M38" s="1128"/>
      <c r="N38" s="1128"/>
      <c r="O38" s="1136"/>
      <c r="P38" s="3212"/>
      <c r="Q38" s="1807" t="str">
        <f>B38</f>
        <v>宗地面积</v>
      </c>
      <c r="R38" s="771" t="s">
        <v>14</v>
      </c>
      <c r="S38" s="772" t="e">
        <f t="shared" si="10"/>
        <v>#N/A</v>
      </c>
      <c r="T38" s="771" t="s">
        <v>14</v>
      </c>
      <c r="U38" s="772" t="e">
        <f t="shared" si="11"/>
        <v>#N/A</v>
      </c>
      <c r="V38" s="771" t="s">
        <v>14</v>
      </c>
      <c r="W38" s="772" t="e">
        <f t="shared" si="12"/>
        <v>#N/A</v>
      </c>
      <c r="X38" s="1810"/>
      <c r="Y38" s="3212"/>
      <c r="Z38" s="1811" t="str">
        <f t="shared" si="13"/>
        <v>宗地面积</v>
      </c>
      <c r="AA38" s="1808" t="e">
        <f t="shared" si="3"/>
        <v>#N/A</v>
      </c>
      <c r="AB38" s="1808" t="e">
        <f t="shared" si="4"/>
        <v>#N/A</v>
      </c>
      <c r="AC38" s="1808" t="e">
        <f t="shared" si="5"/>
        <v>#N/A</v>
      </c>
    </row>
    <row r="39" spans="1:29" ht="15">
      <c r="A39" s="469"/>
      <c r="B39" s="419" t="s">
        <v>2724</v>
      </c>
      <c r="C39" s="2610"/>
      <c r="D39" s="432">
        <v>100</v>
      </c>
      <c r="E39" s="2610"/>
      <c r="F39" s="432">
        <f>SUMIF(119:119,E39,120:120)-SUMIF(119:119,C39,120:120)+100</f>
        <v>100</v>
      </c>
      <c r="G39" s="2610"/>
      <c r="H39" s="432">
        <f>SUMIF(119:119,G39,120:120)-SUMIF(119:119,C39,120:120)+100</f>
        <v>100</v>
      </c>
      <c r="I39" s="2610"/>
      <c r="J39" s="432">
        <f>SUMIF(119:119,I39,120:120)-SUMIF(119:119,C39,120:120)+100</f>
        <v>100</v>
      </c>
      <c r="K39" s="609"/>
      <c r="L39" s="1137"/>
      <c r="M39" s="1128"/>
      <c r="N39" s="1128"/>
      <c r="O39" s="1136"/>
      <c r="P39" s="3212"/>
      <c r="Q39" s="1807" t="str">
        <f t="shared" ref="Q39:Q45" si="14">B39</f>
        <v>宗地形状</v>
      </c>
      <c r="R39" s="771" t="s">
        <v>14</v>
      </c>
      <c r="S39" s="772">
        <f t="shared" si="10"/>
        <v>100</v>
      </c>
      <c r="T39" s="771" t="s">
        <v>14</v>
      </c>
      <c r="U39" s="772">
        <f t="shared" si="11"/>
        <v>100</v>
      </c>
      <c r="V39" s="771" t="s">
        <v>14</v>
      </c>
      <c r="W39" s="772">
        <f t="shared" si="12"/>
        <v>100</v>
      </c>
      <c r="X39" s="1810"/>
      <c r="Y39" s="3212"/>
      <c r="Z39" s="1811" t="str">
        <f t="shared" si="13"/>
        <v>宗地形状</v>
      </c>
      <c r="AA39" s="1808">
        <f t="shared" si="3"/>
        <v>1</v>
      </c>
      <c r="AB39" s="1808">
        <f t="shared" si="4"/>
        <v>1</v>
      </c>
      <c r="AC39" s="1808">
        <f t="shared" si="5"/>
        <v>1</v>
      </c>
    </row>
    <row r="40" spans="1:29" ht="15">
      <c r="A40" s="469"/>
      <c r="B40" s="419" t="s">
        <v>2725</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7"/>
      <c r="M40" s="1128"/>
      <c r="N40" s="1128"/>
      <c r="O40" s="1136"/>
      <c r="P40" s="3212"/>
      <c r="Q40" s="1807" t="str">
        <f t="shared" si="14"/>
        <v>临街宽度及深度</v>
      </c>
      <c r="R40" s="771" t="s">
        <v>14</v>
      </c>
      <c r="S40" s="772">
        <f t="shared" si="10"/>
        <v>100</v>
      </c>
      <c r="T40" s="771" t="s">
        <v>14</v>
      </c>
      <c r="U40" s="772">
        <f t="shared" si="11"/>
        <v>100</v>
      </c>
      <c r="V40" s="771" t="s">
        <v>14</v>
      </c>
      <c r="W40" s="772">
        <f t="shared" si="12"/>
        <v>100</v>
      </c>
      <c r="X40" s="1810"/>
      <c r="Y40" s="3212"/>
      <c r="Z40" s="1811" t="str">
        <f t="shared" si="13"/>
        <v>临街宽度及深度</v>
      </c>
      <c r="AA40" s="1808">
        <f t="shared" si="3"/>
        <v>1</v>
      </c>
      <c r="AB40" s="1808">
        <f t="shared" si="4"/>
        <v>1</v>
      </c>
      <c r="AC40" s="1808">
        <f t="shared" si="5"/>
        <v>1</v>
      </c>
    </row>
    <row r="41" spans="1:29" s="114" customFormat="1" ht="15">
      <c r="A41" s="470"/>
      <c r="B41" s="419" t="s">
        <v>2726</v>
      </c>
      <c r="C41" s="2699"/>
      <c r="D41" s="133">
        <v>100</v>
      </c>
      <c r="E41" s="2699"/>
      <c r="F41" s="432">
        <f>SUMIF(123:123,E41,124:124)-SUMIF(123:123,C41,124:124)+100</f>
        <v>100</v>
      </c>
      <c r="G41" s="2699"/>
      <c r="H41" s="432">
        <f>SUMIF(123:123,G41,124:124)-SUMIF(123:123,C41,124:124)+100</f>
        <v>100</v>
      </c>
      <c r="I41" s="2699"/>
      <c r="J41" s="432">
        <f>SUMIF(123:123,I41,124:124)-SUMIF(123:123,C41,124:124)+100</f>
        <v>100</v>
      </c>
      <c r="K41" s="609"/>
      <c r="L41" s="1129"/>
      <c r="M41" s="1130"/>
      <c r="N41" s="1130"/>
      <c r="O41" s="1131"/>
      <c r="P41" s="3212"/>
      <c r="Q41" s="1807" t="str">
        <f t="shared" si="14"/>
        <v>宗地开发程度</v>
      </c>
      <c r="R41" s="767" t="s">
        <v>14</v>
      </c>
      <c r="S41" s="768">
        <f t="shared" si="10"/>
        <v>100</v>
      </c>
      <c r="T41" s="767" t="s">
        <v>14</v>
      </c>
      <c r="U41" s="768">
        <f t="shared" si="11"/>
        <v>100</v>
      </c>
      <c r="V41" s="767" t="s">
        <v>14</v>
      </c>
      <c r="W41" s="768">
        <f t="shared" si="12"/>
        <v>100</v>
      </c>
      <c r="X41" s="769"/>
      <c r="Y41" s="3212"/>
      <c r="Z41" s="52" t="str">
        <f t="shared" si="13"/>
        <v>宗地开发程度</v>
      </c>
      <c r="AA41" s="770">
        <f t="shared" si="3"/>
        <v>1</v>
      </c>
      <c r="AB41" s="770">
        <f t="shared" si="4"/>
        <v>1</v>
      </c>
      <c r="AC41" s="770">
        <f t="shared" si="5"/>
        <v>1</v>
      </c>
    </row>
    <row r="42" spans="1:29" ht="15">
      <c r="A42" s="469"/>
      <c r="B42" s="419" t="s">
        <v>2727</v>
      </c>
      <c r="C42" s="2610"/>
      <c r="D42" s="432">
        <v>100</v>
      </c>
      <c r="E42" s="2610"/>
      <c r="F42" s="432">
        <f>SUMIF(125:125,E42,126:126)-SUMIF(125:125,C42,126:126)+100</f>
        <v>100</v>
      </c>
      <c r="G42" s="2610"/>
      <c r="H42" s="432">
        <f>SUMIF(125:125,G42,126:126)-SUMIF(125:125,C42,126:126)+100</f>
        <v>100</v>
      </c>
      <c r="I42" s="2610"/>
      <c r="J42" s="432">
        <f>SUMIF(125:125,I42,126:126)-SUMIF(125:125,C42,126:126)+100</f>
        <v>100</v>
      </c>
      <c r="K42" s="609"/>
      <c r="L42" s="1137"/>
      <c r="M42" s="1128"/>
      <c r="N42" s="1128"/>
      <c r="O42" s="1136"/>
      <c r="P42" s="3212" t="s">
        <v>2537</v>
      </c>
      <c r="Q42" s="1807" t="str">
        <f t="shared" si="14"/>
        <v>工程地质条件</v>
      </c>
      <c r="R42" s="771" t="s">
        <v>14</v>
      </c>
      <c r="S42" s="772">
        <f t="shared" si="10"/>
        <v>100</v>
      </c>
      <c r="T42" s="771" t="s">
        <v>14</v>
      </c>
      <c r="U42" s="772">
        <f t="shared" si="11"/>
        <v>100</v>
      </c>
      <c r="V42" s="771" t="s">
        <v>14</v>
      </c>
      <c r="W42" s="772">
        <f t="shared" si="12"/>
        <v>100</v>
      </c>
      <c r="X42" s="1810"/>
      <c r="Y42" s="3212" t="s">
        <v>2537</v>
      </c>
      <c r="Z42" s="1811" t="str">
        <f t="shared" si="13"/>
        <v>工程地质条件</v>
      </c>
      <c r="AA42" s="1808">
        <f t="shared" si="3"/>
        <v>1</v>
      </c>
      <c r="AB42" s="1808">
        <f t="shared" si="4"/>
        <v>1</v>
      </c>
      <c r="AC42" s="1808">
        <f t="shared" si="5"/>
        <v>1</v>
      </c>
    </row>
    <row r="43" spans="1:29" ht="15">
      <c r="A43" s="469"/>
      <c r="B43" s="1384">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12"/>
      <c r="Q43" s="1807">
        <f t="shared" si="14"/>
        <v>111</v>
      </c>
      <c r="R43" s="771" t="s">
        <v>14</v>
      </c>
      <c r="S43" s="772">
        <f t="shared" si="10"/>
        <v>100</v>
      </c>
      <c r="T43" s="771" t="s">
        <v>14</v>
      </c>
      <c r="U43" s="772">
        <f t="shared" si="11"/>
        <v>100</v>
      </c>
      <c r="V43" s="771" t="s">
        <v>14</v>
      </c>
      <c r="W43" s="772">
        <f t="shared" si="12"/>
        <v>100</v>
      </c>
      <c r="X43" s="1810"/>
      <c r="Y43" s="3212"/>
      <c r="Z43" s="1811">
        <f t="shared" si="13"/>
        <v>111</v>
      </c>
      <c r="AA43" s="1808">
        <f t="shared" si="3"/>
        <v>1</v>
      </c>
      <c r="AB43" s="1808">
        <f t="shared" si="4"/>
        <v>1</v>
      </c>
      <c r="AC43" s="1808">
        <f t="shared" si="5"/>
        <v>1</v>
      </c>
    </row>
    <row r="44" spans="1:29" ht="15">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12"/>
      <c r="Q44" s="1807">
        <f t="shared" si="14"/>
        <v>111</v>
      </c>
      <c r="R44" s="771" t="s">
        <v>14</v>
      </c>
      <c r="S44" s="772">
        <f t="shared" si="10"/>
        <v>100</v>
      </c>
      <c r="T44" s="771" t="s">
        <v>14</v>
      </c>
      <c r="U44" s="772">
        <f t="shared" si="11"/>
        <v>100</v>
      </c>
      <c r="V44" s="771" t="s">
        <v>14</v>
      </c>
      <c r="W44" s="772">
        <f t="shared" si="12"/>
        <v>100</v>
      </c>
      <c r="X44" s="1810"/>
      <c r="Y44" s="3212"/>
      <c r="Z44" s="1811">
        <f t="shared" si="13"/>
        <v>111</v>
      </c>
      <c r="AA44" s="1808">
        <f t="shared" si="3"/>
        <v>1</v>
      </c>
      <c r="AB44" s="1808">
        <f t="shared" si="4"/>
        <v>1</v>
      </c>
      <c r="AC44" s="1808">
        <f t="shared" si="5"/>
        <v>1</v>
      </c>
    </row>
    <row r="45" spans="1:29" s="468" customFormat="1" ht="15.75" thickBot="1">
      <c r="A45" s="465"/>
      <c r="B45" s="1384">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12"/>
      <c r="Q45" s="1807">
        <f t="shared" si="14"/>
        <v>111</v>
      </c>
      <c r="R45" s="774" t="s">
        <v>14</v>
      </c>
      <c r="S45" s="775">
        <f t="shared" si="10"/>
        <v>100</v>
      </c>
      <c r="T45" s="774" t="s">
        <v>14</v>
      </c>
      <c r="U45" s="775">
        <f t="shared" si="11"/>
        <v>100</v>
      </c>
      <c r="V45" s="774" t="s">
        <v>14</v>
      </c>
      <c r="W45" s="775">
        <f t="shared" si="12"/>
        <v>100</v>
      </c>
      <c r="X45" s="776"/>
      <c r="Y45" s="3212"/>
      <c r="Z45" s="777">
        <f t="shared" si="13"/>
        <v>111</v>
      </c>
      <c r="AA45" s="1808">
        <f t="shared" si="3"/>
        <v>1</v>
      </c>
      <c r="AB45" s="1808">
        <f t="shared" si="4"/>
        <v>1</v>
      </c>
      <c r="AC45" s="1808">
        <f t="shared" si="5"/>
        <v>1</v>
      </c>
    </row>
    <row r="46" spans="1:29" ht="15">
      <c r="A46" s="476" t="s">
        <v>2692</v>
      </c>
      <c r="B46" s="2701" t="s">
        <v>2728</v>
      </c>
      <c r="C46" s="679" t="s">
        <v>0</v>
      </c>
      <c r="D46" s="478"/>
      <c r="E46" s="479"/>
      <c r="F46" s="480"/>
      <c r="G46" s="481"/>
      <c r="H46" s="482"/>
      <c r="I46" s="479"/>
      <c r="J46" s="482"/>
      <c r="K46" s="780"/>
      <c r="L46" s="1140"/>
      <c r="M46" s="1141"/>
      <c r="N46" s="1128"/>
      <c r="O46" s="1141"/>
      <c r="P46" s="3205" t="str">
        <f>A46</f>
        <v>成交单价</v>
      </c>
      <c r="Q46" s="3205"/>
      <c r="R46" s="3236">
        <f>E46</f>
        <v>0</v>
      </c>
      <c r="S46" s="3236"/>
      <c r="T46" s="3236">
        <f>G46</f>
        <v>0</v>
      </c>
      <c r="U46" s="3236"/>
      <c r="V46" s="3236">
        <f>I46</f>
        <v>0</v>
      </c>
      <c r="W46" s="3236"/>
      <c r="X46" s="756"/>
      <c r="Y46" s="778"/>
      <c r="Z46" s="756"/>
      <c r="AA46" s="756"/>
      <c r="AB46" s="756"/>
      <c r="AC46" s="756"/>
    </row>
    <row r="47" spans="1:29" ht="15.75" thickBot="1">
      <c r="A47" s="483" t="s">
        <v>2641</v>
      </c>
      <c r="B47" s="680"/>
      <c r="C47" s="487" t="e">
        <f>R48</f>
        <v>#DIV/0!</v>
      </c>
      <c r="D47" s="486"/>
      <c r="E47" s="487" t="e">
        <f>R47</f>
        <v>#DIV/0!</v>
      </c>
      <c r="F47" s="488"/>
      <c r="G47" s="485" t="e">
        <f>T47</f>
        <v>#DIV/0!</v>
      </c>
      <c r="H47" s="486"/>
      <c r="I47" s="487" t="e">
        <f>V47</f>
        <v>#DIV/0!</v>
      </c>
      <c r="J47" s="486"/>
      <c r="K47" s="781"/>
      <c r="L47" s="1140"/>
      <c r="M47" s="1141"/>
      <c r="N47" s="1141"/>
      <c r="O47" s="1141"/>
      <c r="P47" s="3205" t="str">
        <f>A47</f>
        <v>比较价值（元/平方米）</v>
      </c>
      <c r="Q47" s="3205"/>
      <c r="R47" s="3264" t="e">
        <f>ROUND(PRODUCT(R46,AA7:AA45),0)</f>
        <v>#DIV/0!</v>
      </c>
      <c r="S47" s="3264"/>
      <c r="T47" s="3264" t="e">
        <f>ROUND(PRODUCT(T46,AB7:AB45),0)</f>
        <v>#DIV/0!</v>
      </c>
      <c r="U47" s="3264"/>
      <c r="V47" s="3264" t="e">
        <f>ROUND(PRODUCT(V46,AC7:AC45),0)</f>
        <v>#DIV/0!</v>
      </c>
      <c r="W47" s="3264"/>
      <c r="X47" s="756"/>
      <c r="Y47" s="756"/>
      <c r="Z47" s="756"/>
      <c r="AA47" s="756"/>
      <c r="AB47" s="756"/>
      <c r="AC47" s="756"/>
    </row>
    <row r="48" spans="1:29" ht="15.75" thickBot="1">
      <c r="A48" s="489" t="s">
        <v>2729</v>
      </c>
      <c r="B48" s="490"/>
      <c r="C48" s="491" t="e">
        <f>R48</f>
        <v>#DIV/0!</v>
      </c>
      <c r="D48" s="491"/>
      <c r="E48" s="491"/>
      <c r="F48" s="491"/>
      <c r="G48" s="491"/>
      <c r="H48" s="491"/>
      <c r="I48" s="491"/>
      <c r="J48" s="491"/>
      <c r="K48" s="782"/>
      <c r="L48" s="1140"/>
      <c r="M48" s="1141"/>
      <c r="N48" s="1141"/>
      <c r="O48" s="1141"/>
      <c r="P48" s="3202" t="str">
        <f>A48</f>
        <v>估价对象XX用房的比较价值（楼面单价，元/平方米）</v>
      </c>
      <c r="Q48" s="3203"/>
      <c r="R48" s="3265" t="e">
        <f>ROUND(AVERAGE(R47:V47),0)</f>
        <v>#DIV/0!</v>
      </c>
      <c r="S48" s="3265"/>
      <c r="T48" s="3265"/>
      <c r="U48" s="3265"/>
      <c r="V48" s="3265"/>
      <c r="W48" s="3265"/>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2643</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2"/>
      <c r="L51" s="1103"/>
      <c r="M51" s="1141"/>
      <c r="N51" s="1141"/>
      <c r="O51" s="1141"/>
    </row>
    <row r="52" spans="1:15" ht="13.5" customHeight="1">
      <c r="A52" s="1141"/>
      <c r="B52" s="1141"/>
      <c r="C52" s="494" t="s">
        <v>2644</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2"/>
      <c r="L52" s="1103"/>
      <c r="M52" s="1141"/>
      <c r="N52" s="1141"/>
      <c r="O52" s="1141"/>
    </row>
    <row r="53" spans="1:15" s="499" customFormat="1" ht="13.5" customHeight="1">
      <c r="A53" s="1142"/>
      <c r="B53" s="1142"/>
      <c r="C53" s="494" t="s">
        <v>2645</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5"/>
      <c r="L53" s="1146"/>
      <c r="M53" s="1142"/>
      <c r="N53" s="1142"/>
      <c r="O53" s="1142"/>
    </row>
    <row r="54" spans="1:15" s="499" customFormat="1" ht="15" thickBot="1">
      <c r="A54" s="1142"/>
      <c r="B54" s="1143"/>
      <c r="C54" s="759"/>
      <c r="D54" s="757"/>
      <c r="E54" s="757"/>
      <c r="F54" s="757"/>
      <c r="G54" s="757"/>
      <c r="H54" s="757"/>
      <c r="I54" s="757"/>
      <c r="J54" s="757"/>
      <c r="K54" s="1145"/>
      <c r="L54" s="1146"/>
      <c r="M54" s="1142"/>
      <c r="N54" s="1142"/>
      <c r="O54" s="1142"/>
    </row>
    <row r="55" spans="1:15" ht="27" customHeight="1">
      <c r="A55" s="681" t="s">
        <v>2730</v>
      </c>
      <c r="B55" s="682" t="s">
        <v>2731</v>
      </c>
      <c r="C55" s="2702" t="s">
        <v>2732</v>
      </c>
      <c r="D55" s="2703" t="s">
        <v>2733</v>
      </c>
      <c r="E55" s="683" t="s">
        <v>2734</v>
      </c>
      <c r="F55" s="1104" t="s">
        <v>2735</v>
      </c>
      <c r="G55" s="3220" t="s">
        <v>2736</v>
      </c>
      <c r="H55" s="3266"/>
      <c r="I55" s="141" t="s">
        <v>2737</v>
      </c>
      <c r="J55" s="2704">
        <f>项目基本情况!F35</f>
        <v>0</v>
      </c>
      <c r="K55" s="2705" t="s">
        <v>2738</v>
      </c>
      <c r="L55" s="1103"/>
      <c r="M55" s="1141"/>
      <c r="N55" s="1141"/>
      <c r="O55" s="1141"/>
    </row>
    <row r="56" spans="1:15" s="689" customFormat="1">
      <c r="A56" s="685" t="s">
        <v>2739</v>
      </c>
      <c r="B56" s="686" t="e">
        <f>C48</f>
        <v>#DIV/0!</v>
      </c>
      <c r="C56" s="687">
        <v>1</v>
      </c>
      <c r="D56" s="1160">
        <v>1</v>
      </c>
      <c r="E56" s="687">
        <f>'数据-汇总表'!E8+'数据-汇总表'!E9</f>
        <v>37043.53</v>
      </c>
      <c r="F56" s="1100" t="e">
        <f t="shared" ref="F56:F65" si="15">ROUND(B56*E56/10000,0)</f>
        <v>#DIV/0!</v>
      </c>
      <c r="G56" s="3216"/>
      <c r="H56" s="3205"/>
      <c r="I56" s="1105">
        <v>1</v>
      </c>
      <c r="J56" s="1108">
        <v>1</v>
      </c>
      <c r="K56" s="1142"/>
      <c r="L56" s="938"/>
      <c r="M56" s="938"/>
      <c r="N56" s="938"/>
      <c r="O56" s="938"/>
    </row>
    <row r="57" spans="1:15" s="689" customFormat="1">
      <c r="A57" s="690" t="s">
        <v>2740</v>
      </c>
      <c r="B57" s="259" t="e">
        <f>ROUND($C$48*C57*D57,0)</f>
        <v>#DIV/0!</v>
      </c>
      <c r="C57" s="197">
        <f t="shared" ref="C57:C65" si="16">IF($C$55="北京市系数",I57,J57)</f>
        <v>0.7</v>
      </c>
      <c r="D57" s="1161">
        <v>0.25</v>
      </c>
      <c r="E57" s="691"/>
      <c r="F57" s="1100" t="e">
        <f t="shared" si="15"/>
        <v>#DIV/0!</v>
      </c>
      <c r="G57" s="3267" t="s">
        <v>2741</v>
      </c>
      <c r="H57" s="1101" t="str">
        <f>项目基本情况!B37</f>
        <v>六级</v>
      </c>
      <c r="I57" s="1105">
        <f>SUMIF(修正!A45:A56,H57,修正!B45:B56)</f>
        <v>0.7</v>
      </c>
      <c r="J57" s="1109"/>
      <c r="K57" s="1141"/>
      <c r="L57" s="938"/>
      <c r="M57" s="938"/>
      <c r="N57" s="938"/>
      <c r="O57" s="938"/>
    </row>
    <row r="58" spans="1:15" s="689" customFormat="1">
      <c r="A58" s="690" t="s">
        <v>2742</v>
      </c>
      <c r="B58" s="259" t="e">
        <f t="shared" ref="B58:B65" si="17">ROUND($C$48*C58*D58,0)</f>
        <v>#DIV/0!</v>
      </c>
      <c r="C58" s="197">
        <f t="shared" si="16"/>
        <v>0.4</v>
      </c>
      <c r="D58" s="1161">
        <v>0.25</v>
      </c>
      <c r="E58" s="691"/>
      <c r="F58" s="1100" t="e">
        <f t="shared" si="15"/>
        <v>#DIV/0!</v>
      </c>
      <c r="G58" s="3267"/>
      <c r="H58" s="1101" t="str">
        <f>项目基本情况!B37</f>
        <v>六级</v>
      </c>
      <c r="I58" s="1105">
        <f>SUMIF(修正!A45:A56,H58,修正!C45:C56)</f>
        <v>0.4</v>
      </c>
      <c r="J58" s="1109"/>
      <c r="K58" s="1142"/>
      <c r="L58" s="938"/>
      <c r="M58" s="938"/>
      <c r="N58" s="938"/>
      <c r="O58" s="938"/>
    </row>
    <row r="59" spans="1:15" s="689" customFormat="1">
      <c r="A59" s="690" t="s">
        <v>2743</v>
      </c>
      <c r="B59" s="259" t="e">
        <f t="shared" si="17"/>
        <v>#DIV/0!</v>
      </c>
      <c r="C59" s="197">
        <f t="shared" si="16"/>
        <v>0.28000000000000003</v>
      </c>
      <c r="D59" s="1161">
        <v>0.25</v>
      </c>
      <c r="E59" s="691"/>
      <c r="F59" s="1100" t="e">
        <f t="shared" si="15"/>
        <v>#DIV/0!</v>
      </c>
      <c r="G59" s="3267"/>
      <c r="H59" s="1101" t="str">
        <f>项目基本情况!B37</f>
        <v>六级</v>
      </c>
      <c r="I59" s="1105">
        <f>SUMIF(修正!A45:A56,H59,修正!D45:D56)</f>
        <v>0.28000000000000003</v>
      </c>
      <c r="J59" s="1109"/>
      <c r="K59" s="1141"/>
      <c r="L59" s="938"/>
      <c r="M59" s="938"/>
      <c r="N59" s="938"/>
      <c r="O59" s="938"/>
    </row>
    <row r="60" spans="1:15" s="689" customFormat="1">
      <c r="A60" s="690" t="s">
        <v>2744</v>
      </c>
      <c r="B60" s="259" t="e">
        <f t="shared" si="17"/>
        <v>#DIV/0!</v>
      </c>
      <c r="C60" s="197">
        <f t="shared" si="16"/>
        <v>0.25</v>
      </c>
      <c r="D60" s="1161">
        <v>0.25</v>
      </c>
      <c r="E60" s="691"/>
      <c r="F60" s="1100" t="e">
        <f t="shared" si="15"/>
        <v>#DIV/0!</v>
      </c>
      <c r="G60" s="3267"/>
      <c r="H60" s="1101" t="str">
        <f>项目基本情况!B37</f>
        <v>六级</v>
      </c>
      <c r="I60" s="1105">
        <f>SUMIF(修正!A45:A56,H60,修正!E45:E56)</f>
        <v>0.25</v>
      </c>
      <c r="J60" s="1109"/>
      <c r="K60" s="1142"/>
      <c r="L60" s="938"/>
      <c r="M60" s="938"/>
      <c r="N60" s="938"/>
      <c r="O60" s="938"/>
    </row>
    <row r="61" spans="1:15" s="689" customFormat="1">
      <c r="A61" s="690" t="s">
        <v>2745</v>
      </c>
      <c r="B61" s="259" t="e">
        <f t="shared" si="17"/>
        <v>#DIV/0!</v>
      </c>
      <c r="C61" s="197">
        <f t="shared" si="16"/>
        <v>0</v>
      </c>
      <c r="D61" s="1161">
        <v>0.25</v>
      </c>
      <c r="E61" s="258">
        <f>'数据-汇总表'!E11</f>
        <v>0</v>
      </c>
      <c r="F61" s="1100" t="e">
        <f t="shared" si="15"/>
        <v>#DIV/0!</v>
      </c>
      <c r="G61" s="2706" t="s">
        <v>2746</v>
      </c>
      <c r="H61" s="1101">
        <f>项目基本情况!C37</f>
        <v>0</v>
      </c>
      <c r="I61" s="1105">
        <f>SUMIF(修正!A45:A56,H61,修正!F45:F56)</f>
        <v>0</v>
      </c>
      <c r="J61" s="1109"/>
      <c r="K61" s="1141"/>
      <c r="L61" s="938"/>
      <c r="M61" s="938"/>
      <c r="N61" s="938"/>
      <c r="O61" s="938"/>
    </row>
    <row r="62" spans="1:15" s="689" customFormat="1">
      <c r="A62" s="690" t="s">
        <v>2747</v>
      </c>
      <c r="B62" s="259" t="e">
        <f t="shared" si="17"/>
        <v>#DIV/0!</v>
      </c>
      <c r="C62" s="197">
        <f t="shared" si="16"/>
        <v>0</v>
      </c>
      <c r="D62" s="1161">
        <v>0.25</v>
      </c>
      <c r="E62" s="258">
        <f>'数据-汇总表'!E12</f>
        <v>8980.48</v>
      </c>
      <c r="F62" s="1100" t="e">
        <f t="shared" si="15"/>
        <v>#DIV/0!</v>
      </c>
      <c r="G62" s="1106" t="s">
        <v>2748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2749</v>
      </c>
      <c r="B63" s="259" t="e">
        <f t="shared" si="17"/>
        <v>#DIV/0!</v>
      </c>
      <c r="C63" s="197">
        <f t="shared" si="16"/>
        <v>0.2</v>
      </c>
      <c r="D63" s="1161">
        <v>0.25</v>
      </c>
      <c r="E63" s="258">
        <f>'数据-汇总表'!E13</f>
        <v>0</v>
      </c>
      <c r="F63" s="1100" t="e">
        <f t="shared" si="15"/>
        <v>#DIV/0!</v>
      </c>
      <c r="G63" s="1106" t="s">
        <v>2750</v>
      </c>
      <c r="H63" s="1101" t="str">
        <f>IF(G63="商业",项目基本情况!B37,IF(G63="办公",项目基本情况!C37,IF(G63="住宅",项目基本情况!D37,项目基本情况!E37)))</f>
        <v>六级</v>
      </c>
      <c r="I63" s="1105">
        <f>SUMIF(修正!A45:A56,H63,修正!H45:H56)</f>
        <v>0.2</v>
      </c>
      <c r="J63" s="1109"/>
      <c r="K63" s="1141"/>
      <c r="L63" s="938"/>
      <c r="M63" s="938"/>
      <c r="N63" s="938"/>
      <c r="O63" s="938"/>
    </row>
    <row r="64" spans="1:15" s="689" customFormat="1">
      <c r="A64" s="690" t="s">
        <v>2751</v>
      </c>
      <c r="B64" s="259" t="e">
        <f t="shared" si="17"/>
        <v>#DIV/0!</v>
      </c>
      <c r="C64" s="197">
        <f t="shared" si="16"/>
        <v>0.2</v>
      </c>
      <c r="D64" s="1161">
        <v>0.25</v>
      </c>
      <c r="E64" s="258">
        <f>'数据-汇总表'!E14</f>
        <v>0</v>
      </c>
      <c r="F64" s="1100" t="e">
        <f t="shared" si="15"/>
        <v>#DIV/0!</v>
      </c>
      <c r="G64" s="2706" t="s">
        <v>2741</v>
      </c>
      <c r="H64" s="1101" t="str">
        <f>项目基本情况!B37</f>
        <v>六级</v>
      </c>
      <c r="I64" s="1105">
        <f>SUMIF(修正!A45:A56,H64,修正!H45:H56)</f>
        <v>0.2</v>
      </c>
      <c r="J64" s="1109"/>
      <c r="K64" s="1142"/>
      <c r="L64" s="938"/>
      <c r="M64" s="938"/>
      <c r="N64" s="938"/>
      <c r="O64" s="938"/>
    </row>
    <row r="65" spans="1:17" s="689" customFormat="1" ht="15" thickBot="1">
      <c r="A65" s="690" t="s">
        <v>2752</v>
      </c>
      <c r="B65" s="259" t="e">
        <f t="shared" si="17"/>
        <v>#DIV/0!</v>
      </c>
      <c r="C65" s="197">
        <f t="shared" si="16"/>
        <v>0</v>
      </c>
      <c r="D65" s="1161">
        <v>0.25</v>
      </c>
      <c r="E65" s="258">
        <f>'数据-汇总表'!E15</f>
        <v>0</v>
      </c>
      <c r="F65" s="1100" t="e">
        <f t="shared" si="15"/>
        <v>#DIV/0!</v>
      </c>
      <c r="G65" s="2707" t="s">
        <v>2746</v>
      </c>
      <c r="H65" s="1111">
        <f>项目基本情况!C37</f>
        <v>0</v>
      </c>
      <c r="I65" s="1107">
        <f>SUMIF(修正!A45:A56,H65,修正!H45:H56)</f>
        <v>0</v>
      </c>
      <c r="J65" s="1110"/>
      <c r="K65" s="1141"/>
      <c r="L65" s="938"/>
      <c r="M65" s="938"/>
      <c r="N65" s="938"/>
      <c r="O65" s="938"/>
    </row>
    <row r="66" spans="1:17" s="689" customFormat="1" ht="13.5" thickBot="1">
      <c r="A66" s="692" t="s">
        <v>2753</v>
      </c>
      <c r="B66" s="693" t="s">
        <v>25</v>
      </c>
      <c r="C66" s="693" t="s">
        <v>26</v>
      </c>
      <c r="D66" s="693" t="s">
        <v>1001</v>
      </c>
      <c r="E66" s="693">
        <f>IF(B46="楼面地价",SUM(E56:E65),'数据-汇总表'!D3)</f>
        <v>46024.009999999995</v>
      </c>
      <c r="F66" s="694"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2020-1-1</v>
      </c>
      <c r="D68" s="758">
        <f>EDATE(C68,-3)</f>
        <v>43739</v>
      </c>
      <c r="E68" s="758">
        <f>EDATE(D68,-3)</f>
        <v>43647</v>
      </c>
      <c r="F68" s="758">
        <f t="shared" ref="F68:O68" si="18">EDATE(E68,-3)</f>
        <v>43556</v>
      </c>
      <c r="G68" s="758">
        <f t="shared" si="18"/>
        <v>43466</v>
      </c>
      <c r="H68" s="758">
        <f t="shared" si="18"/>
        <v>43374</v>
      </c>
      <c r="I68" s="758">
        <f t="shared" si="18"/>
        <v>43282</v>
      </c>
      <c r="J68" s="758">
        <f t="shared" si="18"/>
        <v>43191</v>
      </c>
      <c r="K68" s="758">
        <f t="shared" si="18"/>
        <v>43101</v>
      </c>
      <c r="L68" s="758">
        <f t="shared" si="18"/>
        <v>43009</v>
      </c>
      <c r="M68" s="758">
        <f t="shared" si="18"/>
        <v>42917</v>
      </c>
      <c r="N68" s="758">
        <f t="shared" si="18"/>
        <v>42826</v>
      </c>
      <c r="O68" s="758">
        <f t="shared" si="18"/>
        <v>42736</v>
      </c>
    </row>
    <row r="69" spans="1:17" ht="21.75" thickBot="1">
      <c r="A69" s="760" t="s">
        <v>2646</v>
      </c>
      <c r="B69" s="756"/>
      <c r="C69" s="761"/>
      <c r="D69" s="761"/>
      <c r="E69" s="761"/>
      <c r="F69" s="762"/>
      <c r="G69" s="762"/>
      <c r="H69" s="761"/>
      <c r="I69" s="761"/>
      <c r="J69" s="1156"/>
      <c r="K69" s="1157"/>
      <c r="L69" s="1158"/>
      <c r="M69" s="1156"/>
      <c r="N69" s="1156"/>
      <c r="O69" s="1156"/>
      <c r="P69" s="500"/>
      <c r="Q69" s="501"/>
    </row>
    <row r="70" spans="1:17" s="505" customFormat="1" ht="15">
      <c r="A70" s="2708" t="s">
        <v>2754</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4"/>
    </row>
    <row r="71" spans="1:17" s="114" customFormat="1" ht="30" customHeight="1">
      <c r="A71" s="2709" t="s">
        <v>2755</v>
      </c>
      <c r="B71" s="329" t="str">
        <f>"北京市平均增长率"&amp;TEXT(SUMIF(基准地价修正!N21:N25,A71,基准地价修正!P21:P25),"0.00%")</f>
        <v>北京市平均增长率2.08%</v>
      </c>
      <c r="C71" s="600">
        <v>100</v>
      </c>
      <c r="D71" s="592"/>
      <c r="E71" s="592"/>
      <c r="F71" s="592"/>
      <c r="G71" s="592"/>
      <c r="H71" s="592"/>
      <c r="I71" s="592"/>
      <c r="J71" s="592"/>
      <c r="K71" s="592"/>
      <c r="L71" s="592"/>
      <c r="M71" s="1564"/>
      <c r="N71" s="592"/>
      <c r="O71" s="1565"/>
      <c r="P71" s="501"/>
    </row>
    <row r="72" spans="1:17" s="114" customFormat="1" ht="15.75" thickBot="1">
      <c r="A72" s="512" t="s">
        <v>2557</v>
      </c>
      <c r="B72" s="513"/>
      <c r="C72" s="514"/>
      <c r="D72" s="515"/>
      <c r="E72" s="515"/>
      <c r="F72" s="515"/>
      <c r="G72" s="515"/>
      <c r="H72" s="515"/>
      <c r="I72" s="515"/>
      <c r="J72" s="515"/>
      <c r="K72" s="515"/>
      <c r="L72" s="515"/>
      <c r="M72" s="516"/>
      <c r="N72" s="515"/>
      <c r="O72" s="1159"/>
      <c r="P72" s="501"/>
      <c r="Q72" s="501"/>
    </row>
    <row r="73" spans="1:17" s="114" customFormat="1" ht="15">
      <c r="A73" s="518" t="s">
        <v>2522</v>
      </c>
      <c r="B73" s="507"/>
      <c r="C73" s="519" t="s">
        <v>2624</v>
      </c>
      <c r="D73" s="520"/>
      <c r="E73" s="520"/>
      <c r="F73" s="520"/>
      <c r="G73" s="520"/>
      <c r="H73" s="520"/>
      <c r="I73" s="520"/>
      <c r="J73" s="520"/>
      <c r="K73" s="520"/>
      <c r="L73" s="521"/>
      <c r="M73" s="522"/>
      <c r="N73" s="1148"/>
      <c r="O73" s="1148"/>
      <c r="P73" s="523"/>
      <c r="Q73" s="501"/>
    </row>
    <row r="74" spans="1:17" s="114"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2560</v>
      </c>
      <c r="B75" s="525" t="s">
        <v>2526</v>
      </c>
      <c r="C75" s="527"/>
      <c r="D75" s="527"/>
      <c r="E75" s="527"/>
      <c r="F75" s="527"/>
      <c r="G75" s="527"/>
      <c r="H75" s="527"/>
      <c r="I75" s="527"/>
      <c r="J75" s="527"/>
      <c r="K75" s="528"/>
      <c r="L75" s="529"/>
      <c r="M75" s="530"/>
      <c r="N75" s="1149"/>
      <c r="O75" s="1149"/>
      <c r="P75" s="42"/>
      <c r="Q75" s="501"/>
    </row>
    <row r="76" spans="1:17" ht="15.75" thickBot="1">
      <c r="A76" s="531"/>
      <c r="B76" s="532"/>
      <c r="C76" s="533"/>
      <c r="D76" s="533"/>
      <c r="E76" s="533"/>
      <c r="F76" s="533"/>
      <c r="G76" s="533"/>
      <c r="H76" s="533"/>
      <c r="I76" s="533"/>
      <c r="J76" s="533"/>
      <c r="K76" s="533"/>
      <c r="L76" s="533"/>
      <c r="M76" s="534"/>
      <c r="N76" s="1150"/>
      <c r="O76" s="1150"/>
      <c r="P76" s="42"/>
      <c r="Q76" s="501"/>
    </row>
    <row r="77" spans="1:17" ht="27.75" thickTop="1">
      <c r="A77" s="531"/>
      <c r="B77" s="535" t="s">
        <v>2529</v>
      </c>
      <c r="C77" s="536"/>
      <c r="D77" s="536"/>
      <c r="E77" s="536"/>
      <c r="F77" s="536"/>
      <c r="G77" s="536"/>
      <c r="H77" s="536"/>
      <c r="I77" s="536"/>
      <c r="J77" s="536"/>
      <c r="K77" s="537"/>
      <c r="L77" s="538"/>
      <c r="M77" s="539"/>
      <c r="N77" s="1149"/>
      <c r="O77" s="1149"/>
      <c r="P77" s="42"/>
      <c r="Q77" s="501"/>
    </row>
    <row r="78" spans="1:17" ht="15.75" thickBot="1">
      <c r="A78" s="531"/>
      <c r="B78" s="540"/>
      <c r="C78" s="541"/>
      <c r="D78" s="541"/>
      <c r="E78" s="541"/>
      <c r="F78" s="541"/>
      <c r="G78" s="541"/>
      <c r="H78" s="541"/>
      <c r="I78" s="541"/>
      <c r="J78" s="541"/>
      <c r="K78" s="541"/>
      <c r="L78" s="541"/>
      <c r="M78" s="542"/>
      <c r="N78" s="1150"/>
      <c r="O78" s="1150"/>
      <c r="P78" s="42"/>
      <c r="Q78" s="501"/>
    </row>
    <row r="79" spans="1:17" ht="15.75" thickTop="1">
      <c r="A79" s="531"/>
      <c r="B79" s="543" t="s">
        <v>2530</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2"/>
      <c r="Q79" s="501"/>
    </row>
    <row r="80" spans="1:17" ht="15">
      <c r="A80" s="531"/>
      <c r="B80" s="545"/>
      <c r="C80" s="546"/>
      <c r="D80" s="546"/>
      <c r="E80" s="546"/>
      <c r="F80" s="546"/>
      <c r="G80" s="546"/>
      <c r="H80" s="546"/>
      <c r="I80" s="546"/>
      <c r="J80" s="546"/>
      <c r="K80" s="547"/>
      <c r="L80" s="548"/>
      <c r="M80" s="549"/>
      <c r="N80" s="1149"/>
      <c r="O80" s="1149"/>
      <c r="P80" s="42"/>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50"/>
      <c r="O81" s="1150"/>
      <c r="P81" s="42"/>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2531</v>
      </c>
      <c r="B88" s="525" t="s">
        <v>2568</v>
      </c>
      <c r="C88" s="570" t="s">
        <v>2569</v>
      </c>
      <c r="D88" s="570" t="s">
        <v>2570</v>
      </c>
      <c r="E88" s="570" t="s">
        <v>2571</v>
      </c>
      <c r="F88" s="570" t="s">
        <v>2572</v>
      </c>
      <c r="G88" s="570" t="s">
        <v>2573</v>
      </c>
      <c r="H88" s="526"/>
      <c r="I88" s="526"/>
      <c r="J88" s="526"/>
      <c r="K88" s="571"/>
      <c r="L88" s="572"/>
      <c r="M88" s="573"/>
      <c r="N88" s="1149"/>
      <c r="O88" s="1149"/>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0"/>
      <c r="O89" s="1150"/>
      <c r="P89" s="42"/>
      <c r="Q89" s="501"/>
    </row>
    <row r="90" spans="1:17" ht="15.75" thickTop="1">
      <c r="A90" s="531"/>
      <c r="B90" s="535" t="s">
        <v>2756</v>
      </c>
      <c r="C90" s="575" t="s">
        <v>2569</v>
      </c>
      <c r="D90" s="575" t="s">
        <v>2570</v>
      </c>
      <c r="E90" s="575" t="s">
        <v>2571</v>
      </c>
      <c r="F90" s="575" t="s">
        <v>2572</v>
      </c>
      <c r="G90" s="575" t="s">
        <v>2573</v>
      </c>
      <c r="H90" s="536"/>
      <c r="I90" s="536"/>
      <c r="J90" s="536"/>
      <c r="K90" s="537"/>
      <c r="L90" s="538"/>
      <c r="M90" s="539"/>
      <c r="N90" s="1149"/>
      <c r="O90" s="1149"/>
      <c r="P90" s="42"/>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2"/>
      <c r="Q91" s="501"/>
    </row>
    <row r="92" spans="1:17" ht="15.75" thickTop="1">
      <c r="A92" s="531"/>
      <c r="B92" s="535" t="s">
        <v>2669</v>
      </c>
      <c r="C92" s="575" t="s">
        <v>2569</v>
      </c>
      <c r="D92" s="575" t="s">
        <v>2570</v>
      </c>
      <c r="E92" s="575" t="s">
        <v>2571</v>
      </c>
      <c r="F92" s="575" t="s">
        <v>2572</v>
      </c>
      <c r="G92" s="575" t="s">
        <v>2573</v>
      </c>
      <c r="H92" s="536"/>
      <c r="I92" s="536"/>
      <c r="J92" s="536"/>
      <c r="K92" s="537"/>
      <c r="L92" s="538"/>
      <c r="M92" s="539"/>
      <c r="N92" s="1149"/>
      <c r="O92" s="1149"/>
      <c r="P92" s="42"/>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2"/>
      <c r="Q93" s="501"/>
    </row>
    <row r="94" spans="1:17" ht="15.75" thickTop="1">
      <c r="A94" s="531"/>
      <c r="B94" s="535" t="s">
        <v>2574</v>
      </c>
      <c r="C94" s="575" t="s">
        <v>2569</v>
      </c>
      <c r="D94" s="575" t="s">
        <v>2570</v>
      </c>
      <c r="E94" s="575" t="s">
        <v>2571</v>
      </c>
      <c r="F94" s="575" t="s">
        <v>2572</v>
      </c>
      <c r="G94" s="575" t="s">
        <v>2573</v>
      </c>
      <c r="H94" s="536"/>
      <c r="I94" s="536"/>
      <c r="J94" s="536"/>
      <c r="K94" s="537"/>
      <c r="L94" s="538"/>
      <c r="M94" s="539"/>
      <c r="N94" s="1149"/>
      <c r="O94" s="1149"/>
      <c r="P94" s="42"/>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50"/>
      <c r="O95" s="1150"/>
      <c r="P95" s="42"/>
      <c r="Q95" s="501"/>
    </row>
    <row r="96" spans="1:17" s="114" customFormat="1" ht="15.75" thickTop="1">
      <c r="A96" s="576"/>
      <c r="B96" s="535" t="s">
        <v>2757</v>
      </c>
      <c r="C96" s="575" t="s">
        <v>2569</v>
      </c>
      <c r="D96" s="575" t="s">
        <v>2570</v>
      </c>
      <c r="E96" s="575" t="s">
        <v>2571</v>
      </c>
      <c r="F96" s="575" t="s">
        <v>2572</v>
      </c>
      <c r="G96" s="575" t="s">
        <v>2573</v>
      </c>
      <c r="H96" s="575"/>
      <c r="I96" s="575"/>
      <c r="J96" s="575"/>
      <c r="K96" s="575"/>
      <c r="L96" s="695"/>
      <c r="M96" s="619"/>
      <c r="N96" s="1148"/>
      <c r="O96" s="1148"/>
      <c r="P96" s="42"/>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50"/>
      <c r="O97" s="1150"/>
      <c r="P97" s="42"/>
      <c r="Q97" s="501"/>
    </row>
    <row r="98" spans="1:17" s="114" customFormat="1" ht="27.75" thickTop="1">
      <c r="A98" s="576"/>
      <c r="B98" s="535" t="s">
        <v>2758</v>
      </c>
      <c r="C98" s="570" t="s">
        <v>2569</v>
      </c>
      <c r="D98" s="570" t="s">
        <v>2570</v>
      </c>
      <c r="E98" s="570" t="s">
        <v>2571</v>
      </c>
      <c r="F98" s="570" t="s">
        <v>2572</v>
      </c>
      <c r="G98" s="570" t="s">
        <v>2573</v>
      </c>
      <c r="H98" s="575"/>
      <c r="I98" s="575"/>
      <c r="J98" s="575"/>
      <c r="K98" s="575"/>
      <c r="L98" s="575"/>
      <c r="M98" s="619"/>
      <c r="N98" s="1148"/>
      <c r="O98" s="1148"/>
      <c r="P98" s="42"/>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50"/>
      <c r="O99" s="1150"/>
      <c r="P99" s="42"/>
      <c r="Q99" s="501"/>
    </row>
    <row r="100" spans="1:17" s="468" customFormat="1" ht="15.75" thickTop="1">
      <c r="A100" s="550"/>
      <c r="B100" s="535" t="s">
        <v>2626</v>
      </c>
      <c r="C100" s="570" t="s">
        <v>2569</v>
      </c>
      <c r="D100" s="570" t="s">
        <v>2570</v>
      </c>
      <c r="E100" s="570" t="s">
        <v>2571</v>
      </c>
      <c r="F100" s="570" t="s">
        <v>2572</v>
      </c>
      <c r="G100" s="570" t="s">
        <v>2573</v>
      </c>
      <c r="H100" s="597"/>
      <c r="I100" s="597"/>
      <c r="J100" s="597"/>
      <c r="K100" s="597"/>
      <c r="L100" s="598"/>
      <c r="M100" s="599"/>
      <c r="N100" s="1151"/>
      <c r="O100" s="1151"/>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1"/>
      <c r="O101" s="1151"/>
      <c r="P101" s="555"/>
      <c r="Q101" s="556"/>
    </row>
    <row r="102" spans="1:17" s="468" customFormat="1" ht="15.75" thickTop="1">
      <c r="A102" s="550"/>
      <c r="B102" s="543" t="s">
        <v>2627</v>
      </c>
      <c r="C102" s="657" t="s">
        <v>2647</v>
      </c>
      <c r="D102" s="657" t="s">
        <v>2648</v>
      </c>
      <c r="E102" s="657" t="s">
        <v>2649</v>
      </c>
      <c r="F102" s="657" t="s">
        <v>2650</v>
      </c>
      <c r="G102" s="657" t="s">
        <v>2651</v>
      </c>
      <c r="H102" s="597"/>
      <c r="I102" s="597"/>
      <c r="J102" s="597"/>
      <c r="K102" s="597"/>
      <c r="L102" s="597"/>
      <c r="M102" s="1382"/>
      <c r="N102" s="1151"/>
      <c r="O102" s="1151"/>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2"/>
      <c r="N103" s="1151"/>
      <c r="O103" s="1151"/>
      <c r="P103" s="555"/>
      <c r="Q103" s="556"/>
    </row>
    <row r="104" spans="1:17" ht="15.75" thickTop="1">
      <c r="A104" s="531"/>
      <c r="B104" s="535" t="str">
        <f>B31</f>
        <v>临街状况</v>
      </c>
      <c r="C104" s="536" t="s">
        <v>2759</v>
      </c>
      <c r="D104" s="536" t="s">
        <v>2760</v>
      </c>
      <c r="E104" s="536" t="s">
        <v>2761</v>
      </c>
      <c r="F104" s="536" t="s">
        <v>2762</v>
      </c>
      <c r="G104" s="536"/>
      <c r="H104" s="536"/>
      <c r="I104" s="536"/>
      <c r="J104" s="536"/>
      <c r="K104" s="537"/>
      <c r="L104" s="538"/>
      <c r="M104" s="539"/>
      <c r="N104" s="1149"/>
      <c r="O104" s="1149"/>
      <c r="P104" s="42"/>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2"/>
      <c r="Q105" s="501"/>
    </row>
    <row r="106" spans="1:17" ht="27.75" thickTop="1">
      <c r="A106" s="531"/>
      <c r="B106" s="535" t="s">
        <v>2663</v>
      </c>
      <c r="C106" s="551"/>
      <c r="D106" s="551"/>
      <c r="E106" s="551"/>
      <c r="F106" s="551"/>
      <c r="G106" s="551"/>
      <c r="H106" s="580"/>
      <c r="I106" s="580"/>
      <c r="J106" s="580"/>
      <c r="K106" s="581"/>
      <c r="L106" s="582"/>
      <c r="M106" s="583"/>
      <c r="N106" s="1149"/>
      <c r="O106" s="1149"/>
      <c r="P106" s="42"/>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0"/>
      <c r="O107" s="1150"/>
      <c r="P107" s="42"/>
      <c r="Q107" s="501"/>
    </row>
    <row r="108" spans="1:17" ht="15.75" thickTop="1">
      <c r="A108" s="531"/>
      <c r="B108" s="535" t="s">
        <v>2722</v>
      </c>
      <c r="C108" s="580"/>
      <c r="D108" s="580"/>
      <c r="E108" s="580"/>
      <c r="F108" s="580"/>
      <c r="G108" s="580"/>
      <c r="H108" s="580"/>
      <c r="I108" s="580"/>
      <c r="J108" s="580"/>
      <c r="K108" s="581"/>
      <c r="L108" s="582"/>
      <c r="M108" s="583"/>
      <c r="N108" s="1149"/>
      <c r="O108" s="1149"/>
      <c r="P108" s="42"/>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2"/>
      <c r="Q109" s="501"/>
    </row>
    <row r="110" spans="1:17" ht="15.75" thickTop="1">
      <c r="A110" s="531"/>
      <c r="B110" s="543">
        <f>B35</f>
        <v>111</v>
      </c>
      <c r="C110" s="551"/>
      <c r="D110" s="551"/>
      <c r="E110" s="551"/>
      <c r="F110" s="551"/>
      <c r="G110" s="584"/>
      <c r="H110" s="584"/>
      <c r="I110" s="584"/>
      <c r="J110" s="584"/>
      <c r="K110" s="585"/>
      <c r="L110" s="586"/>
      <c r="M110" s="587"/>
      <c r="N110" s="1149"/>
      <c r="O110" s="1149"/>
      <c r="P110" s="42"/>
      <c r="Q110" s="501"/>
    </row>
    <row r="111" spans="1:17" ht="15.75" thickBot="1">
      <c r="A111" s="531"/>
      <c r="B111" s="566"/>
      <c r="C111" s="557"/>
      <c r="D111" s="557"/>
      <c r="E111" s="557"/>
      <c r="F111" s="557"/>
      <c r="G111" s="588"/>
      <c r="H111" s="588"/>
      <c r="I111" s="588"/>
      <c r="J111" s="588"/>
      <c r="K111" s="588"/>
      <c r="L111" s="588"/>
      <c r="M111" s="589"/>
      <c r="N111" s="1150"/>
      <c r="O111" s="1150"/>
      <c r="P111" s="42"/>
      <c r="Q111" s="501"/>
    </row>
    <row r="112" spans="1:17" ht="15" thickTop="1">
      <c r="A112" s="672"/>
      <c r="B112" s="535">
        <f>B36</f>
        <v>111</v>
      </c>
      <c r="C112" s="520"/>
      <c r="D112" s="520"/>
      <c r="E112" s="520"/>
      <c r="F112" s="520"/>
      <c r="G112" s="580"/>
      <c r="H112" s="580"/>
      <c r="I112" s="580"/>
      <c r="J112" s="580"/>
      <c r="K112" s="581"/>
      <c r="L112" s="582"/>
      <c r="M112" s="583"/>
      <c r="N112" s="1149"/>
      <c r="O112" s="1149"/>
      <c r="P112" s="42"/>
      <c r="Q112" s="501"/>
    </row>
    <row r="113" spans="1:17" ht="15.75" thickBot="1">
      <c r="A113" s="531"/>
      <c r="B113" s="540"/>
      <c r="C113" s="567"/>
      <c r="D113" s="567"/>
      <c r="E113" s="567"/>
      <c r="F113" s="567"/>
      <c r="G113" s="533"/>
      <c r="H113" s="533"/>
      <c r="I113" s="533"/>
      <c r="J113" s="533"/>
      <c r="K113" s="533"/>
      <c r="L113" s="533"/>
      <c r="M113" s="534"/>
      <c r="N113" s="1150"/>
      <c r="O113" s="1150"/>
      <c r="P113" s="42"/>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c r="A116" s="524" t="s">
        <v>2535</v>
      </c>
      <c r="B116" s="525" t="s">
        <v>2763</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2"/>
      <c r="Q116" s="501"/>
    </row>
    <row r="117" spans="1:17" ht="15">
      <c r="A117" s="531"/>
      <c r="B117" s="543"/>
      <c r="C117" s="592"/>
      <c r="D117" s="592"/>
      <c r="E117" s="592"/>
      <c r="F117" s="592"/>
      <c r="G117" s="592"/>
      <c r="H117" s="592"/>
      <c r="I117" s="592"/>
      <c r="J117" s="593"/>
      <c r="K117" s="593"/>
      <c r="L117" s="594"/>
      <c r="M117" s="595"/>
      <c r="N117" s="1149"/>
      <c r="O117" s="1149"/>
      <c r="P117" s="42"/>
      <c r="Q117" s="501"/>
    </row>
    <row r="118" spans="1:17" ht="15.75" thickBot="1">
      <c r="A118" s="531"/>
      <c r="B118" s="540"/>
      <c r="C118" s="567"/>
      <c r="D118" s="588"/>
      <c r="E118" s="588"/>
      <c r="F118" s="588"/>
      <c r="G118" s="588"/>
      <c r="H118" s="588"/>
      <c r="I118" s="588"/>
      <c r="J118" s="588"/>
      <c r="K118" s="588"/>
      <c r="L118" s="588"/>
      <c r="M118" s="589"/>
      <c r="N118" s="1150"/>
      <c r="O118" s="1150"/>
      <c r="P118" s="42"/>
      <c r="Q118" s="501"/>
    </row>
    <row r="119" spans="1:17" ht="15" thickTop="1">
      <c r="A119" s="596"/>
      <c r="B119" s="535" t="s">
        <v>2764</v>
      </c>
      <c r="C119" s="580"/>
      <c r="D119" s="580"/>
      <c r="E119" s="580"/>
      <c r="F119" s="580"/>
      <c r="G119" s="580"/>
      <c r="H119" s="580"/>
      <c r="I119" s="580"/>
      <c r="J119" s="580"/>
      <c r="K119" s="581"/>
      <c r="L119" s="582"/>
      <c r="M119" s="583"/>
      <c r="N119" s="1149"/>
      <c r="O119" s="1149"/>
      <c r="P119" s="42"/>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50"/>
      <c r="O120" s="1150"/>
      <c r="P120" s="42"/>
      <c r="Q120" s="501"/>
    </row>
    <row r="121" spans="1:17" ht="15" thickTop="1">
      <c r="A121" s="596"/>
      <c r="B121" s="535" t="s">
        <v>2765</v>
      </c>
      <c r="C121" s="551"/>
      <c r="D121" s="551"/>
      <c r="E121" s="551"/>
      <c r="F121" s="580"/>
      <c r="G121" s="580"/>
      <c r="H121" s="580"/>
      <c r="I121" s="580"/>
      <c r="J121" s="580"/>
      <c r="K121" s="581"/>
      <c r="L121" s="582"/>
      <c r="M121" s="583"/>
      <c r="N121" s="1149"/>
      <c r="O121" s="1149"/>
      <c r="P121" s="42"/>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0"/>
      <c r="O122" s="1150"/>
      <c r="P122" s="42"/>
      <c r="Q122" s="501"/>
    </row>
    <row r="123" spans="1:17" s="468" customFormat="1" ht="15" thickTop="1">
      <c r="A123" s="590"/>
      <c r="B123" s="535" t="s">
        <v>2766</v>
      </c>
      <c r="C123" s="551"/>
      <c r="D123" s="551"/>
      <c r="E123" s="551"/>
      <c r="F123" s="551"/>
      <c r="G123" s="551"/>
      <c r="H123" s="580"/>
      <c r="I123" s="580"/>
      <c r="J123" s="580"/>
      <c r="K123" s="581"/>
      <c r="L123" s="582"/>
      <c r="M123" s="583"/>
      <c r="N123" s="1151"/>
      <c r="O123" s="1151"/>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1"/>
      <c r="O124" s="1151"/>
      <c r="P124" s="555"/>
      <c r="Q124" s="556"/>
    </row>
    <row r="125" spans="1:17" ht="15" thickTop="1">
      <c r="A125" s="596"/>
      <c r="B125" s="535" t="s">
        <v>2767</v>
      </c>
      <c r="C125" s="551"/>
      <c r="D125" s="551"/>
      <c r="E125" s="580"/>
      <c r="F125" s="580"/>
      <c r="G125" s="580"/>
      <c r="H125" s="580"/>
      <c r="I125" s="580"/>
      <c r="J125" s="580"/>
      <c r="K125" s="581"/>
      <c r="L125" s="582"/>
      <c r="M125" s="583"/>
      <c r="N125" s="1149"/>
      <c r="O125" s="1149"/>
      <c r="P125" s="42"/>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50"/>
      <c r="O126" s="1150"/>
      <c r="P126" s="42"/>
      <c r="Q126" s="501"/>
    </row>
    <row r="127" spans="1:17" ht="15" thickTop="1">
      <c r="A127" s="596"/>
      <c r="B127" s="535">
        <f>B43</f>
        <v>111</v>
      </c>
      <c r="C127" s="551"/>
      <c r="D127" s="551"/>
      <c r="E127" s="551"/>
      <c r="F127" s="551"/>
      <c r="G127" s="551"/>
      <c r="H127" s="580"/>
      <c r="I127" s="580"/>
      <c r="J127" s="580"/>
      <c r="K127" s="581"/>
      <c r="L127" s="582"/>
      <c r="M127" s="583"/>
      <c r="N127" s="1149"/>
      <c r="O127" s="1149"/>
      <c r="P127" s="42"/>
      <c r="Q127" s="501"/>
    </row>
    <row r="128" spans="1:17" ht="15.75" thickBot="1">
      <c r="A128" s="531"/>
      <c r="B128" s="540"/>
      <c r="C128" s="557"/>
      <c r="D128" s="557"/>
      <c r="E128" s="557"/>
      <c r="F128" s="557"/>
      <c r="G128" s="533"/>
      <c r="H128" s="533"/>
      <c r="I128" s="533"/>
      <c r="J128" s="533"/>
      <c r="K128" s="533"/>
      <c r="L128" s="533"/>
      <c r="M128" s="534"/>
      <c r="N128" s="1150"/>
      <c r="O128" s="1150"/>
      <c r="P128" s="42"/>
      <c r="Q128" s="501"/>
    </row>
    <row r="129" spans="1:17" ht="15" thickTop="1">
      <c r="A129" s="596"/>
      <c r="B129" s="535">
        <f>B44</f>
        <v>111</v>
      </c>
      <c r="C129" s="520"/>
      <c r="D129" s="520"/>
      <c r="E129" s="520"/>
      <c r="F129" s="520"/>
      <c r="G129" s="580"/>
      <c r="H129" s="580"/>
      <c r="I129" s="580"/>
      <c r="J129" s="580"/>
      <c r="K129" s="581"/>
      <c r="L129" s="582"/>
      <c r="M129" s="583"/>
      <c r="N129" s="1149"/>
      <c r="O129" s="1149"/>
      <c r="P129" s="42"/>
      <c r="Q129" s="501"/>
    </row>
    <row r="130" spans="1:17" ht="15.75" thickBot="1">
      <c r="A130" s="531"/>
      <c r="B130" s="540"/>
      <c r="C130" s="567"/>
      <c r="D130" s="567"/>
      <c r="E130" s="567"/>
      <c r="F130" s="567"/>
      <c r="G130" s="533"/>
      <c r="H130" s="533"/>
      <c r="I130" s="533"/>
      <c r="J130" s="533"/>
      <c r="K130" s="533"/>
      <c r="L130" s="533"/>
      <c r="M130" s="534"/>
      <c r="N130" s="1150"/>
      <c r="O130" s="1150"/>
      <c r="P130" s="42"/>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0"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2716</v>
      </c>
      <c r="B1" s="392"/>
      <c r="C1" s="393" t="s">
        <v>2768</v>
      </c>
      <c r="D1" s="752"/>
      <c r="E1" s="752"/>
      <c r="F1" s="751" t="s">
        <v>2615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2302</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2304</v>
      </c>
      <c r="B3" s="606" t="e">
        <f>ROUND(IF(D3="",B2*10000/'数据-汇总表'!E3,B2*10000/D3),0)</f>
        <v>#DIV/0!</v>
      </c>
      <c r="C3" s="244" t="s">
        <v>2718</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2617</v>
      </c>
      <c r="B4" s="399"/>
      <c r="C4" s="3220" t="s">
        <v>2618</v>
      </c>
      <c r="D4" s="3221"/>
      <c r="E4" s="3222" t="s">
        <v>2619</v>
      </c>
      <c r="F4" s="3223"/>
      <c r="G4" s="3220" t="s">
        <v>2620</v>
      </c>
      <c r="H4" s="3221"/>
      <c r="I4" s="3220" t="s">
        <v>2621</v>
      </c>
      <c r="J4" s="3221"/>
      <c r="K4" s="607" t="s">
        <v>2622</v>
      </c>
      <c r="L4" s="1127"/>
      <c r="M4" s="1128"/>
      <c r="N4" s="1128"/>
      <c r="O4" s="1128"/>
      <c r="P4" s="3224" t="s">
        <v>2623</v>
      </c>
      <c r="Q4" s="3225"/>
      <c r="R4" s="3230" t="s">
        <v>2619</v>
      </c>
      <c r="S4" s="3231"/>
      <c r="T4" s="3230" t="s">
        <v>2620</v>
      </c>
      <c r="U4" s="3231"/>
      <c r="V4" s="3236" t="s">
        <v>2621</v>
      </c>
      <c r="W4" s="3236"/>
      <c r="X4" s="1810"/>
      <c r="Y4" s="3230" t="s">
        <v>2623</v>
      </c>
      <c r="Z4" s="3231"/>
      <c r="AA4" s="3217" t="s">
        <v>2619</v>
      </c>
      <c r="AB4" s="3218" t="s">
        <v>2620</v>
      </c>
      <c r="AC4" s="3217" t="s">
        <v>2621</v>
      </c>
    </row>
    <row r="5" spans="1:29" ht="15">
      <c r="A5" s="401"/>
      <c r="B5" s="402"/>
      <c r="C5" s="3239" t="s">
        <v>2514</v>
      </c>
      <c r="D5" s="3240"/>
      <c r="E5" s="3246" t="s">
        <v>2515</v>
      </c>
      <c r="F5" s="3247"/>
      <c r="G5" s="3239" t="s">
        <v>2516</v>
      </c>
      <c r="H5" s="3240"/>
      <c r="I5" s="3239" t="s">
        <v>2517</v>
      </c>
      <c r="J5" s="3240"/>
      <c r="K5" s="607"/>
      <c r="L5" s="1127"/>
      <c r="M5" s="1128"/>
      <c r="N5" s="1128"/>
      <c r="O5" s="1128"/>
      <c r="P5" s="3226"/>
      <c r="Q5" s="3227"/>
      <c r="R5" s="3232"/>
      <c r="S5" s="3233"/>
      <c r="T5" s="3232"/>
      <c r="U5" s="3233"/>
      <c r="V5" s="3236"/>
      <c r="W5" s="3236"/>
      <c r="X5" s="1810"/>
      <c r="Y5" s="3232"/>
      <c r="Z5" s="3233"/>
      <c r="AA5" s="3218"/>
      <c r="AB5" s="3218"/>
      <c r="AC5" s="3218"/>
    </row>
    <row r="6" spans="1:29" ht="15.75" thickBot="1">
      <c r="A6" s="403"/>
      <c r="B6" s="404"/>
      <c r="C6" s="3268" t="s">
        <v>2769</v>
      </c>
      <c r="D6" s="3269"/>
      <c r="E6" s="3270" t="s">
        <v>2769</v>
      </c>
      <c r="F6" s="3271"/>
      <c r="G6" s="3268" t="s">
        <v>2769</v>
      </c>
      <c r="H6" s="3269"/>
      <c r="I6" s="3268" t="s">
        <v>2769</v>
      </c>
      <c r="J6" s="3269"/>
      <c r="K6" s="607" t="s">
        <v>2519</v>
      </c>
      <c r="L6" s="1127"/>
      <c r="M6" s="1128"/>
      <c r="N6" s="1128"/>
      <c r="O6" s="1128"/>
      <c r="P6" s="3228"/>
      <c r="Q6" s="3229"/>
      <c r="R6" s="3232"/>
      <c r="S6" s="3233"/>
      <c r="T6" s="3234"/>
      <c r="U6" s="3235"/>
      <c r="V6" s="3236"/>
      <c r="W6" s="3236"/>
      <c r="X6" s="1810"/>
      <c r="Y6" s="3234"/>
      <c r="Z6" s="3235"/>
      <c r="AA6" s="3219"/>
      <c r="AB6" s="3219"/>
      <c r="AC6" s="3219"/>
    </row>
    <row r="7" spans="1:29" s="114" customFormat="1" ht="15.75" thickBot="1">
      <c r="A7" s="405" t="s">
        <v>2520</v>
      </c>
      <c r="B7" s="406"/>
      <c r="C7" s="407">
        <f>'数据-取费表'!B2</f>
        <v>43832</v>
      </c>
      <c r="D7" s="408">
        <v>100</v>
      </c>
      <c r="E7" s="409"/>
      <c r="F7" s="410">
        <f>SUMIF(65:65,YEAR(E7)&amp;"-"&amp;INT((MONTH(E7)+2)/3),66:66)</f>
        <v>0</v>
      </c>
      <c r="G7" s="2693"/>
      <c r="H7" s="408">
        <f>SUMIF(65:65,YEAR(G7)&amp;"-"&amp;INT((MONTH(G7)+2)/3),66:66)</f>
        <v>0</v>
      </c>
      <c r="I7" s="2693"/>
      <c r="J7" s="408">
        <f>SUMIF(65:65,YEAR(I7)&amp;"-"&amp;INT((MONTH(I7)+2)/3),66:66)</f>
        <v>0</v>
      </c>
      <c r="K7" s="608"/>
      <c r="L7" s="1129"/>
      <c r="M7" s="1130"/>
      <c r="N7" s="1130"/>
      <c r="O7" s="1130"/>
      <c r="P7" s="3241" t="s">
        <v>2521</v>
      </c>
      <c r="Q7" s="3243"/>
      <c r="R7" s="767" t="s">
        <v>14</v>
      </c>
      <c r="S7" s="768">
        <f t="shared" ref="S7:S15" si="0">F7</f>
        <v>0</v>
      </c>
      <c r="T7" s="767" t="s">
        <v>14</v>
      </c>
      <c r="U7" s="768">
        <f t="shared" ref="U7:U15" si="1">H7</f>
        <v>0</v>
      </c>
      <c r="V7" s="767" t="s">
        <v>14</v>
      </c>
      <c r="W7" s="768">
        <f t="shared" ref="W7:W15" si="2">J7</f>
        <v>0</v>
      </c>
      <c r="X7" s="769"/>
      <c r="Y7" s="3241" t="s">
        <v>2521</v>
      </c>
      <c r="Z7" s="3242"/>
      <c r="AA7" s="770" t="e">
        <f>D7/F7</f>
        <v>#DIV/0!</v>
      </c>
      <c r="AB7" s="770" t="e">
        <f>D7/H7</f>
        <v>#DIV/0!</v>
      </c>
      <c r="AC7" s="770" t="e">
        <f>D7/J7</f>
        <v>#DIV/0!</v>
      </c>
    </row>
    <row r="8" spans="1:29" s="114" customFormat="1" ht="15.75" thickBot="1">
      <c r="A8" s="405" t="s">
        <v>2522</v>
      </c>
      <c r="B8" s="406"/>
      <c r="C8" s="411" t="s">
        <v>2523</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241" t="s">
        <v>2524</v>
      </c>
      <c r="Q8" s="3242"/>
      <c r="R8" s="767" t="s">
        <v>14</v>
      </c>
      <c r="S8" s="768">
        <f t="shared" si="0"/>
        <v>0</v>
      </c>
      <c r="T8" s="767" t="s">
        <v>14</v>
      </c>
      <c r="U8" s="768">
        <f t="shared" si="1"/>
        <v>0</v>
      </c>
      <c r="V8" s="767" t="s">
        <v>14</v>
      </c>
      <c r="W8" s="768">
        <f t="shared" si="2"/>
        <v>0</v>
      </c>
      <c r="X8" s="769"/>
      <c r="Y8" s="3241" t="s">
        <v>2524</v>
      </c>
      <c r="Z8" s="3242"/>
      <c r="AA8" s="770" t="e">
        <f t="shared" ref="AA8:AA40" si="3">D8/F8</f>
        <v>#DIV/0!</v>
      </c>
      <c r="AB8" s="770" t="e">
        <f t="shared" ref="AB8:AB40" si="4">D8/H8</f>
        <v>#DIV/0!</v>
      </c>
      <c r="AC8" s="770" t="e">
        <f t="shared" ref="AC8:AC40" si="5">D8/J8</f>
        <v>#DIV/0!</v>
      </c>
    </row>
    <row r="9" spans="1:29" s="114" customFormat="1">
      <c r="A9" s="412" t="s">
        <v>2525</v>
      </c>
      <c r="B9" s="68" t="s">
        <v>2526</v>
      </c>
      <c r="C9" s="2696"/>
      <c r="D9" s="132">
        <v>100</v>
      </c>
      <c r="E9" s="2696"/>
      <c r="F9" s="132">
        <f>SUMIF(70:70,E9,71:71)-SUMIF(70:70,C9,71:71)+100</f>
        <v>100</v>
      </c>
      <c r="G9" s="2696"/>
      <c r="H9" s="132">
        <f>SUMIF(70:70,G9,71:71)-SUMIF(70:70,C9,71:71)+100</f>
        <v>100</v>
      </c>
      <c r="I9" s="2696"/>
      <c r="J9" s="132">
        <f>SUMIF(70:70,I9,71:71)-SUMIF(70:70,C9,71:71)+100</f>
        <v>100</v>
      </c>
      <c r="K9" s="608"/>
      <c r="L9" s="1129"/>
      <c r="M9" s="1130"/>
      <c r="N9" s="1130"/>
      <c r="O9" s="1131"/>
      <c r="P9" s="3205" t="s">
        <v>2527</v>
      </c>
      <c r="Q9" s="1792" t="str">
        <f t="shared" ref="Q9:Q15" si="6">B9</f>
        <v>用途</v>
      </c>
      <c r="R9" s="767" t="s">
        <v>14</v>
      </c>
      <c r="S9" s="768">
        <f t="shared" si="0"/>
        <v>100</v>
      </c>
      <c r="T9" s="767" t="s">
        <v>14</v>
      </c>
      <c r="U9" s="768">
        <f t="shared" si="1"/>
        <v>100</v>
      </c>
      <c r="V9" s="767" t="s">
        <v>14</v>
      </c>
      <c r="W9" s="768">
        <f t="shared" si="2"/>
        <v>100</v>
      </c>
      <c r="X9" s="769"/>
      <c r="Y9" s="3005" t="s">
        <v>2528</v>
      </c>
      <c r="Z9" s="52" t="str">
        <f t="shared" ref="Z9:Z15" si="7">Q9</f>
        <v>用途</v>
      </c>
      <c r="AA9" s="770">
        <f t="shared" si="3"/>
        <v>1</v>
      </c>
      <c r="AB9" s="770">
        <f t="shared" si="4"/>
        <v>1</v>
      </c>
      <c r="AC9" s="770">
        <f t="shared" si="5"/>
        <v>1</v>
      </c>
    </row>
    <row r="10" spans="1:29" s="424" customFormat="1" ht="27">
      <c r="A10" s="418"/>
      <c r="B10" s="419" t="s">
        <v>2529</v>
      </c>
      <c r="C10" s="429"/>
      <c r="D10" s="133">
        <v>100</v>
      </c>
      <c r="E10" s="429"/>
      <c r="F10" s="133">
        <f>ROUND(100/'数据-取费表'!G16,0)</f>
        <v>103</v>
      </c>
      <c r="G10" s="429"/>
      <c r="H10" s="133">
        <f>ROUND(100/'数据-取费表'!G16,0)</f>
        <v>103</v>
      </c>
      <c r="I10" s="429"/>
      <c r="J10" s="133">
        <f>ROUND(100/'数据-取费表'!G16,0)</f>
        <v>103</v>
      </c>
      <c r="K10" s="669"/>
      <c r="L10" s="1132"/>
      <c r="M10" s="1133"/>
      <c r="N10" s="1133"/>
      <c r="O10" s="1134"/>
      <c r="P10" s="3205"/>
      <c r="Q10" s="1792" t="str">
        <f t="shared" si="6"/>
        <v>土地使用年限（年）</v>
      </c>
      <c r="R10" s="767" t="s">
        <v>14</v>
      </c>
      <c r="S10" s="768">
        <f t="shared" si="0"/>
        <v>103</v>
      </c>
      <c r="T10" s="767" t="s">
        <v>14</v>
      </c>
      <c r="U10" s="768">
        <f t="shared" si="1"/>
        <v>103</v>
      </c>
      <c r="V10" s="767" t="s">
        <v>14</v>
      </c>
      <c r="W10" s="768">
        <f t="shared" si="2"/>
        <v>103</v>
      </c>
      <c r="X10" s="769"/>
      <c r="Y10" s="3005"/>
      <c r="Z10" s="52" t="str">
        <f t="shared" si="7"/>
        <v>土地使用年限（年）</v>
      </c>
      <c r="AA10" s="770">
        <f t="shared" si="3"/>
        <v>0.970873786407767</v>
      </c>
      <c r="AB10" s="770">
        <f t="shared" si="4"/>
        <v>0.970873786407767</v>
      </c>
      <c r="AC10" s="770">
        <f t="shared" si="5"/>
        <v>0.970873786407767</v>
      </c>
    </row>
    <row r="11" spans="1:29" ht="15">
      <c r="A11" s="425"/>
      <c r="B11" s="419" t="s">
        <v>2530</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205"/>
      <c r="Q11" s="1792" t="str">
        <f t="shared" si="6"/>
        <v>容积率</v>
      </c>
      <c r="R11" s="767" t="s">
        <v>14</v>
      </c>
      <c r="S11" s="768" t="e">
        <f t="shared" si="0"/>
        <v>#N/A</v>
      </c>
      <c r="T11" s="767" t="s">
        <v>14</v>
      </c>
      <c r="U11" s="768" t="e">
        <f t="shared" si="1"/>
        <v>#N/A</v>
      </c>
      <c r="V11" s="767" t="s">
        <v>14</v>
      </c>
      <c r="W11" s="768" t="e">
        <f t="shared" si="2"/>
        <v>#N/A</v>
      </c>
      <c r="X11" s="769"/>
      <c r="Y11" s="3005"/>
      <c r="Z11" s="52" t="str">
        <f t="shared" si="7"/>
        <v>容积率</v>
      </c>
      <c r="AA11" s="770" t="e">
        <f t="shared" si="3"/>
        <v>#N/A</v>
      </c>
      <c r="AB11" s="770" t="e">
        <f t="shared" si="4"/>
        <v>#N/A</v>
      </c>
      <c r="AC11" s="770" t="e">
        <f t="shared" si="5"/>
        <v>#N/A</v>
      </c>
    </row>
    <row r="12" spans="1:29" s="114"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205"/>
      <c r="Q12" s="1792">
        <f t="shared" si="6"/>
        <v>111</v>
      </c>
      <c r="R12" s="767" t="s">
        <v>14</v>
      </c>
      <c r="S12" s="768">
        <f t="shared" si="0"/>
        <v>100</v>
      </c>
      <c r="T12" s="767" t="s">
        <v>14</v>
      </c>
      <c r="U12" s="768">
        <f t="shared" si="1"/>
        <v>100</v>
      </c>
      <c r="V12" s="767" t="s">
        <v>14</v>
      </c>
      <c r="W12" s="768">
        <f t="shared" si="2"/>
        <v>100</v>
      </c>
      <c r="X12" s="769"/>
      <c r="Y12" s="3005"/>
      <c r="Z12" s="52">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205"/>
      <c r="Q13" s="1792">
        <f t="shared" si="6"/>
        <v>111</v>
      </c>
      <c r="R13" s="767" t="s">
        <v>14</v>
      </c>
      <c r="S13" s="768">
        <f t="shared" si="0"/>
        <v>100</v>
      </c>
      <c r="T13" s="767" t="s">
        <v>14</v>
      </c>
      <c r="U13" s="768">
        <f t="shared" si="1"/>
        <v>100</v>
      </c>
      <c r="V13" s="767" t="s">
        <v>14</v>
      </c>
      <c r="W13" s="768">
        <f t="shared" si="2"/>
        <v>100</v>
      </c>
      <c r="X13" s="769"/>
      <c r="Y13" s="3005"/>
      <c r="Z13" s="52">
        <f t="shared" si="7"/>
        <v>111</v>
      </c>
      <c r="AA13" s="770">
        <f t="shared" si="3"/>
        <v>1</v>
      </c>
      <c r="AB13" s="770">
        <f t="shared" si="4"/>
        <v>1</v>
      </c>
      <c r="AC13" s="770">
        <f t="shared" si="5"/>
        <v>1</v>
      </c>
    </row>
    <row r="14" spans="1:29" ht="15.75"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05"/>
      <c r="Q14" s="1792">
        <f t="shared" si="6"/>
        <v>111</v>
      </c>
      <c r="R14" s="767" t="s">
        <v>14</v>
      </c>
      <c r="S14" s="768">
        <f t="shared" si="0"/>
        <v>100</v>
      </c>
      <c r="T14" s="767" t="s">
        <v>14</v>
      </c>
      <c r="U14" s="768">
        <f t="shared" si="1"/>
        <v>100</v>
      </c>
      <c r="V14" s="767" t="s">
        <v>14</v>
      </c>
      <c r="W14" s="768">
        <f t="shared" si="2"/>
        <v>100</v>
      </c>
      <c r="X14" s="769"/>
      <c r="Y14" s="3005"/>
      <c r="Z14" s="52">
        <f t="shared" si="7"/>
        <v>111</v>
      </c>
      <c r="AA14" s="770">
        <f t="shared" si="3"/>
        <v>1</v>
      </c>
      <c r="AB14" s="770">
        <f t="shared" si="4"/>
        <v>1</v>
      </c>
      <c r="AC14" s="770">
        <f t="shared" si="5"/>
        <v>1</v>
      </c>
    </row>
    <row r="15" spans="1:29" ht="57">
      <c r="A15" s="437" t="s">
        <v>2531</v>
      </c>
      <c r="B15" s="626" t="s">
        <v>2770</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07" t="s">
        <v>2532</v>
      </c>
      <c r="Q15" s="1807" t="str">
        <f t="shared" si="6"/>
        <v>产业集聚程度</v>
      </c>
      <c r="R15" s="771" t="s">
        <v>14</v>
      </c>
      <c r="S15" s="772">
        <f t="shared" si="0"/>
        <v>100</v>
      </c>
      <c r="T15" s="771" t="s">
        <v>14</v>
      </c>
      <c r="U15" s="772">
        <f t="shared" si="1"/>
        <v>100</v>
      </c>
      <c r="V15" s="771" t="s">
        <v>14</v>
      </c>
      <c r="W15" s="772">
        <f t="shared" si="2"/>
        <v>100</v>
      </c>
      <c r="X15" s="1810"/>
      <c r="Y15" s="3207" t="s">
        <v>2532</v>
      </c>
      <c r="Z15" s="1811" t="str">
        <f t="shared" si="7"/>
        <v>产业集聚程度</v>
      </c>
      <c r="AA15" s="1808">
        <f t="shared" si="3"/>
        <v>1</v>
      </c>
      <c r="AB15" s="1808">
        <f t="shared" si="4"/>
        <v>1</v>
      </c>
      <c r="AC15" s="1808">
        <f t="shared" si="5"/>
        <v>1</v>
      </c>
    </row>
    <row r="16" spans="1:29" ht="15">
      <c r="A16" s="425"/>
      <c r="B16" s="627"/>
      <c r="C16" s="444"/>
      <c r="D16" s="445"/>
      <c r="E16" s="2608"/>
      <c r="F16" s="445"/>
      <c r="G16" s="2608"/>
      <c r="H16" s="447"/>
      <c r="I16" s="2608"/>
      <c r="J16" s="445"/>
      <c r="K16" s="669"/>
      <c r="L16" s="1137"/>
      <c r="M16" s="1128"/>
      <c r="N16" s="1128"/>
      <c r="O16" s="1136"/>
      <c r="P16" s="3208"/>
      <c r="Q16" s="1807"/>
      <c r="R16" s="771"/>
      <c r="S16" s="772"/>
      <c r="T16" s="771"/>
      <c r="U16" s="772"/>
      <c r="V16" s="771"/>
      <c r="W16" s="772"/>
      <c r="X16" s="1810"/>
      <c r="Y16" s="3208"/>
      <c r="Z16" s="1811"/>
      <c r="AA16" s="1808">
        <v>1</v>
      </c>
      <c r="AB16" s="1808">
        <v>1</v>
      </c>
      <c r="AC16" s="1808">
        <v>1</v>
      </c>
    </row>
    <row r="17" spans="1:29" ht="85.5">
      <c r="A17" s="425"/>
      <c r="B17" s="628" t="s">
        <v>2681</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08"/>
      <c r="Q17" s="1807" t="str">
        <f>B17</f>
        <v>交通便捷度</v>
      </c>
      <c r="R17" s="771" t="s">
        <v>14</v>
      </c>
      <c r="S17" s="772">
        <f>F17</f>
        <v>100</v>
      </c>
      <c r="T17" s="771" t="s">
        <v>14</v>
      </c>
      <c r="U17" s="772">
        <f>H17</f>
        <v>100</v>
      </c>
      <c r="V17" s="771" t="s">
        <v>14</v>
      </c>
      <c r="W17" s="772">
        <f>J17</f>
        <v>100</v>
      </c>
      <c r="X17" s="1810"/>
      <c r="Y17" s="3208"/>
      <c r="Z17" s="1811" t="str">
        <f>Q17</f>
        <v>交通便捷度</v>
      </c>
      <c r="AA17" s="1808">
        <f t="shared" si="3"/>
        <v>1</v>
      </c>
      <c r="AB17" s="1808">
        <f t="shared" si="4"/>
        <v>1</v>
      </c>
      <c r="AC17" s="1808">
        <f t="shared" si="5"/>
        <v>1</v>
      </c>
    </row>
    <row r="18" spans="1:29" ht="15">
      <c r="A18" s="425"/>
      <c r="B18" s="629"/>
      <c r="C18" s="444"/>
      <c r="D18" s="445"/>
      <c r="E18" s="2602"/>
      <c r="F18" s="445"/>
      <c r="G18" s="2602"/>
      <c r="H18" s="445"/>
      <c r="I18" s="2601"/>
      <c r="J18" s="445"/>
      <c r="K18" s="669"/>
      <c r="L18" s="1137"/>
      <c r="M18" s="1128"/>
      <c r="N18" s="1128"/>
      <c r="O18" s="1136"/>
      <c r="P18" s="3208"/>
      <c r="Q18" s="1807"/>
      <c r="R18" s="771"/>
      <c r="S18" s="772"/>
      <c r="T18" s="771"/>
      <c r="U18" s="772"/>
      <c r="V18" s="771"/>
      <c r="W18" s="772"/>
      <c r="X18" s="1810"/>
      <c r="Y18" s="3208"/>
      <c r="Z18" s="1811"/>
      <c r="AA18" s="1808">
        <v>1</v>
      </c>
      <c r="AB18" s="1808">
        <v>1</v>
      </c>
      <c r="AC18" s="1808">
        <v>1</v>
      </c>
    </row>
    <row r="19" spans="1:29" ht="15">
      <c r="A19" s="425"/>
      <c r="B19" s="628" t="s">
        <v>2720</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08"/>
      <c r="Q19" s="1807" t="str">
        <f t="shared" ref="Q19:Q33" si="8">B19</f>
        <v>区域土地利用方向</v>
      </c>
      <c r="R19" s="771" t="s">
        <v>14</v>
      </c>
      <c r="S19" s="772">
        <f>F19</f>
        <v>100</v>
      </c>
      <c r="T19" s="771" t="s">
        <v>14</v>
      </c>
      <c r="U19" s="772">
        <f>H19</f>
        <v>100</v>
      </c>
      <c r="V19" s="771" t="s">
        <v>14</v>
      </c>
      <c r="W19" s="772">
        <f>J19</f>
        <v>100</v>
      </c>
      <c r="X19" s="1810"/>
      <c r="Y19" s="3208"/>
      <c r="Z19" s="1811" t="str">
        <f>Q19</f>
        <v>区域土地利用方向</v>
      </c>
      <c r="AA19" s="1808">
        <f t="shared" si="3"/>
        <v>1</v>
      </c>
      <c r="AB19" s="1808">
        <f t="shared" si="4"/>
        <v>1</v>
      </c>
      <c r="AC19" s="1808">
        <f t="shared" si="5"/>
        <v>1</v>
      </c>
    </row>
    <row r="20" spans="1:29" ht="15">
      <c r="A20" s="401"/>
      <c r="B20" s="629"/>
      <c r="C20" s="444"/>
      <c r="D20" s="445"/>
      <c r="E20" s="2602"/>
      <c r="F20" s="445"/>
      <c r="G20" s="2602"/>
      <c r="H20" s="445"/>
      <c r="I20" s="2602"/>
      <c r="J20" s="445"/>
      <c r="K20" s="809"/>
      <c r="L20" s="1137"/>
      <c r="M20" s="1128"/>
      <c r="N20" s="1128"/>
      <c r="O20" s="1136"/>
      <c r="P20" s="3208"/>
      <c r="Q20" s="1807"/>
      <c r="R20" s="771"/>
      <c r="S20" s="772"/>
      <c r="T20" s="771"/>
      <c r="U20" s="772"/>
      <c r="V20" s="771"/>
      <c r="W20" s="772"/>
      <c r="X20" s="1810"/>
      <c r="Y20" s="3208"/>
      <c r="Z20" s="1811"/>
      <c r="AA20" s="1808"/>
      <c r="AB20" s="1808"/>
      <c r="AC20" s="1808"/>
    </row>
    <row r="21" spans="1:29" ht="71.25">
      <c r="A21" s="401"/>
      <c r="B21" s="628" t="s">
        <v>2771</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08"/>
      <c r="Q21" s="1807" t="str">
        <f t="shared" si="8"/>
        <v>环境状况</v>
      </c>
      <c r="R21" s="771" t="s">
        <v>14</v>
      </c>
      <c r="S21" s="772">
        <f>F21</f>
        <v>100</v>
      </c>
      <c r="T21" s="771" t="s">
        <v>14</v>
      </c>
      <c r="U21" s="772">
        <f>H21</f>
        <v>100</v>
      </c>
      <c r="V21" s="771" t="s">
        <v>14</v>
      </c>
      <c r="W21" s="772">
        <f>J21</f>
        <v>100</v>
      </c>
      <c r="X21" s="1810"/>
      <c r="Y21" s="3208"/>
      <c r="Z21" s="1811" t="str">
        <f>Q21</f>
        <v>环境状况</v>
      </c>
      <c r="AA21" s="1808">
        <f t="shared" si="3"/>
        <v>1</v>
      </c>
      <c r="AB21" s="1808">
        <f t="shared" si="4"/>
        <v>1</v>
      </c>
      <c r="AC21" s="1808">
        <f t="shared" si="5"/>
        <v>1</v>
      </c>
    </row>
    <row r="22" spans="1:29" ht="15">
      <c r="A22" s="401"/>
      <c r="B22" s="629"/>
      <c r="C22" s="444"/>
      <c r="D22" s="445"/>
      <c r="E22" s="2608"/>
      <c r="F22" s="445"/>
      <c r="G22" s="2608"/>
      <c r="H22" s="445"/>
      <c r="I22" s="444"/>
      <c r="J22" s="445"/>
      <c r="K22" s="669"/>
      <c r="L22" s="1137"/>
      <c r="M22" s="1128"/>
      <c r="N22" s="1128"/>
      <c r="O22" s="1136"/>
      <c r="P22" s="3208"/>
      <c r="Q22" s="1807"/>
      <c r="R22" s="771"/>
      <c r="S22" s="772"/>
      <c r="T22" s="771"/>
      <c r="U22" s="772"/>
      <c r="V22" s="771"/>
      <c r="W22" s="772"/>
      <c r="X22" s="1810"/>
      <c r="Y22" s="3208"/>
      <c r="Z22" s="1811"/>
      <c r="AA22" s="1808">
        <v>1</v>
      </c>
      <c r="AB22" s="1808">
        <v>1</v>
      </c>
      <c r="AC22" s="1808">
        <v>1</v>
      </c>
    </row>
    <row r="23" spans="1:29" s="114" customFormat="1" ht="42.75">
      <c r="A23" s="646"/>
      <c r="B23" s="630" t="s">
        <v>2626</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08"/>
      <c r="Q23" s="1792" t="str">
        <f t="shared" si="8"/>
        <v>公共配套设施</v>
      </c>
      <c r="R23" s="767" t="s">
        <v>14</v>
      </c>
      <c r="S23" s="768">
        <f>F23</f>
        <v>100</v>
      </c>
      <c r="T23" s="767" t="s">
        <v>14</v>
      </c>
      <c r="U23" s="768">
        <f>H23</f>
        <v>100</v>
      </c>
      <c r="V23" s="767" t="s">
        <v>14</v>
      </c>
      <c r="W23" s="768">
        <f>J23</f>
        <v>100</v>
      </c>
      <c r="X23" s="769"/>
      <c r="Y23" s="3208"/>
      <c r="Z23" s="52" t="str">
        <f>Q23</f>
        <v>公共配套设施</v>
      </c>
      <c r="AA23" s="1808">
        <f>D23/F23</f>
        <v>1</v>
      </c>
      <c r="AB23" s="1808">
        <f>D23/H23</f>
        <v>1</v>
      </c>
      <c r="AC23" s="1808">
        <f>D23/J23</f>
        <v>1</v>
      </c>
    </row>
    <row r="24" spans="1:29" s="114" customFormat="1" ht="15">
      <c r="A24" s="646"/>
      <c r="B24" s="629"/>
      <c r="C24" s="2697"/>
      <c r="D24" s="445"/>
      <c r="E24" s="2608"/>
      <c r="F24" s="445"/>
      <c r="G24" s="2608"/>
      <c r="H24" s="445"/>
      <c r="I24" s="444"/>
      <c r="J24" s="445"/>
      <c r="K24" s="669"/>
      <c r="L24" s="1129"/>
      <c r="M24" s="1130"/>
      <c r="N24" s="1130"/>
      <c r="O24" s="1131"/>
      <c r="P24" s="3208"/>
      <c r="Q24" s="1792"/>
      <c r="R24" s="767"/>
      <c r="S24" s="768"/>
      <c r="T24" s="767"/>
      <c r="U24" s="768"/>
      <c r="V24" s="767"/>
      <c r="W24" s="768"/>
      <c r="X24" s="769"/>
      <c r="Y24" s="3208"/>
      <c r="Z24" s="52"/>
      <c r="AA24" s="770">
        <v>1</v>
      </c>
      <c r="AB24" s="770">
        <v>1</v>
      </c>
      <c r="AC24" s="770">
        <v>1</v>
      </c>
    </row>
    <row r="25" spans="1:29" s="114" customFormat="1" ht="28.5">
      <c r="A25" s="646"/>
      <c r="B25" s="630" t="s">
        <v>2627</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208"/>
      <c r="Q25" s="1792" t="str">
        <f t="shared" ref="Q25" si="9">B25</f>
        <v>基础设施水平</v>
      </c>
      <c r="R25" s="767" t="s">
        <v>14</v>
      </c>
      <c r="S25" s="768">
        <f>F25</f>
        <v>100</v>
      </c>
      <c r="T25" s="767" t="s">
        <v>14</v>
      </c>
      <c r="U25" s="768">
        <f>H25</f>
        <v>100</v>
      </c>
      <c r="V25" s="767" t="s">
        <v>14</v>
      </c>
      <c r="W25" s="768">
        <f>J25</f>
        <v>100</v>
      </c>
      <c r="X25" s="769"/>
      <c r="Y25" s="3208"/>
      <c r="Z25" s="52" t="str">
        <f>Q25</f>
        <v>基础设施水平</v>
      </c>
      <c r="AA25" s="1808">
        <f>D25/F25</f>
        <v>1</v>
      </c>
      <c r="AB25" s="1808">
        <f>D25/H25</f>
        <v>1</v>
      </c>
      <c r="AC25" s="1808">
        <f>D25/J25</f>
        <v>1</v>
      </c>
    </row>
    <row r="26" spans="1:29" s="114" customFormat="1" ht="15">
      <c r="A26" s="646"/>
      <c r="B26" s="629"/>
      <c r="C26" s="2697"/>
      <c r="D26" s="445"/>
      <c r="E26" s="2698"/>
      <c r="F26" s="445"/>
      <c r="G26" s="2698"/>
      <c r="H26" s="445"/>
      <c r="I26" s="2698"/>
      <c r="J26" s="445"/>
      <c r="K26" s="669"/>
      <c r="L26" s="1129"/>
      <c r="M26" s="1130"/>
      <c r="N26" s="1130"/>
      <c r="O26" s="1131"/>
      <c r="P26" s="3208"/>
      <c r="Q26" s="1792"/>
      <c r="R26" s="767"/>
      <c r="S26" s="768"/>
      <c r="T26" s="767"/>
      <c r="U26" s="768"/>
      <c r="V26" s="767"/>
      <c r="W26" s="768"/>
      <c r="X26" s="769"/>
      <c r="Y26" s="3208"/>
      <c r="Z26" s="52"/>
      <c r="AA26" s="770">
        <v>1</v>
      </c>
      <c r="AB26" s="770">
        <v>1</v>
      </c>
      <c r="AC26" s="770">
        <v>1</v>
      </c>
    </row>
    <row r="27" spans="1:29" ht="15">
      <c r="A27" s="425"/>
      <c r="B27" s="629" t="s">
        <v>2628</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208"/>
      <c r="Q27" s="1807" t="str">
        <f t="shared" si="8"/>
        <v>临街状况</v>
      </c>
      <c r="R27" s="771" t="s">
        <v>14</v>
      </c>
      <c r="S27" s="772">
        <f t="shared" ref="S27:S40" si="10">F27</f>
        <v>100</v>
      </c>
      <c r="T27" s="771" t="s">
        <v>14</v>
      </c>
      <c r="U27" s="772">
        <f t="shared" ref="U27:U40" si="11">H27</f>
        <v>100</v>
      </c>
      <c r="V27" s="771" t="s">
        <v>14</v>
      </c>
      <c r="W27" s="772">
        <f t="shared" ref="W27:W40" si="12">J27</f>
        <v>100</v>
      </c>
      <c r="X27" s="1810"/>
      <c r="Y27" s="3208"/>
      <c r="Z27" s="1811" t="str">
        <f t="shared" ref="Z27:Z40" si="13">Q27</f>
        <v>临街状况</v>
      </c>
      <c r="AA27" s="1808">
        <f t="shared" si="3"/>
        <v>1</v>
      </c>
      <c r="AB27" s="1808">
        <f t="shared" si="4"/>
        <v>1</v>
      </c>
      <c r="AC27" s="1808">
        <f t="shared" si="5"/>
        <v>1</v>
      </c>
    </row>
    <row r="28" spans="1:29" ht="27">
      <c r="A28" s="425"/>
      <c r="B28" s="630" t="s">
        <v>2663</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08"/>
      <c r="Q28" s="1807" t="str">
        <f t="shared" si="8"/>
        <v>毗邻道路的类型与等级</v>
      </c>
      <c r="R28" s="771" t="s">
        <v>14</v>
      </c>
      <c r="S28" s="772">
        <f t="shared" si="10"/>
        <v>100</v>
      </c>
      <c r="T28" s="771" t="s">
        <v>14</v>
      </c>
      <c r="U28" s="772">
        <f t="shared" si="11"/>
        <v>100</v>
      </c>
      <c r="V28" s="771" t="s">
        <v>14</v>
      </c>
      <c r="W28" s="772">
        <f t="shared" si="12"/>
        <v>100</v>
      </c>
      <c r="X28" s="1810"/>
      <c r="Y28" s="3208"/>
      <c r="Z28" s="1811" t="str">
        <f t="shared" si="13"/>
        <v>毗邻道路的类型与等级</v>
      </c>
      <c r="AA28" s="1808">
        <f t="shared" si="3"/>
        <v>1</v>
      </c>
      <c r="AB28" s="1808">
        <f t="shared" si="4"/>
        <v>1</v>
      </c>
      <c r="AC28" s="1808">
        <f t="shared" si="5"/>
        <v>1</v>
      </c>
    </row>
    <row r="29" spans="1:29" ht="15">
      <c r="A29" s="425"/>
      <c r="B29" s="629"/>
      <c r="C29" s="444"/>
      <c r="D29" s="445"/>
      <c r="E29" s="2608"/>
      <c r="F29" s="445"/>
      <c r="G29" s="2608"/>
      <c r="H29" s="445"/>
      <c r="I29" s="2608"/>
      <c r="J29" s="445"/>
      <c r="K29" s="610"/>
      <c r="L29" s="1137"/>
      <c r="M29" s="1128"/>
      <c r="N29" s="1128"/>
      <c r="O29" s="1136"/>
      <c r="P29" s="3208"/>
      <c r="Q29" s="1807"/>
      <c r="R29" s="771"/>
      <c r="S29" s="772"/>
      <c r="T29" s="771"/>
      <c r="U29" s="772"/>
      <c r="V29" s="771"/>
      <c r="W29" s="772"/>
      <c r="X29" s="1810"/>
      <c r="Y29" s="3208"/>
      <c r="Z29" s="1811"/>
      <c r="AA29" s="1808">
        <v>1</v>
      </c>
      <c r="AB29" s="1808">
        <v>1</v>
      </c>
      <c r="AC29" s="1808">
        <v>1</v>
      </c>
    </row>
    <row r="30" spans="1:29" ht="15">
      <c r="A30" s="425"/>
      <c r="B30" s="651" t="s">
        <v>2722</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08"/>
      <c r="Q30" s="1807" t="str">
        <f t="shared" si="8"/>
        <v>土地级别</v>
      </c>
      <c r="R30" s="771" t="s">
        <v>14</v>
      </c>
      <c r="S30" s="772">
        <f t="shared" si="10"/>
        <v>100</v>
      </c>
      <c r="T30" s="771" t="s">
        <v>14</v>
      </c>
      <c r="U30" s="772">
        <f t="shared" si="11"/>
        <v>100</v>
      </c>
      <c r="V30" s="771" t="s">
        <v>14</v>
      </c>
      <c r="W30" s="772">
        <f t="shared" si="12"/>
        <v>100</v>
      </c>
      <c r="X30" s="1810"/>
      <c r="Y30" s="3208"/>
      <c r="Z30" s="1811" t="str">
        <f t="shared" si="13"/>
        <v>土地级别</v>
      </c>
      <c r="AA30" s="1808">
        <f t="shared" si="3"/>
        <v>1</v>
      </c>
      <c r="AB30" s="1808">
        <f t="shared" si="4"/>
        <v>1</v>
      </c>
      <c r="AC30" s="1808">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08"/>
      <c r="Q31" s="1807">
        <f t="shared" si="8"/>
        <v>111</v>
      </c>
      <c r="R31" s="771" t="s">
        <v>14</v>
      </c>
      <c r="S31" s="772">
        <f t="shared" si="10"/>
        <v>100</v>
      </c>
      <c r="T31" s="771" t="s">
        <v>14</v>
      </c>
      <c r="U31" s="772">
        <f t="shared" si="11"/>
        <v>100</v>
      </c>
      <c r="V31" s="771" t="s">
        <v>14</v>
      </c>
      <c r="W31" s="772">
        <f t="shared" si="12"/>
        <v>100</v>
      </c>
      <c r="X31" s="1810"/>
      <c r="Y31" s="3208"/>
      <c r="Z31" s="1811">
        <f t="shared" si="13"/>
        <v>111</v>
      </c>
      <c r="AA31" s="1808">
        <f t="shared" si="3"/>
        <v>1</v>
      </c>
      <c r="AB31" s="1808">
        <f t="shared" si="4"/>
        <v>1</v>
      </c>
      <c r="AC31" s="1808">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63" t="s">
        <v>2537</v>
      </c>
      <c r="Q32" s="1807">
        <f t="shared" si="8"/>
        <v>111</v>
      </c>
      <c r="R32" s="771" t="s">
        <v>14</v>
      </c>
      <c r="S32" s="772">
        <f t="shared" si="10"/>
        <v>100</v>
      </c>
      <c r="T32" s="771" t="s">
        <v>14</v>
      </c>
      <c r="U32" s="772">
        <f t="shared" si="11"/>
        <v>100</v>
      </c>
      <c r="V32" s="771" t="s">
        <v>14</v>
      </c>
      <c r="W32" s="772">
        <f t="shared" si="12"/>
        <v>100</v>
      </c>
      <c r="X32" s="1810"/>
      <c r="Y32" s="3212" t="s">
        <v>2537</v>
      </c>
      <c r="Z32" s="1811">
        <f t="shared" si="13"/>
        <v>111</v>
      </c>
      <c r="AA32" s="1808">
        <f t="shared" si="3"/>
        <v>1</v>
      </c>
      <c r="AB32" s="1808">
        <f t="shared" si="4"/>
        <v>1</v>
      </c>
      <c r="AC32" s="1808">
        <f t="shared" si="5"/>
        <v>1</v>
      </c>
    </row>
    <row r="33" spans="1:29" s="468" customFormat="1" ht="15.75"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12"/>
      <c r="Q33" s="1807">
        <f t="shared" si="8"/>
        <v>111</v>
      </c>
      <c r="R33" s="774" t="s">
        <v>14</v>
      </c>
      <c r="S33" s="775">
        <f t="shared" si="10"/>
        <v>100</v>
      </c>
      <c r="T33" s="774" t="s">
        <v>14</v>
      </c>
      <c r="U33" s="775">
        <f t="shared" si="11"/>
        <v>100</v>
      </c>
      <c r="V33" s="774" t="s">
        <v>14</v>
      </c>
      <c r="W33" s="775">
        <f t="shared" si="12"/>
        <v>100</v>
      </c>
      <c r="X33" s="776"/>
      <c r="Y33" s="3212"/>
      <c r="Z33" s="777">
        <f t="shared" si="13"/>
        <v>111</v>
      </c>
      <c r="AA33" s="1808">
        <f t="shared" si="3"/>
        <v>1</v>
      </c>
      <c r="AB33" s="1808">
        <f t="shared" si="4"/>
        <v>1</v>
      </c>
      <c r="AC33" s="1808">
        <f t="shared" si="5"/>
        <v>1</v>
      </c>
    </row>
    <row r="34" spans="1:29" ht="15">
      <c r="A34" s="437" t="s">
        <v>2535</v>
      </c>
      <c r="B34" s="453" t="s">
        <v>2723</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12"/>
      <c r="Q34" s="1807" t="str">
        <f>B34</f>
        <v>宗地面积</v>
      </c>
      <c r="R34" s="771" t="s">
        <v>14</v>
      </c>
      <c r="S34" s="772" t="e">
        <f t="shared" si="10"/>
        <v>#N/A</v>
      </c>
      <c r="T34" s="771" t="s">
        <v>14</v>
      </c>
      <c r="U34" s="772" t="e">
        <f t="shared" si="11"/>
        <v>#N/A</v>
      </c>
      <c r="V34" s="771" t="s">
        <v>14</v>
      </c>
      <c r="W34" s="772" t="e">
        <f t="shared" si="12"/>
        <v>#N/A</v>
      </c>
      <c r="X34" s="1810"/>
      <c r="Y34" s="3212"/>
      <c r="Z34" s="1811" t="str">
        <f t="shared" si="13"/>
        <v>宗地面积</v>
      </c>
      <c r="AA34" s="1808" t="e">
        <f t="shared" si="3"/>
        <v>#N/A</v>
      </c>
      <c r="AB34" s="1808" t="e">
        <f t="shared" si="4"/>
        <v>#N/A</v>
      </c>
      <c r="AC34" s="1808" t="e">
        <f t="shared" si="5"/>
        <v>#N/A</v>
      </c>
    </row>
    <row r="35" spans="1:29" ht="15">
      <c r="A35" s="469"/>
      <c r="B35" s="419" t="s">
        <v>2724</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7"/>
      <c r="M35" s="1128"/>
      <c r="N35" s="1128"/>
      <c r="O35" s="1136"/>
      <c r="P35" s="3212"/>
      <c r="Q35" s="1807" t="str">
        <f t="shared" ref="Q35:Q40" si="14">B35</f>
        <v>宗地形状</v>
      </c>
      <c r="R35" s="771" t="s">
        <v>14</v>
      </c>
      <c r="S35" s="772">
        <f t="shared" si="10"/>
        <v>100</v>
      </c>
      <c r="T35" s="771" t="s">
        <v>14</v>
      </c>
      <c r="U35" s="772">
        <f t="shared" si="11"/>
        <v>100</v>
      </c>
      <c r="V35" s="771" t="s">
        <v>14</v>
      </c>
      <c r="W35" s="772">
        <f t="shared" si="12"/>
        <v>100</v>
      </c>
      <c r="X35" s="1810"/>
      <c r="Y35" s="3212"/>
      <c r="Z35" s="1811" t="str">
        <f t="shared" si="13"/>
        <v>宗地形状</v>
      </c>
      <c r="AA35" s="1808">
        <f t="shared" si="3"/>
        <v>1</v>
      </c>
      <c r="AB35" s="1808">
        <f t="shared" si="4"/>
        <v>1</v>
      </c>
      <c r="AC35" s="1808">
        <f t="shared" si="5"/>
        <v>1</v>
      </c>
    </row>
    <row r="36" spans="1:29" s="114" customFormat="1" ht="15">
      <c r="A36" s="470"/>
      <c r="B36" s="419" t="s">
        <v>2726</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9"/>
      <c r="M36" s="1130"/>
      <c r="N36" s="1130"/>
      <c r="O36" s="1131"/>
      <c r="P36" s="3212"/>
      <c r="Q36" s="1807" t="str">
        <f t="shared" si="14"/>
        <v>宗地开发程度</v>
      </c>
      <c r="R36" s="767" t="s">
        <v>14</v>
      </c>
      <c r="S36" s="768">
        <f t="shared" si="10"/>
        <v>100</v>
      </c>
      <c r="T36" s="767" t="s">
        <v>14</v>
      </c>
      <c r="U36" s="768">
        <f t="shared" si="11"/>
        <v>100</v>
      </c>
      <c r="V36" s="767" t="s">
        <v>14</v>
      </c>
      <c r="W36" s="768">
        <f t="shared" si="12"/>
        <v>100</v>
      </c>
      <c r="X36" s="769"/>
      <c r="Y36" s="3212"/>
      <c r="Z36" s="52" t="str">
        <f t="shared" si="13"/>
        <v>宗地开发程度</v>
      </c>
      <c r="AA36" s="770">
        <f t="shared" si="3"/>
        <v>1</v>
      </c>
      <c r="AB36" s="770">
        <f t="shared" si="4"/>
        <v>1</v>
      </c>
      <c r="AC36" s="770">
        <f t="shared" si="5"/>
        <v>1</v>
      </c>
    </row>
    <row r="37" spans="1:29" ht="15">
      <c r="A37" s="469"/>
      <c r="B37" s="419" t="s">
        <v>2727</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7"/>
      <c r="M37" s="1128"/>
      <c r="N37" s="1128"/>
      <c r="O37" s="1136"/>
      <c r="P37" s="3212" t="s">
        <v>2537</v>
      </c>
      <c r="Q37" s="1807" t="str">
        <f t="shared" si="14"/>
        <v>工程地质条件</v>
      </c>
      <c r="R37" s="771" t="s">
        <v>14</v>
      </c>
      <c r="S37" s="772">
        <f t="shared" si="10"/>
        <v>100</v>
      </c>
      <c r="T37" s="771" t="s">
        <v>14</v>
      </c>
      <c r="U37" s="772">
        <f t="shared" si="11"/>
        <v>100</v>
      </c>
      <c r="V37" s="771" t="s">
        <v>14</v>
      </c>
      <c r="W37" s="772">
        <f t="shared" si="12"/>
        <v>100</v>
      </c>
      <c r="X37" s="1810"/>
      <c r="Y37" s="3212" t="s">
        <v>2537</v>
      </c>
      <c r="Z37" s="1811" t="str">
        <f t="shared" si="13"/>
        <v>工程地质条件</v>
      </c>
      <c r="AA37" s="1808">
        <f t="shared" si="3"/>
        <v>1</v>
      </c>
      <c r="AB37" s="1808">
        <f t="shared" si="4"/>
        <v>1</v>
      </c>
      <c r="AC37" s="1808">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12"/>
      <c r="Q38" s="1807">
        <f t="shared" si="14"/>
        <v>111</v>
      </c>
      <c r="R38" s="771" t="s">
        <v>14</v>
      </c>
      <c r="S38" s="772">
        <f t="shared" si="10"/>
        <v>100</v>
      </c>
      <c r="T38" s="771" t="s">
        <v>14</v>
      </c>
      <c r="U38" s="772">
        <f t="shared" si="11"/>
        <v>100</v>
      </c>
      <c r="V38" s="771" t="s">
        <v>14</v>
      </c>
      <c r="W38" s="772">
        <f t="shared" si="12"/>
        <v>100</v>
      </c>
      <c r="X38" s="1810"/>
      <c r="Y38" s="3212"/>
      <c r="Z38" s="1811">
        <f t="shared" si="13"/>
        <v>111</v>
      </c>
      <c r="AA38" s="1808">
        <f t="shared" si="3"/>
        <v>1</v>
      </c>
      <c r="AB38" s="1808">
        <f t="shared" si="4"/>
        <v>1</v>
      </c>
      <c r="AC38" s="1808">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12"/>
      <c r="Q39" s="1807">
        <f t="shared" si="14"/>
        <v>111</v>
      </c>
      <c r="R39" s="771" t="s">
        <v>14</v>
      </c>
      <c r="S39" s="772">
        <f t="shared" si="10"/>
        <v>100</v>
      </c>
      <c r="T39" s="771" t="s">
        <v>14</v>
      </c>
      <c r="U39" s="772">
        <f t="shared" si="11"/>
        <v>100</v>
      </c>
      <c r="V39" s="771" t="s">
        <v>14</v>
      </c>
      <c r="W39" s="772">
        <f t="shared" si="12"/>
        <v>100</v>
      </c>
      <c r="X39" s="1810"/>
      <c r="Y39" s="3212"/>
      <c r="Z39" s="1811">
        <f t="shared" si="13"/>
        <v>111</v>
      </c>
      <c r="AA39" s="1808">
        <f t="shared" si="3"/>
        <v>1</v>
      </c>
      <c r="AB39" s="1808">
        <f t="shared" si="4"/>
        <v>1</v>
      </c>
      <c r="AC39" s="1808">
        <f t="shared" si="5"/>
        <v>1</v>
      </c>
    </row>
    <row r="40" spans="1:29" s="468" customFormat="1" ht="15.75" thickBot="1">
      <c r="A40" s="465"/>
      <c r="B40" s="1384">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12"/>
      <c r="Q40" s="1807">
        <f t="shared" si="14"/>
        <v>111</v>
      </c>
      <c r="R40" s="774" t="s">
        <v>14</v>
      </c>
      <c r="S40" s="775">
        <f t="shared" si="10"/>
        <v>100</v>
      </c>
      <c r="T40" s="774" t="s">
        <v>14</v>
      </c>
      <c r="U40" s="775">
        <f t="shared" si="11"/>
        <v>100</v>
      </c>
      <c r="V40" s="774" t="s">
        <v>14</v>
      </c>
      <c r="W40" s="775">
        <f t="shared" si="12"/>
        <v>100</v>
      </c>
      <c r="X40" s="776"/>
      <c r="Y40" s="3212"/>
      <c r="Z40" s="777">
        <f t="shared" si="13"/>
        <v>111</v>
      </c>
      <c r="AA40" s="1808">
        <f t="shared" si="3"/>
        <v>1</v>
      </c>
      <c r="AB40" s="1808">
        <f t="shared" si="4"/>
        <v>1</v>
      </c>
      <c r="AC40" s="1808">
        <f t="shared" si="5"/>
        <v>1</v>
      </c>
    </row>
    <row r="41" spans="1:29" ht="15">
      <c r="A41" s="476" t="s">
        <v>2692</v>
      </c>
      <c r="B41" s="2701" t="s">
        <v>2772</v>
      </c>
      <c r="C41" s="679" t="s">
        <v>0</v>
      </c>
      <c r="D41" s="478"/>
      <c r="E41" s="479"/>
      <c r="F41" s="480"/>
      <c r="G41" s="481"/>
      <c r="H41" s="482"/>
      <c r="I41" s="479"/>
      <c r="J41" s="482"/>
      <c r="K41" s="780"/>
      <c r="L41" s="1140"/>
      <c r="M41" s="1128"/>
      <c r="N41" s="1128"/>
      <c r="O41" s="1141"/>
      <c r="P41" s="3205" t="str">
        <f>A41</f>
        <v>成交单价</v>
      </c>
      <c r="Q41" s="3205"/>
      <c r="R41" s="3236">
        <f>E41</f>
        <v>0</v>
      </c>
      <c r="S41" s="3236"/>
      <c r="T41" s="3236">
        <f>G41</f>
        <v>0</v>
      </c>
      <c r="U41" s="3236"/>
      <c r="V41" s="3236">
        <f>I41</f>
        <v>0</v>
      </c>
      <c r="W41" s="3236"/>
      <c r="X41" s="756"/>
      <c r="Y41" s="778"/>
      <c r="Z41" s="756"/>
      <c r="AA41" s="756"/>
      <c r="AB41" s="756"/>
      <c r="AC41" s="756"/>
    </row>
    <row r="42" spans="1:29" ht="15.75" thickBot="1">
      <c r="A42" s="483" t="s">
        <v>2641</v>
      </c>
      <c r="B42" s="680"/>
      <c r="C42" s="487" t="e">
        <f>R43</f>
        <v>#DIV/0!</v>
      </c>
      <c r="D42" s="486"/>
      <c r="E42" s="487" t="e">
        <f>R42</f>
        <v>#DIV/0!</v>
      </c>
      <c r="F42" s="488"/>
      <c r="G42" s="485" t="e">
        <f>T42</f>
        <v>#DIV/0!</v>
      </c>
      <c r="H42" s="486"/>
      <c r="I42" s="487" t="e">
        <f>V42</f>
        <v>#DIV/0!</v>
      </c>
      <c r="J42" s="486"/>
      <c r="K42" s="781"/>
      <c r="L42" s="1140"/>
      <c r="M42" s="1128"/>
      <c r="N42" s="1128"/>
      <c r="O42" s="1141"/>
      <c r="P42" s="3205" t="str">
        <f>A42</f>
        <v>比较价值（元/平方米）</v>
      </c>
      <c r="Q42" s="3205"/>
      <c r="R42" s="3264" t="e">
        <f>ROUND(PRODUCT(R41,AA7:AA40),0)</f>
        <v>#DIV/0!</v>
      </c>
      <c r="S42" s="3264"/>
      <c r="T42" s="3264" t="e">
        <f>ROUND(PRODUCT(T41,AB7:AB40),0)</f>
        <v>#DIV/0!</v>
      </c>
      <c r="U42" s="3264"/>
      <c r="V42" s="3264" t="e">
        <f>ROUND(PRODUCT(V41,AC7:AC40),0)</f>
        <v>#DIV/0!</v>
      </c>
      <c r="W42" s="3264"/>
      <c r="X42" s="756"/>
      <c r="Y42" s="756"/>
      <c r="Z42" s="756"/>
      <c r="AA42" s="756"/>
      <c r="AB42" s="756"/>
      <c r="AC42" s="756"/>
    </row>
    <row r="43" spans="1:29" ht="15.75" thickBot="1">
      <c r="A43" s="489" t="s">
        <v>2642</v>
      </c>
      <c r="B43" s="490"/>
      <c r="C43" s="491" t="e">
        <f>R43</f>
        <v>#DIV/0!</v>
      </c>
      <c r="D43" s="491"/>
      <c r="E43" s="491"/>
      <c r="F43" s="491"/>
      <c r="G43" s="491"/>
      <c r="H43" s="491"/>
      <c r="I43" s="491"/>
      <c r="J43" s="491"/>
      <c r="K43" s="782"/>
      <c r="L43" s="1140"/>
      <c r="M43" s="1128"/>
      <c r="N43" s="1128"/>
      <c r="O43" s="1141"/>
      <c r="P43" s="3202" t="str">
        <f>A43</f>
        <v>估价对象XX用房的比较价值（楼面单价，元/平方米）</v>
      </c>
      <c r="Q43" s="3203"/>
      <c r="R43" s="3265" t="e">
        <f>ROUND(AVERAGE(R42:V42),0)</f>
        <v>#DIV/0!</v>
      </c>
      <c r="S43" s="3265"/>
      <c r="T43" s="3265"/>
      <c r="U43" s="3265"/>
      <c r="V43" s="3265"/>
      <c r="W43" s="3265"/>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2643</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2644</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2645</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9"/>
      <c r="D49" s="757"/>
      <c r="E49" s="757"/>
      <c r="F49" s="757"/>
      <c r="G49" s="757"/>
      <c r="H49" s="757"/>
      <c r="I49" s="757"/>
      <c r="J49" s="757"/>
      <c r="K49" s="1145"/>
      <c r="L49" s="1146"/>
      <c r="M49" s="1142"/>
      <c r="N49" s="1142"/>
      <c r="O49" s="1142"/>
    </row>
    <row r="50" spans="1:17" ht="27">
      <c r="A50" s="681" t="s">
        <v>2730</v>
      </c>
      <c r="B50" s="682" t="s">
        <v>2731</v>
      </c>
      <c r="C50" s="2702" t="s">
        <v>2732</v>
      </c>
      <c r="D50" s="2703" t="s">
        <v>2733</v>
      </c>
      <c r="E50" s="683" t="s">
        <v>2734</v>
      </c>
      <c r="F50" s="684" t="s">
        <v>2735</v>
      </c>
      <c r="G50" s="3220" t="s">
        <v>2736</v>
      </c>
      <c r="H50" s="3266"/>
      <c r="I50" s="1811" t="s">
        <v>2773</v>
      </c>
      <c r="J50" s="1811">
        <f>项目基本情况!F35</f>
        <v>0</v>
      </c>
      <c r="K50" s="2705" t="s">
        <v>2738</v>
      </c>
      <c r="L50" s="1103"/>
      <c r="M50" s="1141"/>
      <c r="N50" s="1141"/>
      <c r="O50" s="1141"/>
    </row>
    <row r="51" spans="1:17" s="689" customFormat="1">
      <c r="A51" s="685" t="s">
        <v>2739</v>
      </c>
      <c r="B51" s="686" t="e">
        <f>C43</f>
        <v>#DIV/0!</v>
      </c>
      <c r="C51" s="687">
        <v>1</v>
      </c>
      <c r="D51" s="1160">
        <v>1</v>
      </c>
      <c r="E51" s="687">
        <f>'数据-汇总表'!E8+'数据-汇总表'!E9</f>
        <v>37043.53</v>
      </c>
      <c r="F51" s="688" t="e">
        <f t="shared" ref="F51:F60" si="15">ROUND(B51*E51/10000,0)</f>
        <v>#DIV/0!</v>
      </c>
      <c r="G51" s="3216"/>
      <c r="H51" s="3205"/>
      <c r="I51" s="939">
        <v>1</v>
      </c>
      <c r="J51" s="939">
        <v>1</v>
      </c>
      <c r="K51" s="1142"/>
      <c r="L51" s="938"/>
      <c r="M51" s="938"/>
      <c r="N51" s="938"/>
      <c r="O51" s="938"/>
    </row>
    <row r="52" spans="1:17" s="689" customFormat="1">
      <c r="A52" s="690" t="s">
        <v>2740</v>
      </c>
      <c r="B52" s="259" t="e">
        <f>ROUND($C$43*C52*D52,0)</f>
        <v>#DIV/0!</v>
      </c>
      <c r="C52" s="197">
        <f t="shared" ref="C52:C60" si="16">IF($C$50="北京市系数",I52,J52)</f>
        <v>0.7</v>
      </c>
      <c r="D52" s="1161">
        <v>0.25</v>
      </c>
      <c r="E52" s="691"/>
      <c r="F52" s="688" t="e">
        <f t="shared" si="15"/>
        <v>#DIV/0!</v>
      </c>
      <c r="G52" s="3267" t="s">
        <v>2741</v>
      </c>
      <c r="H52" s="1101" t="str">
        <f>项目基本情况!B37</f>
        <v>六级</v>
      </c>
      <c r="I52" s="939">
        <f>SUMIF(修正!A45:A56,H52,修正!B45:B56)</f>
        <v>0.7</v>
      </c>
      <c r="J52" s="940"/>
      <c r="K52" s="1141"/>
      <c r="L52" s="938"/>
      <c r="M52" s="938"/>
      <c r="N52" s="938"/>
      <c r="O52" s="938"/>
    </row>
    <row r="53" spans="1:17" s="689" customFormat="1">
      <c r="A53" s="690" t="s">
        <v>2742</v>
      </c>
      <c r="B53" s="259" t="e">
        <f t="shared" ref="B53:B60" si="17">ROUND($C$43*C53*D53,0)</f>
        <v>#DIV/0!</v>
      </c>
      <c r="C53" s="197">
        <f t="shared" si="16"/>
        <v>0.4</v>
      </c>
      <c r="D53" s="1161">
        <v>0.25</v>
      </c>
      <c r="E53" s="691"/>
      <c r="F53" s="688" t="e">
        <f t="shared" si="15"/>
        <v>#DIV/0!</v>
      </c>
      <c r="G53" s="3267"/>
      <c r="H53" s="1101" t="str">
        <f>项目基本情况!B37</f>
        <v>六级</v>
      </c>
      <c r="I53" s="939">
        <f>SUMIF(修正!A45:A56,H53,修正!C45:C56)</f>
        <v>0.4</v>
      </c>
      <c r="J53" s="940"/>
      <c r="K53" s="1142"/>
      <c r="L53" s="938"/>
      <c r="M53" s="938"/>
      <c r="N53" s="938"/>
      <c r="O53" s="938"/>
    </row>
    <row r="54" spans="1:17" s="689" customFormat="1">
      <c r="A54" s="690" t="s">
        <v>2743</v>
      </c>
      <c r="B54" s="259" t="e">
        <f t="shared" si="17"/>
        <v>#DIV/0!</v>
      </c>
      <c r="C54" s="197">
        <f t="shared" si="16"/>
        <v>0.28000000000000003</v>
      </c>
      <c r="D54" s="1161">
        <v>0.25</v>
      </c>
      <c r="E54" s="691"/>
      <c r="F54" s="688" t="e">
        <f t="shared" si="15"/>
        <v>#DIV/0!</v>
      </c>
      <c r="G54" s="3267"/>
      <c r="H54" s="1101" t="str">
        <f>项目基本情况!B37</f>
        <v>六级</v>
      </c>
      <c r="I54" s="939">
        <f>SUMIF(修正!A45:A56,H54,修正!D45:D56)</f>
        <v>0.28000000000000003</v>
      </c>
      <c r="J54" s="940"/>
      <c r="K54" s="1141"/>
      <c r="L54" s="938"/>
      <c r="M54" s="938"/>
      <c r="N54" s="938"/>
      <c r="O54" s="938"/>
    </row>
    <row r="55" spans="1:17" s="689" customFormat="1">
      <c r="A55" s="690" t="s">
        <v>2744</v>
      </c>
      <c r="B55" s="259" t="e">
        <f t="shared" si="17"/>
        <v>#DIV/0!</v>
      </c>
      <c r="C55" s="197">
        <f t="shared" si="16"/>
        <v>0.25</v>
      </c>
      <c r="D55" s="1161">
        <v>0.25</v>
      </c>
      <c r="E55" s="691"/>
      <c r="F55" s="688" t="e">
        <f t="shared" si="15"/>
        <v>#DIV/0!</v>
      </c>
      <c r="G55" s="3267"/>
      <c r="H55" s="1101" t="str">
        <f>项目基本情况!B37</f>
        <v>六级</v>
      </c>
      <c r="I55" s="939">
        <f>SUMIF(修正!A45:A56,H55,修正!E45:E56)</f>
        <v>0.25</v>
      </c>
      <c r="J55" s="940"/>
      <c r="K55" s="1142"/>
      <c r="L55" s="938"/>
      <c r="M55" s="938"/>
      <c r="N55" s="938"/>
      <c r="O55" s="938"/>
    </row>
    <row r="56" spans="1:17" s="689" customFormat="1">
      <c r="A56" s="690" t="s">
        <v>2745</v>
      </c>
      <c r="B56" s="259" t="e">
        <f t="shared" si="17"/>
        <v>#DIV/0!</v>
      </c>
      <c r="C56" s="197">
        <f t="shared" si="16"/>
        <v>0</v>
      </c>
      <c r="D56" s="1161">
        <v>0.25</v>
      </c>
      <c r="E56" s="258">
        <f>'数据-汇总表'!E11</f>
        <v>0</v>
      </c>
      <c r="F56" s="688" t="e">
        <f t="shared" si="15"/>
        <v>#DIV/0!</v>
      </c>
      <c r="G56" s="2706" t="s">
        <v>2746</v>
      </c>
      <c r="H56" s="1101">
        <f>项目基本情况!C37</f>
        <v>0</v>
      </c>
      <c r="I56" s="939">
        <f>SUMIF(修正!A45:A56,H56,修正!F45:F56)</f>
        <v>0</v>
      </c>
      <c r="J56" s="940"/>
      <c r="K56" s="1141"/>
      <c r="L56" s="938"/>
      <c r="M56" s="938"/>
      <c r="N56" s="938"/>
      <c r="O56" s="938"/>
    </row>
    <row r="57" spans="1:17" s="689" customFormat="1">
      <c r="A57" s="690" t="s">
        <v>2747</v>
      </c>
      <c r="B57" s="259" t="e">
        <f t="shared" si="17"/>
        <v>#DIV/0!</v>
      </c>
      <c r="C57" s="197">
        <f t="shared" si="16"/>
        <v>0</v>
      </c>
      <c r="D57" s="1161">
        <v>0.25</v>
      </c>
      <c r="E57" s="258">
        <f>'数据-汇总表'!E12</f>
        <v>8980.48</v>
      </c>
      <c r="F57" s="688" t="e">
        <f t="shared" si="15"/>
        <v>#DIV/0!</v>
      </c>
      <c r="G57" s="1106" t="s">
        <v>2748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2749</v>
      </c>
      <c r="B58" s="259" t="e">
        <f t="shared" si="17"/>
        <v>#DIV/0!</v>
      </c>
      <c r="C58" s="197">
        <f t="shared" si="16"/>
        <v>0.2</v>
      </c>
      <c r="D58" s="1161">
        <v>0.25</v>
      </c>
      <c r="E58" s="258">
        <f>'数据-汇总表'!E13</f>
        <v>0</v>
      </c>
      <c r="F58" s="688" t="e">
        <f t="shared" si="15"/>
        <v>#DIV/0!</v>
      </c>
      <c r="G58" s="1106" t="s">
        <v>2750</v>
      </c>
      <c r="H58" s="1101" t="str">
        <f>IF(G58="商业",项目基本情况!B37,IF(G58="办公",项目基本情况!C37,IF(G58="住宅",项目基本情况!D37,项目基本情况!E37)))</f>
        <v>六级</v>
      </c>
      <c r="I58" s="939">
        <f>SUMIF(修正!A45:A56,H58,修正!H45:H56)</f>
        <v>0.2</v>
      </c>
      <c r="J58" s="940"/>
      <c r="K58" s="1141"/>
      <c r="L58" s="938"/>
      <c r="M58" s="938"/>
      <c r="N58" s="938"/>
      <c r="O58" s="938"/>
    </row>
    <row r="59" spans="1:17" s="689" customFormat="1">
      <c r="A59" s="690" t="s">
        <v>2751</v>
      </c>
      <c r="B59" s="259" t="e">
        <f t="shared" si="17"/>
        <v>#DIV/0!</v>
      </c>
      <c r="C59" s="197">
        <f t="shared" si="16"/>
        <v>0.2</v>
      </c>
      <c r="D59" s="1161">
        <v>0.25</v>
      </c>
      <c r="E59" s="258">
        <f>'数据-汇总表'!E14</f>
        <v>0</v>
      </c>
      <c r="F59" s="688" t="e">
        <f t="shared" si="15"/>
        <v>#DIV/0!</v>
      </c>
      <c r="G59" s="2706" t="s">
        <v>2741</v>
      </c>
      <c r="H59" s="1101" t="str">
        <f>项目基本情况!B37</f>
        <v>六级</v>
      </c>
      <c r="I59" s="939">
        <f>SUMIF(修正!A45:A56,H59,修正!H45:H56)</f>
        <v>0.2</v>
      </c>
      <c r="J59" s="940"/>
      <c r="K59" s="1142"/>
      <c r="L59" s="938"/>
      <c r="M59" s="938"/>
      <c r="N59" s="938"/>
      <c r="O59" s="938"/>
    </row>
    <row r="60" spans="1:17" s="689" customFormat="1" ht="15" thickBot="1">
      <c r="A60" s="690" t="s">
        <v>2752</v>
      </c>
      <c r="B60" s="259" t="e">
        <f t="shared" si="17"/>
        <v>#DIV/0!</v>
      </c>
      <c r="C60" s="197">
        <f t="shared" si="16"/>
        <v>0</v>
      </c>
      <c r="D60" s="1161">
        <v>0.25</v>
      </c>
      <c r="E60" s="258">
        <f>'数据-汇总表'!E15</f>
        <v>0</v>
      </c>
      <c r="F60" s="688" t="e">
        <f t="shared" si="15"/>
        <v>#DIV/0!</v>
      </c>
      <c r="G60" s="2707" t="s">
        <v>2746</v>
      </c>
      <c r="H60" s="1111">
        <f>项目基本情况!C37</f>
        <v>0</v>
      </c>
      <c r="I60" s="939">
        <f>SUMIF(修正!A45:A56,H60,修正!H45:H56)</f>
        <v>0</v>
      </c>
      <c r="J60" s="940"/>
      <c r="K60" s="1141"/>
      <c r="L60" s="938"/>
      <c r="M60" s="938"/>
      <c r="N60" s="938"/>
      <c r="O60" s="938"/>
    </row>
    <row r="61" spans="1:17" s="689" customFormat="1" ht="15" thickBot="1">
      <c r="A61" s="692" t="s">
        <v>2753</v>
      </c>
      <c r="B61" s="693" t="s">
        <v>25</v>
      </c>
      <c r="C61" s="693" t="s">
        <v>26</v>
      </c>
      <c r="D61" s="693" t="s">
        <v>1001</v>
      </c>
      <c r="E61" s="693">
        <f>IF(B41="楼面地价",SUM(E51:E60),'数据-汇总表'!D3)</f>
        <v>10938.89</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2020-1-1</v>
      </c>
      <c r="D63" s="758">
        <f>EDATE(C63,-3)</f>
        <v>43739</v>
      </c>
      <c r="E63" s="758">
        <f>EDATE(D63,-3)</f>
        <v>43647</v>
      </c>
      <c r="F63" s="758">
        <f t="shared" ref="F63:O63" si="18">EDATE(E63,-3)</f>
        <v>43556</v>
      </c>
      <c r="G63" s="758">
        <f t="shared" si="18"/>
        <v>43466</v>
      </c>
      <c r="H63" s="758">
        <f t="shared" si="18"/>
        <v>43374</v>
      </c>
      <c r="I63" s="758">
        <f t="shared" si="18"/>
        <v>43282</v>
      </c>
      <c r="J63" s="758">
        <f t="shared" si="18"/>
        <v>43191</v>
      </c>
      <c r="K63" s="758">
        <f t="shared" si="18"/>
        <v>43101</v>
      </c>
      <c r="L63" s="758">
        <f t="shared" si="18"/>
        <v>43009</v>
      </c>
      <c r="M63" s="758">
        <f t="shared" si="18"/>
        <v>42917</v>
      </c>
      <c r="N63" s="758">
        <f t="shared" si="18"/>
        <v>42826</v>
      </c>
      <c r="O63" s="758">
        <f t="shared" si="18"/>
        <v>42736</v>
      </c>
    </row>
    <row r="64" spans="1:17" ht="21.75" thickBot="1">
      <c r="A64" s="760" t="s">
        <v>2646</v>
      </c>
      <c r="B64" s="756"/>
      <c r="C64" s="761"/>
      <c r="D64" s="761"/>
      <c r="E64" s="761"/>
      <c r="F64" s="762"/>
      <c r="G64" s="762"/>
      <c r="H64" s="761"/>
      <c r="I64" s="761"/>
      <c r="J64" s="761"/>
      <c r="K64" s="763"/>
      <c r="L64" s="764"/>
      <c r="M64" s="761"/>
      <c r="N64" s="761"/>
      <c r="O64" s="1156"/>
      <c r="P64" s="500"/>
      <c r="Q64" s="501"/>
    </row>
    <row r="65" spans="1:17" s="505" customFormat="1" ht="15">
      <c r="A65" s="2708" t="s">
        <v>2754</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4"/>
    </row>
    <row r="66" spans="1:17" s="114" customFormat="1" ht="30.75" customHeight="1">
      <c r="A66" s="2713" t="s">
        <v>2774</v>
      </c>
      <c r="B66" s="329" t="str">
        <f>"北京市平均增长率"&amp;TEXT(基准地价修正!P24,"0.00%")</f>
        <v>北京市平均增长率1.33%</v>
      </c>
      <c r="C66" s="600">
        <v>100</v>
      </c>
      <c r="D66" s="592"/>
      <c r="E66" s="592"/>
      <c r="F66" s="592"/>
      <c r="G66" s="592"/>
      <c r="H66" s="592"/>
      <c r="I66" s="592"/>
      <c r="J66" s="592"/>
      <c r="K66" s="592"/>
      <c r="L66" s="592"/>
      <c r="M66" s="1564"/>
      <c r="N66" s="1564"/>
      <c r="O66" s="1566"/>
      <c r="P66" s="501"/>
    </row>
    <row r="67" spans="1:17" s="114" customFormat="1" ht="15.75" thickBot="1">
      <c r="A67" s="512" t="s">
        <v>2557</v>
      </c>
      <c r="B67" s="513"/>
      <c r="C67" s="514"/>
      <c r="D67" s="515"/>
      <c r="E67" s="515"/>
      <c r="F67" s="515"/>
      <c r="G67" s="515"/>
      <c r="H67" s="515"/>
      <c r="I67" s="515"/>
      <c r="J67" s="515"/>
      <c r="K67" s="515"/>
      <c r="L67" s="515"/>
      <c r="M67" s="516"/>
      <c r="N67" s="516"/>
      <c r="O67" s="517"/>
      <c r="P67" s="501"/>
      <c r="Q67" s="501"/>
    </row>
    <row r="68" spans="1:17" s="114" customFormat="1" ht="15">
      <c r="A68" s="518" t="s">
        <v>2522</v>
      </c>
      <c r="B68" s="507"/>
      <c r="C68" s="519" t="s">
        <v>2624</v>
      </c>
      <c r="D68" s="520"/>
      <c r="E68" s="520"/>
      <c r="F68" s="520"/>
      <c r="G68" s="520"/>
      <c r="H68" s="520"/>
      <c r="I68" s="520"/>
      <c r="J68" s="520"/>
      <c r="K68" s="520"/>
      <c r="L68" s="521"/>
      <c r="M68" s="522"/>
      <c r="N68" s="1148"/>
      <c r="O68" s="1148"/>
      <c r="P68" s="523"/>
      <c r="Q68" s="501"/>
    </row>
    <row r="69" spans="1:17" s="114"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2560</v>
      </c>
      <c r="B70" s="525" t="s">
        <v>2526</v>
      </c>
      <c r="C70" s="527"/>
      <c r="D70" s="527"/>
      <c r="E70" s="527"/>
      <c r="F70" s="527"/>
      <c r="G70" s="527"/>
      <c r="H70" s="527"/>
      <c r="I70" s="527"/>
      <c r="J70" s="527"/>
      <c r="K70" s="528"/>
      <c r="L70" s="529"/>
      <c r="M70" s="530"/>
      <c r="N70" s="1149"/>
      <c r="O70" s="1149"/>
      <c r="P70" s="42"/>
      <c r="Q70" s="501"/>
    </row>
    <row r="71" spans="1:17" ht="15.75" thickBot="1">
      <c r="A71" s="531"/>
      <c r="B71" s="532"/>
      <c r="C71" s="533"/>
      <c r="D71" s="533"/>
      <c r="E71" s="533"/>
      <c r="F71" s="533"/>
      <c r="G71" s="533"/>
      <c r="H71" s="533"/>
      <c r="I71" s="533"/>
      <c r="J71" s="533"/>
      <c r="K71" s="533"/>
      <c r="L71" s="533"/>
      <c r="M71" s="534"/>
      <c r="N71" s="1150"/>
      <c r="O71" s="1150"/>
      <c r="P71" s="42"/>
      <c r="Q71" s="501"/>
    </row>
    <row r="72" spans="1:17" ht="27.75" thickTop="1">
      <c r="A72" s="531"/>
      <c r="B72" s="535" t="s">
        <v>2529</v>
      </c>
      <c r="C72" s="536"/>
      <c r="D72" s="536"/>
      <c r="E72" s="536"/>
      <c r="F72" s="536"/>
      <c r="G72" s="536"/>
      <c r="H72" s="536"/>
      <c r="I72" s="536"/>
      <c r="J72" s="536"/>
      <c r="K72" s="537"/>
      <c r="L72" s="538"/>
      <c r="M72" s="539"/>
      <c r="N72" s="1149"/>
      <c r="O72" s="1149"/>
      <c r="P72" s="42"/>
      <c r="Q72" s="501"/>
    </row>
    <row r="73" spans="1:17" ht="15.75" thickBot="1">
      <c r="A73" s="531"/>
      <c r="B73" s="540"/>
      <c r="C73" s="541"/>
      <c r="D73" s="541"/>
      <c r="E73" s="541"/>
      <c r="F73" s="541"/>
      <c r="G73" s="541"/>
      <c r="H73" s="541"/>
      <c r="I73" s="541"/>
      <c r="J73" s="541"/>
      <c r="K73" s="541"/>
      <c r="L73" s="541"/>
      <c r="M73" s="542"/>
      <c r="N73" s="1150"/>
      <c r="O73" s="1150"/>
      <c r="P73" s="42"/>
      <c r="Q73" s="501"/>
    </row>
    <row r="74" spans="1:17" ht="15.75" thickTop="1">
      <c r="A74" s="531"/>
      <c r="B74" s="543" t="s">
        <v>2530</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2"/>
      <c r="Q74" s="501"/>
    </row>
    <row r="75" spans="1:17" ht="15">
      <c r="A75" s="531"/>
      <c r="B75" s="545"/>
      <c r="C75" s="546"/>
      <c r="D75" s="546"/>
      <c r="E75" s="546"/>
      <c r="F75" s="546"/>
      <c r="G75" s="546"/>
      <c r="H75" s="546"/>
      <c r="I75" s="546"/>
      <c r="J75" s="546"/>
      <c r="K75" s="547"/>
      <c r="L75" s="548"/>
      <c r="M75" s="549"/>
      <c r="N75" s="1149"/>
      <c r="O75" s="1149"/>
      <c r="P75" s="42"/>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2"/>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2531</v>
      </c>
      <c r="B83" s="525" t="s">
        <v>2677</v>
      </c>
      <c r="C83" s="570" t="s">
        <v>2569</v>
      </c>
      <c r="D83" s="570" t="s">
        <v>2570</v>
      </c>
      <c r="E83" s="570" t="s">
        <v>2571</v>
      </c>
      <c r="F83" s="570" t="s">
        <v>2572</v>
      </c>
      <c r="G83" s="570" t="s">
        <v>2573</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2"/>
      <c r="Q84" s="501"/>
    </row>
    <row r="85" spans="1:17" ht="15.75" thickTop="1">
      <c r="A85" s="531"/>
      <c r="B85" s="535" t="s">
        <v>2574</v>
      </c>
      <c r="C85" s="575" t="s">
        <v>2569</v>
      </c>
      <c r="D85" s="575" t="s">
        <v>2570</v>
      </c>
      <c r="E85" s="575" t="s">
        <v>2571</v>
      </c>
      <c r="F85" s="575" t="s">
        <v>2572</v>
      </c>
      <c r="G85" s="575" t="s">
        <v>2573</v>
      </c>
      <c r="H85" s="536"/>
      <c r="I85" s="536"/>
      <c r="J85" s="536"/>
      <c r="K85" s="537"/>
      <c r="L85" s="538"/>
      <c r="M85" s="539"/>
      <c r="N85" s="1149"/>
      <c r="O85" s="1149"/>
      <c r="P85" s="42"/>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2"/>
      <c r="Q86" s="501"/>
    </row>
    <row r="87" spans="1:17" s="114" customFormat="1" ht="15.75" thickTop="1">
      <c r="A87" s="576"/>
      <c r="B87" s="535" t="s">
        <v>2757</v>
      </c>
      <c r="C87" s="570" t="s">
        <v>2569</v>
      </c>
      <c r="D87" s="570" t="s">
        <v>2570</v>
      </c>
      <c r="E87" s="570" t="s">
        <v>2571</v>
      </c>
      <c r="F87" s="570" t="s">
        <v>2572</v>
      </c>
      <c r="G87" s="570" t="s">
        <v>2573</v>
      </c>
      <c r="H87" s="575"/>
      <c r="I87" s="575"/>
      <c r="J87" s="575"/>
      <c r="K87" s="575"/>
      <c r="L87" s="695"/>
      <c r="M87" s="619"/>
      <c r="N87" s="1148"/>
      <c r="O87" s="1148"/>
      <c r="P87" s="42"/>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2"/>
      <c r="Q88" s="501"/>
    </row>
    <row r="89" spans="1:17" s="114" customFormat="1" ht="27.75" thickTop="1">
      <c r="A89" s="576"/>
      <c r="B89" s="535" t="s">
        <v>2758</v>
      </c>
      <c r="C89" s="570" t="s">
        <v>2569</v>
      </c>
      <c r="D89" s="570" t="s">
        <v>2570</v>
      </c>
      <c r="E89" s="570" t="s">
        <v>2571</v>
      </c>
      <c r="F89" s="570" t="s">
        <v>2572</v>
      </c>
      <c r="G89" s="570" t="s">
        <v>2573</v>
      </c>
      <c r="H89" s="575"/>
      <c r="I89" s="575"/>
      <c r="J89" s="575"/>
      <c r="K89" s="575"/>
      <c r="L89" s="575"/>
      <c r="M89" s="619"/>
      <c r="N89" s="1148"/>
      <c r="O89" s="1148"/>
      <c r="P89" s="42"/>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2"/>
      <c r="Q90" s="501"/>
    </row>
    <row r="91" spans="1:17" s="468" customFormat="1" ht="15.75" thickTop="1">
      <c r="A91" s="550"/>
      <c r="B91" s="535" t="s">
        <v>2626</v>
      </c>
      <c r="C91" s="570" t="s">
        <v>2569</v>
      </c>
      <c r="D91" s="570" t="s">
        <v>2570</v>
      </c>
      <c r="E91" s="570" t="s">
        <v>2571</v>
      </c>
      <c r="F91" s="570" t="s">
        <v>2572</v>
      </c>
      <c r="G91" s="570" t="s">
        <v>2573</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2775</v>
      </c>
      <c r="C93" s="657" t="s">
        <v>2647</v>
      </c>
      <c r="D93" s="657" t="s">
        <v>2648</v>
      </c>
      <c r="E93" s="657" t="s">
        <v>2649</v>
      </c>
      <c r="F93" s="657" t="s">
        <v>2650</v>
      </c>
      <c r="G93" s="657" t="s">
        <v>2651</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75" thickTop="1">
      <c r="A95" s="531"/>
      <c r="B95" s="535" t="str">
        <f>B27</f>
        <v>临街状况</v>
      </c>
      <c r="C95" s="536" t="s">
        <v>2759</v>
      </c>
      <c r="D95" s="536" t="s">
        <v>2760</v>
      </c>
      <c r="E95" s="536" t="s">
        <v>2761</v>
      </c>
      <c r="F95" s="536" t="s">
        <v>2762</v>
      </c>
      <c r="G95" s="536"/>
      <c r="H95" s="536"/>
      <c r="I95" s="536"/>
      <c r="J95" s="536"/>
      <c r="K95" s="537"/>
      <c r="L95" s="538"/>
      <c r="M95" s="539"/>
      <c r="N95" s="1149"/>
      <c r="O95" s="1149"/>
      <c r="P95" s="42"/>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2"/>
      <c r="Q96" s="501"/>
    </row>
    <row r="97" spans="1:17" ht="27.75" thickTop="1">
      <c r="A97" s="531"/>
      <c r="B97" s="535" t="s">
        <v>2663</v>
      </c>
      <c r="C97" s="551"/>
      <c r="D97" s="551"/>
      <c r="E97" s="551"/>
      <c r="F97" s="551"/>
      <c r="G97" s="551"/>
      <c r="H97" s="580"/>
      <c r="I97" s="580"/>
      <c r="J97" s="580"/>
      <c r="K97" s="581"/>
      <c r="L97" s="582"/>
      <c r="M97" s="583"/>
      <c r="N97" s="1149"/>
      <c r="O97" s="1149"/>
      <c r="P97" s="42"/>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2"/>
      <c r="Q98" s="501"/>
    </row>
    <row r="99" spans="1:17" ht="15.75" thickTop="1">
      <c r="A99" s="531"/>
      <c r="B99" s="535" t="s">
        <v>2722</v>
      </c>
      <c r="C99" s="580"/>
      <c r="D99" s="580"/>
      <c r="E99" s="580"/>
      <c r="F99" s="580"/>
      <c r="G99" s="580"/>
      <c r="H99" s="580"/>
      <c r="I99" s="580"/>
      <c r="J99" s="580"/>
      <c r="K99" s="581"/>
      <c r="L99" s="582"/>
      <c r="M99" s="583"/>
      <c r="N99" s="1149"/>
      <c r="O99" s="1149"/>
      <c r="P99" s="42"/>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2"/>
      <c r="Q100" s="501"/>
    </row>
    <row r="101" spans="1:17" ht="15.75" thickTop="1">
      <c r="A101" s="531"/>
      <c r="B101" s="543">
        <f>B31</f>
        <v>111</v>
      </c>
      <c r="C101" s="551"/>
      <c r="D101" s="551"/>
      <c r="E101" s="551"/>
      <c r="F101" s="551"/>
      <c r="G101" s="584"/>
      <c r="H101" s="584"/>
      <c r="I101" s="584"/>
      <c r="J101" s="584"/>
      <c r="K101" s="585"/>
      <c r="L101" s="586"/>
      <c r="M101" s="587"/>
      <c r="N101" s="1149"/>
      <c r="O101" s="1149"/>
      <c r="P101" s="42"/>
      <c r="Q101" s="501"/>
    </row>
    <row r="102" spans="1:17" ht="15.75" thickBot="1">
      <c r="A102" s="531"/>
      <c r="B102" s="566"/>
      <c r="C102" s="557"/>
      <c r="D102" s="533"/>
      <c r="E102" s="533"/>
      <c r="F102" s="533"/>
      <c r="G102" s="588"/>
      <c r="H102" s="588"/>
      <c r="I102" s="588"/>
      <c r="J102" s="588"/>
      <c r="K102" s="588"/>
      <c r="L102" s="588"/>
      <c r="M102" s="589"/>
      <c r="N102" s="1150"/>
      <c r="O102" s="1150"/>
      <c r="P102" s="42"/>
      <c r="Q102" s="501"/>
    </row>
    <row r="103" spans="1:17" ht="15" thickTop="1">
      <c r="A103" s="672"/>
      <c r="B103" s="535">
        <f>B32</f>
        <v>111</v>
      </c>
      <c r="C103" s="551"/>
      <c r="D103" s="551"/>
      <c r="E103" s="551"/>
      <c r="F103" s="551"/>
      <c r="G103" s="580"/>
      <c r="H103" s="580"/>
      <c r="I103" s="580"/>
      <c r="J103" s="580"/>
      <c r="K103" s="581"/>
      <c r="L103" s="582"/>
      <c r="M103" s="583"/>
      <c r="N103" s="1149"/>
      <c r="O103" s="1149"/>
      <c r="P103" s="42"/>
      <c r="Q103" s="501"/>
    </row>
    <row r="104" spans="1:17" ht="15.75" thickBot="1">
      <c r="A104" s="531"/>
      <c r="B104" s="540"/>
      <c r="C104" s="557"/>
      <c r="D104" s="557"/>
      <c r="E104" s="557"/>
      <c r="F104" s="557"/>
      <c r="G104" s="533"/>
      <c r="H104" s="533"/>
      <c r="I104" s="533"/>
      <c r="J104" s="533"/>
      <c r="K104" s="533"/>
      <c r="L104" s="533"/>
      <c r="M104" s="534"/>
      <c r="N104" s="1150"/>
      <c r="O104" s="1150"/>
      <c r="P104" s="42"/>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2535</v>
      </c>
      <c r="B107" s="525" t="s">
        <v>2763</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3" t="str">
        <f t="shared" si="25"/>
        <v>(含)-</v>
      </c>
      <c r="L107" s="1763" t="str">
        <f t="shared" si="25"/>
        <v>(含)-</v>
      </c>
      <c r="M107" s="1764" t="str">
        <f>M108&amp;"(含)"&amp;"-"&amp;P108</f>
        <v>(含)-</v>
      </c>
      <c r="N107" s="1149"/>
      <c r="O107" s="1149"/>
      <c r="P107" s="42"/>
      <c r="Q107" s="501"/>
    </row>
    <row r="108" spans="1:17" ht="15">
      <c r="A108" s="531"/>
      <c r="B108" s="543"/>
      <c r="C108" s="592"/>
      <c r="D108" s="592"/>
      <c r="E108" s="592"/>
      <c r="F108" s="592"/>
      <c r="G108" s="592"/>
      <c r="H108" s="592"/>
      <c r="I108" s="592"/>
      <c r="J108" s="593"/>
      <c r="K108" s="593"/>
      <c r="L108" s="594"/>
      <c r="M108" s="595"/>
      <c r="N108" s="1149"/>
      <c r="O108" s="1149"/>
      <c r="P108" s="42"/>
      <c r="Q108" s="501"/>
    </row>
    <row r="109" spans="1:17" ht="15.75" thickBot="1">
      <c r="A109" s="531"/>
      <c r="B109" s="540"/>
      <c r="C109" s="567"/>
      <c r="D109" s="588"/>
      <c r="E109" s="588"/>
      <c r="F109" s="588"/>
      <c r="G109" s="588"/>
      <c r="H109" s="588"/>
      <c r="I109" s="588"/>
      <c r="J109" s="588"/>
      <c r="K109" s="588"/>
      <c r="L109" s="588"/>
      <c r="M109" s="589"/>
      <c r="N109" s="1150"/>
      <c r="O109" s="1150"/>
      <c r="P109" s="42"/>
      <c r="Q109" s="501"/>
    </row>
    <row r="110" spans="1:17" ht="15" thickTop="1">
      <c r="A110" s="596"/>
      <c r="B110" s="535" t="s">
        <v>2764</v>
      </c>
      <c r="C110" s="580"/>
      <c r="D110" s="580"/>
      <c r="E110" s="580"/>
      <c r="F110" s="580"/>
      <c r="G110" s="580"/>
      <c r="H110" s="580"/>
      <c r="I110" s="580"/>
      <c r="J110" s="580"/>
      <c r="K110" s="581"/>
      <c r="L110" s="582"/>
      <c r="M110" s="583"/>
      <c r="N110" s="1149"/>
      <c r="O110" s="1149"/>
      <c r="P110" s="42"/>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2"/>
      <c r="Q111" s="501"/>
    </row>
    <row r="112" spans="1:17" s="468" customFormat="1" ht="15" thickTop="1">
      <c r="A112" s="590"/>
      <c r="B112" s="535" t="s">
        <v>2766</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2767</v>
      </c>
      <c r="C114" s="551"/>
      <c r="D114" s="551"/>
      <c r="E114" s="580"/>
      <c r="F114" s="580"/>
      <c r="G114" s="580"/>
      <c r="H114" s="580"/>
      <c r="I114" s="580"/>
      <c r="J114" s="580"/>
      <c r="K114" s="581"/>
      <c r="L114" s="582"/>
      <c r="M114" s="583"/>
      <c r="N114" s="1149"/>
      <c r="O114" s="1149"/>
      <c r="P114" s="42"/>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2"/>
      <c r="Q115" s="501"/>
    </row>
    <row r="116" spans="1:17" ht="15" thickTop="1">
      <c r="A116" s="596"/>
      <c r="B116" s="535">
        <f>B38</f>
        <v>111</v>
      </c>
      <c r="C116" s="551"/>
      <c r="D116" s="551"/>
      <c r="E116" s="551"/>
      <c r="F116" s="551"/>
      <c r="G116" s="551"/>
      <c r="H116" s="580"/>
      <c r="I116" s="580"/>
      <c r="J116" s="580"/>
      <c r="K116" s="581"/>
      <c r="L116" s="582"/>
      <c r="M116" s="583"/>
      <c r="N116" s="1149"/>
      <c r="O116" s="1149"/>
      <c r="P116" s="42"/>
      <c r="Q116" s="501"/>
    </row>
    <row r="117" spans="1:17" ht="15.75" thickBot="1">
      <c r="A117" s="531"/>
      <c r="B117" s="540"/>
      <c r="C117" s="557"/>
      <c r="D117" s="533"/>
      <c r="E117" s="533"/>
      <c r="F117" s="533"/>
      <c r="G117" s="533"/>
      <c r="H117" s="533"/>
      <c r="I117" s="533"/>
      <c r="J117" s="533"/>
      <c r="K117" s="533"/>
      <c r="L117" s="533"/>
      <c r="M117" s="534"/>
      <c r="N117" s="1150"/>
      <c r="O117" s="1150"/>
      <c r="P117" s="42"/>
      <c r="Q117" s="501"/>
    </row>
    <row r="118" spans="1:17" ht="15" thickTop="1">
      <c r="A118" s="596"/>
      <c r="B118" s="535">
        <f>B39</f>
        <v>111</v>
      </c>
      <c r="C118" s="551"/>
      <c r="D118" s="551"/>
      <c r="E118" s="551"/>
      <c r="F118" s="551"/>
      <c r="G118" s="580"/>
      <c r="H118" s="580"/>
      <c r="I118" s="580"/>
      <c r="J118" s="580"/>
      <c r="K118" s="581"/>
      <c r="L118" s="582"/>
      <c r="M118" s="583"/>
      <c r="N118" s="1149"/>
      <c r="O118" s="1149"/>
      <c r="P118" s="42"/>
      <c r="Q118" s="501"/>
    </row>
    <row r="119" spans="1:17" ht="15.75" thickBot="1">
      <c r="A119" s="531"/>
      <c r="B119" s="540"/>
      <c r="C119" s="557"/>
      <c r="D119" s="557"/>
      <c r="E119" s="557"/>
      <c r="F119" s="557"/>
      <c r="G119" s="533"/>
      <c r="H119" s="533"/>
      <c r="I119" s="533"/>
      <c r="J119" s="533"/>
      <c r="K119" s="533"/>
      <c r="L119" s="533"/>
      <c r="M119" s="534"/>
      <c r="N119" s="1150"/>
      <c r="O119" s="1150"/>
      <c r="P119" s="42"/>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2"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522</v>
      </c>
      <c r="B1" s="828" t="s">
        <v>133</v>
      </c>
      <c r="C1" s="828" t="s">
        <v>134</v>
      </c>
      <c r="D1" s="828" t="s">
        <v>135</v>
      </c>
      <c r="E1" s="828" t="s">
        <v>136</v>
      </c>
      <c r="F1" s="828" t="s">
        <v>137</v>
      </c>
      <c r="G1" s="828" t="s">
        <v>138</v>
      </c>
      <c r="H1" s="828" t="s">
        <v>139</v>
      </c>
      <c r="I1" s="828" t="s">
        <v>140</v>
      </c>
      <c r="J1" s="828" t="s">
        <v>141</v>
      </c>
      <c r="K1" s="828" t="s">
        <v>142</v>
      </c>
      <c r="L1" s="828" t="s">
        <v>143</v>
      </c>
      <c r="M1" s="829" t="s">
        <v>144</v>
      </c>
    </row>
    <row r="2" spans="1:13" ht="19.5" customHeight="1">
      <c r="A2" s="854" t="s">
        <v>159</v>
      </c>
      <c r="B2" s="855">
        <v>3.5</v>
      </c>
      <c r="C2" s="855">
        <v>3.5</v>
      </c>
      <c r="D2" s="856">
        <v>2.5</v>
      </c>
      <c r="E2" s="856">
        <v>2.5</v>
      </c>
      <c r="F2" s="856">
        <v>2.5</v>
      </c>
      <c r="G2" s="856">
        <v>2.5</v>
      </c>
      <c r="H2" s="856">
        <v>2.5</v>
      </c>
      <c r="I2" s="855">
        <v>2</v>
      </c>
      <c r="J2" s="855">
        <v>2</v>
      </c>
      <c r="K2" s="855">
        <v>2</v>
      </c>
      <c r="L2" s="855">
        <v>2</v>
      </c>
      <c r="M2" s="857">
        <v>2</v>
      </c>
    </row>
    <row r="3" spans="1:13" ht="19.5" customHeight="1">
      <c r="A3" s="858" t="s">
        <v>160</v>
      </c>
      <c r="B3" s="859">
        <v>3.5</v>
      </c>
      <c r="C3" s="859">
        <v>3.5</v>
      </c>
      <c r="D3" s="860">
        <v>2.5</v>
      </c>
      <c r="E3" s="860">
        <v>2.5</v>
      </c>
      <c r="F3" s="860">
        <v>2.5</v>
      </c>
      <c r="G3" s="860">
        <v>2.5</v>
      </c>
      <c r="H3" s="860">
        <v>2.5</v>
      </c>
      <c r="I3" s="859">
        <v>2</v>
      </c>
      <c r="J3" s="859">
        <v>2</v>
      </c>
      <c r="K3" s="859">
        <v>2</v>
      </c>
      <c r="L3" s="859">
        <v>2</v>
      </c>
      <c r="M3" s="861">
        <v>2</v>
      </c>
    </row>
    <row r="4" spans="1:13" ht="19.5" customHeight="1">
      <c r="A4" s="858" t="s">
        <v>728</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162</v>
      </c>
      <c r="B5" s="863">
        <v>1.5</v>
      </c>
      <c r="C5" s="863">
        <v>1.5</v>
      </c>
      <c r="D5" s="863">
        <v>1.5</v>
      </c>
      <c r="E5" s="863">
        <v>1.5</v>
      </c>
      <c r="F5" s="863">
        <v>1.5</v>
      </c>
      <c r="G5" s="864">
        <v>1.2</v>
      </c>
      <c r="H5" s="864">
        <v>1.2</v>
      </c>
      <c r="I5" s="864">
        <v>1</v>
      </c>
      <c r="J5" s="864">
        <v>1</v>
      </c>
      <c r="K5" s="864">
        <v>1</v>
      </c>
      <c r="L5" s="864">
        <v>1</v>
      </c>
      <c r="M5" s="865">
        <v>1</v>
      </c>
    </row>
    <row r="6" spans="1:13" ht="19.5" customHeight="1">
      <c r="A6" s="866" t="s">
        <v>523</v>
      </c>
      <c r="B6" s="867">
        <v>80</v>
      </c>
      <c r="C6" s="867">
        <v>80</v>
      </c>
      <c r="D6" s="867">
        <v>65</v>
      </c>
      <c r="E6" s="867">
        <v>65</v>
      </c>
      <c r="F6" s="867">
        <v>65</v>
      </c>
      <c r="G6" s="867">
        <v>65</v>
      </c>
      <c r="H6" s="867">
        <v>65</v>
      </c>
      <c r="I6" s="867">
        <v>50</v>
      </c>
      <c r="J6" s="867">
        <v>50</v>
      </c>
      <c r="K6" s="867">
        <v>50</v>
      </c>
      <c r="L6" s="867">
        <v>50</v>
      </c>
      <c r="M6" s="868">
        <v>50</v>
      </c>
    </row>
    <row r="7" spans="1:13" ht="19.5" customHeight="1">
      <c r="A7" s="814" t="s">
        <v>524</v>
      </c>
      <c r="B7" s="815">
        <v>70</v>
      </c>
      <c r="C7" s="815">
        <v>70</v>
      </c>
      <c r="D7" s="815">
        <v>55</v>
      </c>
      <c r="E7" s="815">
        <v>55</v>
      </c>
      <c r="F7" s="815">
        <v>55</v>
      </c>
      <c r="G7" s="815">
        <v>55</v>
      </c>
      <c r="H7" s="815">
        <v>55</v>
      </c>
      <c r="I7" s="815">
        <v>40</v>
      </c>
      <c r="J7" s="815">
        <v>40</v>
      </c>
      <c r="K7" s="815">
        <v>40</v>
      </c>
      <c r="L7" s="815">
        <v>40</v>
      </c>
      <c r="M7" s="869">
        <v>40</v>
      </c>
    </row>
    <row r="8" spans="1:13" ht="19.5" customHeight="1">
      <c r="A8" s="814" t="s">
        <v>525</v>
      </c>
      <c r="B8" s="815">
        <v>20</v>
      </c>
      <c r="C8" s="815">
        <v>20</v>
      </c>
      <c r="D8" s="815">
        <v>15</v>
      </c>
      <c r="E8" s="815">
        <v>15</v>
      </c>
      <c r="F8" s="815">
        <v>15</v>
      </c>
      <c r="G8" s="815">
        <v>15</v>
      </c>
      <c r="H8" s="815">
        <v>15</v>
      </c>
      <c r="I8" s="815">
        <v>10</v>
      </c>
      <c r="J8" s="815">
        <v>10</v>
      </c>
      <c r="K8" s="815">
        <v>10</v>
      </c>
      <c r="L8" s="815">
        <v>10</v>
      </c>
      <c r="M8" s="869">
        <v>10</v>
      </c>
    </row>
    <row r="9" spans="1:13" ht="19.5" customHeight="1">
      <c r="A9" s="814" t="s">
        <v>526</v>
      </c>
      <c r="B9" s="815">
        <v>30</v>
      </c>
      <c r="C9" s="815">
        <v>30</v>
      </c>
      <c r="D9" s="815">
        <v>25</v>
      </c>
      <c r="E9" s="815">
        <v>25</v>
      </c>
      <c r="F9" s="815">
        <v>25</v>
      </c>
      <c r="G9" s="815">
        <v>25</v>
      </c>
      <c r="H9" s="815">
        <v>25</v>
      </c>
      <c r="I9" s="815">
        <v>20</v>
      </c>
      <c r="J9" s="815">
        <v>20</v>
      </c>
      <c r="K9" s="815">
        <v>20</v>
      </c>
      <c r="L9" s="815">
        <v>20</v>
      </c>
      <c r="M9" s="869">
        <v>20</v>
      </c>
    </row>
    <row r="10" spans="1:13" ht="19.5" customHeight="1">
      <c r="A10" s="814" t="s">
        <v>527</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528</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529</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530</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531</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532</v>
      </c>
      <c r="B16" s="873"/>
      <c r="C16" s="874"/>
      <c r="D16" s="874"/>
      <c r="E16" s="873"/>
      <c r="F16" s="874"/>
      <c r="G16" s="874"/>
    </row>
    <row r="17" spans="1:9" ht="19.5" customHeight="1">
      <c r="A17" s="815" t="s">
        <v>533</v>
      </c>
      <c r="B17" s="876" t="s">
        <v>534</v>
      </c>
      <c r="C17" s="930" t="s">
        <v>734</v>
      </c>
      <c r="D17" s="877"/>
      <c r="E17" s="815" t="s">
        <v>535</v>
      </c>
      <c r="F17" s="878"/>
      <c r="G17" s="878"/>
    </row>
    <row r="18" spans="1:9" s="884" customFormat="1" ht="19.5" customHeight="1">
      <c r="A18" s="3272" t="s">
        <v>159</v>
      </c>
      <c r="B18" s="879" t="s">
        <v>536</v>
      </c>
      <c r="C18" s="880" t="s">
        <v>537</v>
      </c>
      <c r="D18" s="881"/>
      <c r="E18" s="879">
        <v>1</v>
      </c>
      <c r="F18" s="882" t="s">
        <v>538</v>
      </c>
      <c r="G18" s="883"/>
      <c r="H18" s="875"/>
      <c r="I18" s="875"/>
    </row>
    <row r="19" spans="1:9" s="884" customFormat="1" ht="19.5" customHeight="1">
      <c r="A19" s="3272"/>
      <c r="B19" s="3272" t="s">
        <v>539</v>
      </c>
      <c r="C19" s="880" t="s">
        <v>540</v>
      </c>
      <c r="D19" s="881"/>
      <c r="E19" s="879">
        <v>0.9</v>
      </c>
      <c r="F19" s="882" t="s">
        <v>541</v>
      </c>
      <c r="G19" s="883"/>
      <c r="H19" s="875"/>
      <c r="I19" s="875"/>
    </row>
    <row r="20" spans="1:9" s="884" customFormat="1" ht="19.5" customHeight="1">
      <c r="A20" s="3272"/>
      <c r="B20" s="3272"/>
      <c r="C20" s="880" t="s">
        <v>542</v>
      </c>
      <c r="D20" s="881"/>
      <c r="E20" s="879">
        <v>1.1000000000000001</v>
      </c>
      <c r="F20" s="882" t="s">
        <v>543</v>
      </c>
      <c r="G20" s="883"/>
      <c r="H20" s="875"/>
      <c r="I20" s="875"/>
    </row>
    <row r="21" spans="1:9" s="884" customFormat="1" ht="19.5" customHeight="1">
      <c r="A21" s="3272"/>
      <c r="B21" s="3272"/>
      <c r="C21" s="880" t="s">
        <v>544</v>
      </c>
      <c r="D21" s="881"/>
      <c r="E21" s="879">
        <v>0.8</v>
      </c>
      <c r="F21" s="882" t="s">
        <v>545</v>
      </c>
      <c r="G21" s="883"/>
      <c r="H21" s="875"/>
      <c r="I21" s="875"/>
    </row>
    <row r="22" spans="1:9" s="884" customFormat="1" ht="19.5" customHeight="1">
      <c r="A22" s="3272"/>
      <c r="B22" s="3272"/>
      <c r="C22" s="880" t="s">
        <v>546</v>
      </c>
      <c r="D22" s="881"/>
      <c r="E22" s="879">
        <v>0.5</v>
      </c>
      <c r="F22" s="882"/>
      <c r="G22" s="883"/>
      <c r="H22" s="875"/>
      <c r="I22" s="875"/>
    </row>
    <row r="23" spans="1:9" s="884" customFormat="1" ht="19.5" customHeight="1">
      <c r="A23" s="3272" t="s">
        <v>160</v>
      </c>
      <c r="B23" s="879" t="s">
        <v>536</v>
      </c>
      <c r="C23" s="880" t="s">
        <v>547</v>
      </c>
      <c r="D23" s="881"/>
      <c r="E23" s="879">
        <v>1</v>
      </c>
      <c r="F23" s="882" t="s">
        <v>548</v>
      </c>
      <c r="G23" s="883"/>
      <c r="H23" s="875"/>
      <c r="I23" s="875"/>
    </row>
    <row r="24" spans="1:9" s="884" customFormat="1" ht="19.5" customHeight="1">
      <c r="A24" s="3272"/>
      <c r="B24" s="3272" t="s">
        <v>539</v>
      </c>
      <c r="C24" s="880" t="s">
        <v>549</v>
      </c>
      <c r="D24" s="881"/>
      <c r="E24" s="879">
        <v>0.5</v>
      </c>
      <c r="F24" s="882"/>
      <c r="G24" s="883"/>
      <c r="H24" s="875"/>
      <c r="I24" s="875"/>
    </row>
    <row r="25" spans="1:9" s="884" customFormat="1" ht="19.5" customHeight="1">
      <c r="A25" s="3272"/>
      <c r="B25" s="3272"/>
      <c r="C25" s="880" t="s">
        <v>550</v>
      </c>
      <c r="D25" s="881"/>
      <c r="E25" s="879">
        <v>1.1000000000000001</v>
      </c>
      <c r="F25" s="882"/>
      <c r="G25" s="883"/>
      <c r="H25" s="875"/>
      <c r="I25" s="875"/>
    </row>
    <row r="26" spans="1:9" s="884" customFormat="1" ht="19.5" customHeight="1">
      <c r="A26" s="3272"/>
      <c r="B26" s="3272"/>
      <c r="C26" s="880" t="s">
        <v>551</v>
      </c>
      <c r="D26" s="881"/>
      <c r="E26" s="879">
        <v>1.1000000000000001</v>
      </c>
      <c r="F26" s="882"/>
      <c r="G26" s="883"/>
      <c r="H26" s="875"/>
      <c r="I26" s="875"/>
    </row>
    <row r="27" spans="1:9" s="884" customFormat="1" ht="19.5" customHeight="1">
      <c r="A27" s="3272"/>
      <c r="B27" s="3272"/>
      <c r="C27" s="880" t="s">
        <v>552</v>
      </c>
      <c r="D27" s="881"/>
      <c r="E27" s="879">
        <v>0.9</v>
      </c>
      <c r="F27" s="882" t="s">
        <v>553</v>
      </c>
      <c r="G27" s="883"/>
      <c r="H27" s="875"/>
      <c r="I27" s="875"/>
    </row>
    <row r="28" spans="1:9" s="884" customFormat="1" ht="19.5" customHeight="1">
      <c r="A28" s="3272"/>
      <c r="B28" s="3272"/>
      <c r="C28" s="880" t="s">
        <v>554</v>
      </c>
      <c r="D28" s="881"/>
      <c r="E28" s="879">
        <v>0.9</v>
      </c>
      <c r="F28" s="882" t="s">
        <v>555</v>
      </c>
      <c r="G28" s="883"/>
      <c r="H28" s="875"/>
      <c r="I28" s="875"/>
    </row>
    <row r="29" spans="1:9" s="884" customFormat="1" ht="19.5" customHeight="1">
      <c r="A29" s="3272"/>
      <c r="B29" s="3272"/>
      <c r="C29" s="880" t="s">
        <v>556</v>
      </c>
      <c r="D29" s="881"/>
      <c r="E29" s="879">
        <v>0.9</v>
      </c>
      <c r="F29" s="882" t="s">
        <v>557</v>
      </c>
      <c r="G29" s="883"/>
      <c r="H29" s="875"/>
      <c r="I29" s="875"/>
    </row>
    <row r="30" spans="1:9" s="884" customFormat="1" ht="19.5" customHeight="1">
      <c r="A30" s="3272"/>
      <c r="B30" s="3272"/>
      <c r="C30" s="880" t="s">
        <v>558</v>
      </c>
      <c r="D30" s="881"/>
      <c r="E30" s="879">
        <v>0.9</v>
      </c>
      <c r="F30" s="882" t="s">
        <v>559</v>
      </c>
      <c r="G30" s="883"/>
      <c r="H30" s="875"/>
      <c r="I30" s="875"/>
    </row>
    <row r="31" spans="1:9" s="884" customFormat="1" ht="19.5" customHeight="1">
      <c r="A31" s="3272"/>
      <c r="B31" s="3272"/>
      <c r="C31" s="880" t="s">
        <v>560</v>
      </c>
      <c r="D31" s="881"/>
      <c r="E31" s="879">
        <v>0.8</v>
      </c>
      <c r="F31" s="882" t="s">
        <v>561</v>
      </c>
      <c r="G31" s="883"/>
      <c r="H31" s="875"/>
      <c r="I31" s="875"/>
    </row>
    <row r="32" spans="1:9" s="884" customFormat="1" ht="19.5" customHeight="1">
      <c r="A32" s="3272"/>
      <c r="B32" s="3272"/>
      <c r="C32" s="880" t="s">
        <v>562</v>
      </c>
      <c r="D32" s="881"/>
      <c r="E32" s="879">
        <v>0.8</v>
      </c>
      <c r="F32" s="882" t="s">
        <v>563</v>
      </c>
      <c r="G32" s="883"/>
      <c r="H32" s="875"/>
      <c r="I32" s="875"/>
    </row>
    <row r="33" spans="1:9" s="884" customFormat="1" ht="19.5" customHeight="1">
      <c r="A33" s="3272" t="s">
        <v>161</v>
      </c>
      <c r="B33" s="879" t="s">
        <v>536</v>
      </c>
      <c r="C33" s="880" t="s">
        <v>564</v>
      </c>
      <c r="D33" s="881"/>
      <c r="E33" s="879">
        <v>1</v>
      </c>
      <c r="F33" s="882" t="s">
        <v>565</v>
      </c>
      <c r="G33" s="883"/>
      <c r="H33" s="875"/>
      <c r="I33" s="875"/>
    </row>
    <row r="34" spans="1:9" s="884" customFormat="1" ht="19.5" customHeight="1">
      <c r="A34" s="3272"/>
      <c r="B34" s="879" t="s">
        <v>539</v>
      </c>
      <c r="C34" s="880" t="s">
        <v>566</v>
      </c>
      <c r="D34" s="881"/>
      <c r="E34" s="879">
        <v>1.5</v>
      </c>
      <c r="F34" s="882" t="s">
        <v>567</v>
      </c>
      <c r="G34" s="883"/>
      <c r="H34" s="875"/>
      <c r="I34" s="875"/>
    </row>
    <row r="35" spans="1:9" s="884" customFormat="1" ht="19.5" customHeight="1">
      <c r="A35" s="3272" t="s">
        <v>162</v>
      </c>
      <c r="B35" s="879" t="s">
        <v>536</v>
      </c>
      <c r="C35" s="880" t="s">
        <v>568</v>
      </c>
      <c r="D35" s="881"/>
      <c r="E35" s="879">
        <v>1</v>
      </c>
      <c r="F35" s="882" t="s">
        <v>569</v>
      </c>
      <c r="G35" s="883"/>
      <c r="H35" s="875"/>
      <c r="I35" s="875"/>
    </row>
    <row r="36" spans="1:9" s="884" customFormat="1" ht="19.5" customHeight="1">
      <c r="A36" s="3272"/>
      <c r="B36" s="3272" t="s">
        <v>539</v>
      </c>
      <c r="C36" s="880" t="s">
        <v>570</v>
      </c>
      <c r="D36" s="881"/>
      <c r="E36" s="879">
        <v>1</v>
      </c>
      <c r="F36" s="882" t="s">
        <v>571</v>
      </c>
      <c r="G36" s="883"/>
      <c r="H36" s="875"/>
      <c r="I36" s="875"/>
    </row>
    <row r="37" spans="1:9" s="884" customFormat="1" ht="19.5" customHeight="1">
      <c r="A37" s="3272"/>
      <c r="B37" s="3272"/>
      <c r="C37" s="880" t="s">
        <v>572</v>
      </c>
      <c r="D37" s="881"/>
      <c r="E37" s="879">
        <v>1.5</v>
      </c>
      <c r="F37" s="882" t="s">
        <v>573</v>
      </c>
      <c r="G37" s="883"/>
      <c r="H37" s="875"/>
      <c r="I37" s="875"/>
    </row>
    <row r="38" spans="1:9" s="884" customFormat="1" ht="19.5" customHeight="1">
      <c r="A38" s="3272"/>
      <c r="B38" s="3272"/>
      <c r="C38" s="880" t="s">
        <v>574</v>
      </c>
      <c r="D38" s="881"/>
      <c r="E38" s="879">
        <v>1</v>
      </c>
      <c r="F38" s="882" t="s">
        <v>575</v>
      </c>
      <c r="G38" s="883"/>
      <c r="H38" s="875"/>
      <c r="I38" s="875"/>
    </row>
    <row r="39" spans="1:9" s="884" customFormat="1" ht="19.5" customHeight="1">
      <c r="A39" s="3272"/>
      <c r="B39" s="3272"/>
      <c r="C39" s="880" t="s">
        <v>576</v>
      </c>
      <c r="D39" s="881"/>
      <c r="E39" s="879">
        <v>1</v>
      </c>
      <c r="F39" s="882" t="s">
        <v>577</v>
      </c>
      <c r="G39" s="883"/>
      <c r="H39" s="875"/>
      <c r="I39" s="875"/>
    </row>
    <row r="40" spans="1:9" s="884" customFormat="1" ht="19.5" customHeight="1">
      <c r="A40" s="885" t="s">
        <v>578</v>
      </c>
      <c r="B40" s="885"/>
      <c r="C40" s="885"/>
      <c r="D40" s="885"/>
      <c r="E40" s="885"/>
      <c r="F40" s="886"/>
      <c r="G40" s="886"/>
      <c r="H40" s="875"/>
      <c r="I40" s="875"/>
    </row>
    <row r="42" spans="1:9" ht="19.5" customHeight="1">
      <c r="A42" s="887"/>
      <c r="B42" s="815" t="s">
        <v>579</v>
      </c>
      <c r="C42" s="815" t="s">
        <v>579</v>
      </c>
      <c r="D42" s="815" t="s">
        <v>579</v>
      </c>
      <c r="E42" s="820" t="s">
        <v>579</v>
      </c>
      <c r="F42" s="820" t="s">
        <v>579</v>
      </c>
      <c r="G42" s="820" t="s">
        <v>580</v>
      </c>
      <c r="H42" s="820" t="s">
        <v>579</v>
      </c>
    </row>
    <row r="43" spans="1:9" ht="19.5" customHeight="1">
      <c r="A43" s="888"/>
      <c r="B43" s="820" t="s">
        <v>159</v>
      </c>
      <c r="C43" s="820" t="s">
        <v>159</v>
      </c>
      <c r="D43" s="820" t="s">
        <v>159</v>
      </c>
      <c r="E43" s="820" t="s">
        <v>159</v>
      </c>
      <c r="F43" s="815" t="s">
        <v>160</v>
      </c>
      <c r="G43" s="815" t="s">
        <v>162</v>
      </c>
      <c r="H43" s="815" t="s">
        <v>581</v>
      </c>
    </row>
    <row r="44" spans="1:9" ht="19.5" customHeight="1">
      <c r="A44" s="889"/>
      <c r="B44" s="815">
        <v>1</v>
      </c>
      <c r="C44" s="815">
        <v>2</v>
      </c>
      <c r="D44" s="815">
        <v>3</v>
      </c>
      <c r="E44" s="820">
        <v>4</v>
      </c>
      <c r="F44" s="877" t="s">
        <v>582</v>
      </c>
      <c r="G44" s="877" t="s">
        <v>582</v>
      </c>
      <c r="H44" s="877" t="s">
        <v>582</v>
      </c>
    </row>
    <row r="45" spans="1:9" ht="19.5" customHeight="1">
      <c r="A45" s="890" t="s">
        <v>133</v>
      </c>
      <c r="B45" s="815">
        <v>0.8</v>
      </c>
      <c r="C45" s="815">
        <v>0.5</v>
      </c>
      <c r="D45" s="815">
        <v>0.36</v>
      </c>
      <c r="E45" s="815">
        <v>0.3</v>
      </c>
      <c r="F45" s="877">
        <v>0.3</v>
      </c>
      <c r="G45" s="815">
        <v>0.3</v>
      </c>
      <c r="H45" s="815">
        <v>0.25</v>
      </c>
    </row>
    <row r="46" spans="1:9" ht="19.5" customHeight="1">
      <c r="A46" s="890" t="s">
        <v>134</v>
      </c>
      <c r="B46" s="815">
        <v>0.8</v>
      </c>
      <c r="C46" s="815">
        <v>0.5</v>
      </c>
      <c r="D46" s="815">
        <v>0.36</v>
      </c>
      <c r="E46" s="815">
        <v>0.3</v>
      </c>
      <c r="F46" s="815">
        <v>0.3</v>
      </c>
      <c r="G46" s="815">
        <v>0.3</v>
      </c>
      <c r="H46" s="815">
        <v>0.25</v>
      </c>
    </row>
    <row r="47" spans="1:9" ht="19.5" customHeight="1">
      <c r="A47" s="890" t="s">
        <v>135</v>
      </c>
      <c r="B47" s="815">
        <v>0.7</v>
      </c>
      <c r="C47" s="815">
        <v>0.4</v>
      </c>
      <c r="D47" s="815">
        <v>0.28000000000000003</v>
      </c>
      <c r="E47" s="815">
        <v>0.25</v>
      </c>
      <c r="F47" s="815">
        <v>0.25</v>
      </c>
      <c r="G47" s="815">
        <v>0.25</v>
      </c>
      <c r="H47" s="815">
        <v>0.2</v>
      </c>
    </row>
    <row r="48" spans="1:9" ht="19.5" customHeight="1">
      <c r="A48" s="890" t="s">
        <v>136</v>
      </c>
      <c r="B48" s="815">
        <v>0.7</v>
      </c>
      <c r="C48" s="815">
        <v>0.4</v>
      </c>
      <c r="D48" s="815">
        <v>0.28000000000000003</v>
      </c>
      <c r="E48" s="815">
        <v>0.25</v>
      </c>
      <c r="F48" s="815">
        <v>0.25</v>
      </c>
      <c r="G48" s="815">
        <v>0.25</v>
      </c>
      <c r="H48" s="815">
        <v>0.2</v>
      </c>
    </row>
    <row r="49" spans="1:8" s="875" customFormat="1" ht="19.5" customHeight="1">
      <c r="A49" s="890" t="s">
        <v>137</v>
      </c>
      <c r="B49" s="815">
        <v>0.7</v>
      </c>
      <c r="C49" s="815">
        <v>0.4</v>
      </c>
      <c r="D49" s="815">
        <v>0.28000000000000003</v>
      </c>
      <c r="E49" s="815">
        <v>0.25</v>
      </c>
      <c r="F49" s="815">
        <v>0.25</v>
      </c>
      <c r="G49" s="815">
        <v>0.25</v>
      </c>
      <c r="H49" s="815">
        <v>0.2</v>
      </c>
    </row>
    <row r="50" spans="1:8" s="875" customFormat="1" ht="19.5" customHeight="1">
      <c r="A50" s="890" t="s">
        <v>138</v>
      </c>
      <c r="B50" s="815">
        <v>0.7</v>
      </c>
      <c r="C50" s="815">
        <v>0.4</v>
      </c>
      <c r="D50" s="815">
        <v>0.28000000000000003</v>
      </c>
      <c r="E50" s="815">
        <v>0.25</v>
      </c>
      <c r="F50" s="815">
        <v>0.25</v>
      </c>
      <c r="G50" s="815">
        <v>0.25</v>
      </c>
      <c r="H50" s="815">
        <v>0.2</v>
      </c>
    </row>
    <row r="51" spans="1:8" s="875" customFormat="1" ht="19.5" customHeight="1">
      <c r="A51" s="890" t="s">
        <v>139</v>
      </c>
      <c r="B51" s="815">
        <v>0.7</v>
      </c>
      <c r="C51" s="815">
        <v>0.4</v>
      </c>
      <c r="D51" s="815">
        <v>0.28000000000000003</v>
      </c>
      <c r="E51" s="815">
        <v>0.25</v>
      </c>
      <c r="F51" s="815">
        <v>0.25</v>
      </c>
      <c r="G51" s="815">
        <v>0.25</v>
      </c>
      <c r="H51" s="815">
        <v>0.2</v>
      </c>
    </row>
    <row r="52" spans="1:8" s="875" customFormat="1" ht="19.5" customHeight="1">
      <c r="A52" s="890" t="s">
        <v>140</v>
      </c>
      <c r="B52" s="815">
        <v>0.6</v>
      </c>
      <c r="C52" s="815">
        <v>0.3</v>
      </c>
      <c r="D52" s="815">
        <v>0.2</v>
      </c>
      <c r="E52" s="815">
        <v>0.2</v>
      </c>
      <c r="F52" s="815">
        <v>0.2</v>
      </c>
      <c r="G52" s="815">
        <v>0.2</v>
      </c>
      <c r="H52" s="815">
        <v>0.15</v>
      </c>
    </row>
    <row r="53" spans="1:8" s="875" customFormat="1" ht="19.5" customHeight="1">
      <c r="A53" s="890" t="s">
        <v>141</v>
      </c>
      <c r="B53" s="815">
        <v>0.6</v>
      </c>
      <c r="C53" s="815">
        <v>0.3</v>
      </c>
      <c r="D53" s="815">
        <v>0.2</v>
      </c>
      <c r="E53" s="815">
        <v>0.2</v>
      </c>
      <c r="F53" s="815">
        <v>0.2</v>
      </c>
      <c r="G53" s="815">
        <v>0.2</v>
      </c>
      <c r="H53" s="815">
        <v>0.15</v>
      </c>
    </row>
    <row r="54" spans="1:8" s="875" customFormat="1" ht="19.5" customHeight="1">
      <c r="A54" s="890" t="s">
        <v>142</v>
      </c>
      <c r="B54" s="815">
        <v>0.6</v>
      </c>
      <c r="C54" s="815">
        <v>0.3</v>
      </c>
      <c r="D54" s="815">
        <v>0.2</v>
      </c>
      <c r="E54" s="815">
        <v>0.2</v>
      </c>
      <c r="F54" s="815">
        <v>0.2</v>
      </c>
      <c r="G54" s="815">
        <v>0.2</v>
      </c>
      <c r="H54" s="815">
        <v>0.15</v>
      </c>
    </row>
    <row r="55" spans="1:8" s="875" customFormat="1" ht="19.5" customHeight="1">
      <c r="A55" s="890" t="s">
        <v>143</v>
      </c>
      <c r="B55" s="815">
        <v>0.6</v>
      </c>
      <c r="C55" s="815">
        <v>0.3</v>
      </c>
      <c r="D55" s="815">
        <v>0.2</v>
      </c>
      <c r="E55" s="815">
        <v>0.2</v>
      </c>
      <c r="F55" s="815">
        <v>0.2</v>
      </c>
      <c r="G55" s="815">
        <v>0.2</v>
      </c>
      <c r="H55" s="815">
        <v>0.15</v>
      </c>
    </row>
    <row r="56" spans="1:8" s="875" customFormat="1" ht="19.5" customHeight="1">
      <c r="A56" s="890" t="s">
        <v>144</v>
      </c>
      <c r="B56" s="815">
        <v>0.6</v>
      </c>
      <c r="C56" s="815">
        <v>0.3</v>
      </c>
      <c r="D56" s="815">
        <v>0.2</v>
      </c>
      <c r="E56" s="815">
        <v>0.2</v>
      </c>
      <c r="F56" s="815">
        <v>0.2</v>
      </c>
      <c r="G56" s="815">
        <v>0.2</v>
      </c>
      <c r="H56" s="815">
        <v>0.15</v>
      </c>
    </row>
    <row r="58" spans="1:8" s="875" customFormat="1" ht="19.5" customHeight="1">
      <c r="A58" s="891"/>
      <c r="B58" s="873"/>
      <c r="C58" s="873"/>
      <c r="D58" s="873" t="s">
        <v>583</v>
      </c>
      <c r="E58" s="873"/>
      <c r="F58" s="873"/>
    </row>
    <row r="59" spans="1:8" s="875" customFormat="1" ht="19.5" customHeight="1">
      <c r="A59" s="879" t="s">
        <v>584</v>
      </c>
      <c r="B59" s="879" t="s">
        <v>585</v>
      </c>
      <c r="C59" s="879" t="s">
        <v>586</v>
      </c>
      <c r="D59" s="879" t="s">
        <v>587</v>
      </c>
      <c r="E59" s="879" t="s">
        <v>588</v>
      </c>
      <c r="F59" s="879" t="s">
        <v>589</v>
      </c>
    </row>
    <row r="60" spans="1:8" ht="13.5">
      <c r="A60" s="937"/>
      <c r="B60" s="937"/>
      <c r="C60" s="937" t="s">
        <v>721</v>
      </c>
      <c r="D60" s="937"/>
      <c r="E60" s="892" t="s">
        <v>0</v>
      </c>
      <c r="F60" s="937" t="s">
        <v>0</v>
      </c>
    </row>
    <row r="61" spans="1:8" s="875" customFormat="1" ht="24">
      <c r="A61" s="879">
        <v>1</v>
      </c>
      <c r="B61" s="3272" t="s">
        <v>590</v>
      </c>
      <c r="C61" s="815" t="s">
        <v>591</v>
      </c>
      <c r="D61" s="815" t="s">
        <v>592</v>
      </c>
      <c r="E61" s="892">
        <v>0.5</v>
      </c>
      <c r="F61" s="879">
        <v>80</v>
      </c>
    </row>
    <row r="62" spans="1:8" s="875" customFormat="1" ht="24">
      <c r="A62" s="879">
        <v>2</v>
      </c>
      <c r="B62" s="3272"/>
      <c r="C62" s="815" t="s">
        <v>593</v>
      </c>
      <c r="D62" s="815" t="s">
        <v>594</v>
      </c>
      <c r="E62" s="892">
        <v>0.5</v>
      </c>
      <c r="F62" s="879">
        <v>80</v>
      </c>
    </row>
    <row r="63" spans="1:8" s="875" customFormat="1" ht="36">
      <c r="A63" s="879">
        <v>3</v>
      </c>
      <c r="B63" s="3272"/>
      <c r="C63" s="815" t="s">
        <v>595</v>
      </c>
      <c r="D63" s="815" t="s">
        <v>596</v>
      </c>
      <c r="E63" s="892">
        <v>0.5</v>
      </c>
      <c r="F63" s="879">
        <v>80</v>
      </c>
    </row>
    <row r="64" spans="1:8" s="875" customFormat="1" ht="36">
      <c r="A64" s="879">
        <v>4</v>
      </c>
      <c r="B64" s="3272"/>
      <c r="C64" s="815" t="s">
        <v>597</v>
      </c>
      <c r="D64" s="815" t="s">
        <v>598</v>
      </c>
      <c r="E64" s="892">
        <v>0.4</v>
      </c>
      <c r="F64" s="879">
        <v>60</v>
      </c>
    </row>
    <row r="65" spans="1:6" s="875" customFormat="1" ht="36">
      <c r="A65" s="879">
        <v>5</v>
      </c>
      <c r="B65" s="3272"/>
      <c r="C65" s="815" t="s">
        <v>599</v>
      </c>
      <c r="D65" s="815" t="s">
        <v>600</v>
      </c>
      <c r="E65" s="892">
        <v>0.2</v>
      </c>
      <c r="F65" s="879">
        <v>30</v>
      </c>
    </row>
    <row r="66" spans="1:6" s="875" customFormat="1" ht="36">
      <c r="A66" s="879">
        <v>6</v>
      </c>
      <c r="B66" s="3272"/>
      <c r="C66" s="815" t="s">
        <v>601</v>
      </c>
      <c r="D66" s="815" t="s">
        <v>602</v>
      </c>
      <c r="E66" s="892">
        <v>0.3</v>
      </c>
      <c r="F66" s="879">
        <v>50</v>
      </c>
    </row>
    <row r="67" spans="1:6" s="875" customFormat="1" ht="36">
      <c r="A67" s="879">
        <v>7</v>
      </c>
      <c r="B67" s="3272"/>
      <c r="C67" s="815" t="s">
        <v>603</v>
      </c>
      <c r="D67" s="815" t="s">
        <v>604</v>
      </c>
      <c r="E67" s="892">
        <v>0.2</v>
      </c>
      <c r="F67" s="879">
        <v>30</v>
      </c>
    </row>
    <row r="68" spans="1:6" s="875" customFormat="1" ht="36">
      <c r="A68" s="879">
        <v>8</v>
      </c>
      <c r="B68" s="3272"/>
      <c r="C68" s="815" t="s">
        <v>605</v>
      </c>
      <c r="D68" s="815" t="s">
        <v>606</v>
      </c>
      <c r="E68" s="892">
        <v>0.2</v>
      </c>
      <c r="F68" s="879">
        <v>30</v>
      </c>
    </row>
    <row r="69" spans="1:6" s="875" customFormat="1" ht="36">
      <c r="A69" s="879">
        <v>9</v>
      </c>
      <c r="B69" s="3272"/>
      <c r="C69" s="815" t="s">
        <v>607</v>
      </c>
      <c r="D69" s="815" t="s">
        <v>608</v>
      </c>
      <c r="E69" s="892">
        <v>0.2</v>
      </c>
      <c r="F69" s="879">
        <v>30</v>
      </c>
    </row>
    <row r="70" spans="1:6" s="875" customFormat="1" ht="48">
      <c r="A70" s="879">
        <v>10</v>
      </c>
      <c r="B70" s="3272"/>
      <c r="C70" s="815" t="s">
        <v>609</v>
      </c>
      <c r="D70" s="815" t="s">
        <v>610</v>
      </c>
      <c r="E70" s="892">
        <v>0.2</v>
      </c>
      <c r="F70" s="879">
        <v>30</v>
      </c>
    </row>
    <row r="71" spans="1:6" s="875" customFormat="1" ht="48">
      <c r="A71" s="879">
        <v>11</v>
      </c>
      <c r="B71" s="3272"/>
      <c r="C71" s="815" t="s">
        <v>611</v>
      </c>
      <c r="D71" s="815" t="s">
        <v>612</v>
      </c>
      <c r="E71" s="892">
        <v>0.2</v>
      </c>
      <c r="F71" s="879">
        <v>30</v>
      </c>
    </row>
    <row r="72" spans="1:6" s="875" customFormat="1" ht="36">
      <c r="A72" s="879">
        <v>12</v>
      </c>
      <c r="B72" s="3272"/>
      <c r="C72" s="815" t="s">
        <v>613</v>
      </c>
      <c r="D72" s="815" t="s">
        <v>614</v>
      </c>
      <c r="E72" s="892">
        <v>0.5</v>
      </c>
      <c r="F72" s="879">
        <v>80</v>
      </c>
    </row>
    <row r="73" spans="1:6" s="875" customFormat="1" ht="24">
      <c r="A73" s="879">
        <v>13</v>
      </c>
      <c r="B73" s="3272"/>
      <c r="C73" s="815" t="s">
        <v>615</v>
      </c>
      <c r="D73" s="815" t="s">
        <v>616</v>
      </c>
      <c r="E73" s="892">
        <v>0.4</v>
      </c>
      <c r="F73" s="879">
        <v>60</v>
      </c>
    </row>
    <row r="74" spans="1:6" s="875" customFormat="1" ht="24">
      <c r="A74" s="879">
        <v>14</v>
      </c>
      <c r="B74" s="3272"/>
      <c r="C74" s="815" t="s">
        <v>617</v>
      </c>
      <c r="D74" s="815" t="s">
        <v>618</v>
      </c>
      <c r="E74" s="892">
        <v>0.2</v>
      </c>
      <c r="F74" s="879">
        <v>30</v>
      </c>
    </row>
    <row r="75" spans="1:6" s="875" customFormat="1" ht="24">
      <c r="A75" s="879">
        <v>15</v>
      </c>
      <c r="B75" s="3272"/>
      <c r="C75" s="815" t="s">
        <v>619</v>
      </c>
      <c r="D75" s="815" t="s">
        <v>620</v>
      </c>
      <c r="E75" s="892">
        <v>0.2</v>
      </c>
      <c r="F75" s="879">
        <v>30</v>
      </c>
    </row>
    <row r="76" spans="1:6" s="875" customFormat="1" ht="24">
      <c r="A76" s="879">
        <v>16</v>
      </c>
      <c r="B76" s="3272" t="s">
        <v>621</v>
      </c>
      <c r="C76" s="815" t="s">
        <v>622</v>
      </c>
      <c r="D76" s="815" t="s">
        <v>623</v>
      </c>
      <c r="E76" s="892">
        <v>0.5</v>
      </c>
      <c r="F76" s="879">
        <v>80</v>
      </c>
    </row>
    <row r="77" spans="1:6" s="875" customFormat="1" ht="24">
      <c r="A77" s="879">
        <v>17</v>
      </c>
      <c r="B77" s="3272"/>
      <c r="C77" s="815" t="s">
        <v>624</v>
      </c>
      <c r="D77" s="815" t="s">
        <v>625</v>
      </c>
      <c r="E77" s="892">
        <v>0.5</v>
      </c>
      <c r="F77" s="879">
        <v>80</v>
      </c>
    </row>
    <row r="78" spans="1:6" s="875" customFormat="1" ht="24">
      <c r="A78" s="879">
        <v>18</v>
      </c>
      <c r="B78" s="3272"/>
      <c r="C78" s="815" t="s">
        <v>626</v>
      </c>
      <c r="D78" s="815" t="s">
        <v>627</v>
      </c>
      <c r="E78" s="892">
        <v>0.2</v>
      </c>
      <c r="F78" s="879">
        <v>30</v>
      </c>
    </row>
    <row r="79" spans="1:6" s="875" customFormat="1" ht="24">
      <c r="A79" s="879">
        <v>19</v>
      </c>
      <c r="B79" s="3272"/>
      <c r="C79" s="815" t="s">
        <v>628</v>
      </c>
      <c r="D79" s="815" t="s">
        <v>629</v>
      </c>
      <c r="E79" s="892">
        <v>0.5</v>
      </c>
      <c r="F79" s="879">
        <v>80</v>
      </c>
    </row>
    <row r="80" spans="1:6" s="875" customFormat="1" ht="36">
      <c r="A80" s="879">
        <v>20</v>
      </c>
      <c r="B80" s="3272"/>
      <c r="C80" s="815" t="s">
        <v>630</v>
      </c>
      <c r="D80" s="815" t="s">
        <v>631</v>
      </c>
      <c r="E80" s="892">
        <v>0.2</v>
      </c>
      <c r="F80" s="879">
        <v>30</v>
      </c>
    </row>
    <row r="81" spans="1:6" s="875" customFormat="1" ht="36">
      <c r="A81" s="879">
        <v>21</v>
      </c>
      <c r="B81" s="3272"/>
      <c r="C81" s="815" t="s">
        <v>632</v>
      </c>
      <c r="D81" s="815" t="s">
        <v>633</v>
      </c>
      <c r="E81" s="892">
        <v>0.2</v>
      </c>
      <c r="F81" s="879">
        <v>30</v>
      </c>
    </row>
    <row r="82" spans="1:6" s="875" customFormat="1" ht="48">
      <c r="A82" s="879">
        <v>22</v>
      </c>
      <c r="B82" s="3272"/>
      <c r="C82" s="815" t="s">
        <v>634</v>
      </c>
      <c r="D82" s="815" t="s">
        <v>635</v>
      </c>
      <c r="E82" s="892">
        <v>0.2</v>
      </c>
      <c r="F82" s="879">
        <v>30</v>
      </c>
    </row>
    <row r="83" spans="1:6" s="875" customFormat="1" ht="48">
      <c r="A83" s="879">
        <v>23</v>
      </c>
      <c r="B83" s="3272"/>
      <c r="C83" s="815" t="s">
        <v>636</v>
      </c>
      <c r="D83" s="815" t="s">
        <v>637</v>
      </c>
      <c r="E83" s="892">
        <v>0.2</v>
      </c>
      <c r="F83" s="879">
        <v>30</v>
      </c>
    </row>
    <row r="84" spans="1:6" s="875" customFormat="1" ht="36">
      <c r="A84" s="879">
        <v>24</v>
      </c>
      <c r="B84" s="3272"/>
      <c r="C84" s="815" t="s">
        <v>638</v>
      </c>
      <c r="D84" s="815" t="s">
        <v>639</v>
      </c>
      <c r="E84" s="892">
        <v>0.2</v>
      </c>
      <c r="F84" s="879">
        <v>30</v>
      </c>
    </row>
    <row r="85" spans="1:6" s="875" customFormat="1" ht="36">
      <c r="A85" s="879">
        <v>25</v>
      </c>
      <c r="B85" s="3272"/>
      <c r="C85" s="815" t="s">
        <v>640</v>
      </c>
      <c r="D85" s="815" t="s">
        <v>641</v>
      </c>
      <c r="E85" s="892">
        <v>0.5</v>
      </c>
      <c r="F85" s="879">
        <v>80</v>
      </c>
    </row>
    <row r="86" spans="1:6" s="875" customFormat="1" ht="36">
      <c r="A86" s="879">
        <v>26</v>
      </c>
      <c r="B86" s="3272"/>
      <c r="C86" s="815" t="s">
        <v>642</v>
      </c>
      <c r="D86" s="815" t="s">
        <v>643</v>
      </c>
      <c r="E86" s="892">
        <v>0.2</v>
      </c>
      <c r="F86" s="879">
        <v>30</v>
      </c>
    </row>
    <row r="87" spans="1:6" s="875" customFormat="1" ht="36">
      <c r="A87" s="879">
        <v>27</v>
      </c>
      <c r="B87" s="3272"/>
      <c r="C87" s="815" t="s">
        <v>644</v>
      </c>
      <c r="D87" s="815" t="s">
        <v>645</v>
      </c>
      <c r="E87" s="892">
        <v>0.2</v>
      </c>
      <c r="F87" s="879">
        <v>30</v>
      </c>
    </row>
    <row r="88" spans="1:6" s="875" customFormat="1" ht="36">
      <c r="A88" s="879">
        <v>28</v>
      </c>
      <c r="B88" s="3272"/>
      <c r="C88" s="815" t="s">
        <v>646</v>
      </c>
      <c r="D88" s="815" t="s">
        <v>647</v>
      </c>
      <c r="E88" s="892">
        <v>0.2</v>
      </c>
      <c r="F88" s="879">
        <v>30</v>
      </c>
    </row>
    <row r="89" spans="1:6" s="875" customFormat="1" ht="24">
      <c r="A89" s="879">
        <v>29</v>
      </c>
      <c r="B89" s="3272"/>
      <c r="C89" s="815" t="s">
        <v>648</v>
      </c>
      <c r="D89" s="815" t="s">
        <v>649</v>
      </c>
      <c r="E89" s="892">
        <v>0.2</v>
      </c>
      <c r="F89" s="879">
        <v>30</v>
      </c>
    </row>
    <row r="90" spans="1:6" s="875" customFormat="1" ht="24">
      <c r="A90" s="879">
        <v>30</v>
      </c>
      <c r="B90" s="3272"/>
      <c r="C90" s="815" t="s">
        <v>650</v>
      </c>
      <c r="D90" s="815" t="s">
        <v>651</v>
      </c>
      <c r="E90" s="892">
        <v>0.2</v>
      </c>
      <c r="F90" s="879">
        <v>30</v>
      </c>
    </row>
    <row r="91" spans="1:6" s="875" customFormat="1" ht="36">
      <c r="A91" s="879">
        <v>31</v>
      </c>
      <c r="B91" s="3272"/>
      <c r="C91" s="815" t="s">
        <v>652</v>
      </c>
      <c r="D91" s="815" t="s">
        <v>653</v>
      </c>
      <c r="E91" s="892">
        <v>0.2</v>
      </c>
      <c r="F91" s="879">
        <v>30</v>
      </c>
    </row>
    <row r="92" spans="1:6" s="875" customFormat="1" ht="24">
      <c r="A92" s="879">
        <v>32</v>
      </c>
      <c r="B92" s="3272" t="s">
        <v>654</v>
      </c>
      <c r="C92" s="879" t="s">
        <v>655</v>
      </c>
      <c r="D92" s="815" t="s">
        <v>656</v>
      </c>
      <c r="E92" s="892">
        <v>0.2</v>
      </c>
      <c r="F92" s="879">
        <v>30</v>
      </c>
    </row>
    <row r="93" spans="1:6" s="875" customFormat="1" ht="36">
      <c r="A93" s="879">
        <v>33</v>
      </c>
      <c r="B93" s="3272"/>
      <c r="C93" s="879" t="s">
        <v>657</v>
      </c>
      <c r="D93" s="815" t="s">
        <v>658</v>
      </c>
      <c r="E93" s="892">
        <v>0.2</v>
      </c>
      <c r="F93" s="879">
        <v>30</v>
      </c>
    </row>
    <row r="94" spans="1:6" s="875" customFormat="1" ht="48">
      <c r="A94" s="879">
        <v>34</v>
      </c>
      <c r="B94" s="3272"/>
      <c r="C94" s="879" t="s">
        <v>659</v>
      </c>
      <c r="D94" s="815" t="s">
        <v>660</v>
      </c>
      <c r="E94" s="892">
        <v>0.2</v>
      </c>
      <c r="F94" s="879">
        <v>30</v>
      </c>
    </row>
    <row r="95" spans="1:6" s="875" customFormat="1" ht="36">
      <c r="A95" s="879">
        <v>35</v>
      </c>
      <c r="B95" s="3272"/>
      <c r="C95" s="879" t="s">
        <v>661</v>
      </c>
      <c r="D95" s="815" t="s">
        <v>662</v>
      </c>
      <c r="E95" s="892">
        <v>0.2</v>
      </c>
      <c r="F95" s="879">
        <v>30</v>
      </c>
    </row>
    <row r="96" spans="1:6" s="875" customFormat="1" ht="48">
      <c r="A96" s="879">
        <v>36</v>
      </c>
      <c r="B96" s="3272"/>
      <c r="C96" s="815" t="s">
        <v>663</v>
      </c>
      <c r="D96" s="815" t="s">
        <v>664</v>
      </c>
      <c r="E96" s="892">
        <v>0.2</v>
      </c>
      <c r="F96" s="879">
        <v>30</v>
      </c>
    </row>
    <row r="97" spans="1:6" s="875" customFormat="1" ht="36">
      <c r="A97" s="879">
        <v>37</v>
      </c>
      <c r="B97" s="3272"/>
      <c r="C97" s="879" t="s">
        <v>665</v>
      </c>
      <c r="D97" s="815" t="s">
        <v>666</v>
      </c>
      <c r="E97" s="892">
        <v>0.2</v>
      </c>
      <c r="F97" s="879">
        <v>30</v>
      </c>
    </row>
    <row r="98" spans="1:6" s="875" customFormat="1" ht="36">
      <c r="A98" s="879">
        <v>38</v>
      </c>
      <c r="B98" s="3272"/>
      <c r="C98" s="879" t="s">
        <v>667</v>
      </c>
      <c r="D98" s="815" t="s">
        <v>668</v>
      </c>
      <c r="E98" s="892">
        <v>0.2</v>
      </c>
      <c r="F98" s="879">
        <v>30</v>
      </c>
    </row>
    <row r="99" spans="1:6" s="875" customFormat="1" ht="36">
      <c r="A99" s="879">
        <v>39</v>
      </c>
      <c r="B99" s="3272" t="s">
        <v>669</v>
      </c>
      <c r="C99" s="879" t="s">
        <v>670</v>
      </c>
      <c r="D99" s="815" t="s">
        <v>671</v>
      </c>
      <c r="E99" s="892">
        <v>0.3</v>
      </c>
      <c r="F99" s="879">
        <v>50</v>
      </c>
    </row>
    <row r="100" spans="1:6" s="875" customFormat="1" ht="24">
      <c r="A100" s="879">
        <v>40</v>
      </c>
      <c r="B100" s="3272"/>
      <c r="C100" s="879" t="s">
        <v>672</v>
      </c>
      <c r="D100" s="815" t="s">
        <v>673</v>
      </c>
      <c r="E100" s="892">
        <v>0.2</v>
      </c>
      <c r="F100" s="879">
        <v>30</v>
      </c>
    </row>
    <row r="101" spans="1:6" s="875" customFormat="1" ht="36">
      <c r="A101" s="879">
        <v>41</v>
      </c>
      <c r="B101" s="3272"/>
      <c r="C101" s="879" t="s">
        <v>674</v>
      </c>
      <c r="D101" s="815" t="s">
        <v>671</v>
      </c>
      <c r="E101" s="892">
        <v>0.2</v>
      </c>
      <c r="F101" s="879">
        <v>30</v>
      </c>
    </row>
    <row r="102" spans="1:6" s="875" customFormat="1" ht="48">
      <c r="A102" s="879">
        <v>42</v>
      </c>
      <c r="B102" s="879" t="s">
        <v>675</v>
      </c>
      <c r="C102" s="815" t="s">
        <v>676</v>
      </c>
      <c r="D102" s="815" t="s">
        <v>677</v>
      </c>
      <c r="E102" s="892">
        <v>0.2</v>
      </c>
      <c r="F102" s="879">
        <v>30</v>
      </c>
    </row>
    <row r="103" spans="1:6" s="875" customFormat="1" ht="24">
      <c r="A103" s="879">
        <v>43</v>
      </c>
      <c r="B103" s="879" t="s">
        <v>678</v>
      </c>
      <c r="C103" s="879" t="s">
        <v>679</v>
      </c>
      <c r="D103" s="815" t="s">
        <v>680</v>
      </c>
      <c r="E103" s="892">
        <v>0.2</v>
      </c>
      <c r="F103" s="879">
        <v>30</v>
      </c>
    </row>
    <row r="104" spans="1:6" s="875" customFormat="1" ht="36">
      <c r="A104" s="879">
        <v>44</v>
      </c>
      <c r="B104" s="879" t="s">
        <v>681</v>
      </c>
      <c r="C104" s="879" t="s">
        <v>682</v>
      </c>
      <c r="D104" s="815" t="s">
        <v>683</v>
      </c>
      <c r="E104" s="892">
        <v>0.2</v>
      </c>
      <c r="F104" s="879">
        <v>30</v>
      </c>
    </row>
    <row r="105" spans="1:6" s="875" customFormat="1" ht="36">
      <c r="A105" s="879">
        <v>45</v>
      </c>
      <c r="B105" s="3272" t="s">
        <v>684</v>
      </c>
      <c r="C105" s="879" t="s">
        <v>685</v>
      </c>
      <c r="D105" s="815" t="s">
        <v>686</v>
      </c>
      <c r="E105" s="892">
        <v>0.2</v>
      </c>
      <c r="F105" s="879">
        <v>30</v>
      </c>
    </row>
    <row r="106" spans="1:6" s="875" customFormat="1" ht="36">
      <c r="A106" s="879">
        <v>46</v>
      </c>
      <c r="B106" s="3272"/>
      <c r="C106" s="879" t="s">
        <v>687</v>
      </c>
      <c r="D106" s="815" t="s">
        <v>688</v>
      </c>
      <c r="E106" s="892">
        <v>0.2</v>
      </c>
      <c r="F106" s="879">
        <v>30</v>
      </c>
    </row>
    <row r="107" spans="1:6" s="875" customFormat="1" ht="36">
      <c r="A107" s="879">
        <v>47</v>
      </c>
      <c r="B107" s="3272" t="s">
        <v>689</v>
      </c>
      <c r="C107" s="879" t="s">
        <v>690</v>
      </c>
      <c r="D107" s="815" t="s">
        <v>691</v>
      </c>
      <c r="E107" s="892">
        <v>0.3</v>
      </c>
      <c r="F107" s="879">
        <v>50</v>
      </c>
    </row>
    <row r="108" spans="1:6" s="875" customFormat="1" ht="36">
      <c r="A108" s="879">
        <v>48</v>
      </c>
      <c r="B108" s="3272"/>
      <c r="C108" s="879" t="s">
        <v>692</v>
      </c>
      <c r="D108" s="815" t="s">
        <v>693</v>
      </c>
      <c r="E108" s="892">
        <v>0.2</v>
      </c>
      <c r="F108" s="879">
        <v>30</v>
      </c>
    </row>
    <row r="109" spans="1:6" s="875" customFormat="1" ht="36">
      <c r="A109" s="879">
        <v>49</v>
      </c>
      <c r="B109" s="879" t="s">
        <v>694</v>
      </c>
      <c r="C109" s="879" t="s">
        <v>695</v>
      </c>
      <c r="D109" s="815" t="s">
        <v>696</v>
      </c>
      <c r="E109" s="892">
        <v>0.2</v>
      </c>
      <c r="F109" s="879">
        <v>30</v>
      </c>
    </row>
    <row r="110" spans="1:6" s="875" customFormat="1" ht="36">
      <c r="A110" s="879">
        <v>50</v>
      </c>
      <c r="B110" s="879" t="s">
        <v>697</v>
      </c>
      <c r="C110" s="879" t="s">
        <v>698</v>
      </c>
      <c r="D110" s="815" t="s">
        <v>699</v>
      </c>
      <c r="E110" s="892">
        <v>0.2</v>
      </c>
      <c r="F110" s="879">
        <v>30</v>
      </c>
    </row>
    <row r="111" spans="1:6" s="875" customFormat="1" ht="36">
      <c r="A111" s="879">
        <v>51</v>
      </c>
      <c r="B111" s="3272" t="s">
        <v>700</v>
      </c>
      <c r="C111" s="879" t="s">
        <v>701</v>
      </c>
      <c r="D111" s="815" t="s">
        <v>702</v>
      </c>
      <c r="E111" s="892">
        <v>0.2</v>
      </c>
      <c r="F111" s="879">
        <v>30</v>
      </c>
    </row>
    <row r="112" spans="1:6" s="875" customFormat="1" ht="24">
      <c r="A112" s="879">
        <v>52</v>
      </c>
      <c r="B112" s="3272"/>
      <c r="C112" s="879" t="s">
        <v>703</v>
      </c>
      <c r="D112" s="815" t="s">
        <v>704</v>
      </c>
      <c r="E112" s="892">
        <v>0.2</v>
      </c>
      <c r="F112" s="879">
        <v>30</v>
      </c>
    </row>
    <row r="113" spans="1:6" s="875" customFormat="1" ht="24">
      <c r="A113" s="879">
        <v>53</v>
      </c>
      <c r="B113" s="3272"/>
      <c r="C113" s="879" t="s">
        <v>705</v>
      </c>
      <c r="D113" s="815" t="s">
        <v>706</v>
      </c>
      <c r="E113" s="892">
        <v>0.2</v>
      </c>
      <c r="F113" s="879">
        <v>30</v>
      </c>
    </row>
    <row r="114" spans="1:6" ht="36">
      <c r="A114" s="879">
        <v>54</v>
      </c>
      <c r="B114" s="879" t="s">
        <v>707</v>
      </c>
      <c r="C114" s="879" t="s">
        <v>708</v>
      </c>
      <c r="D114" s="815" t="s">
        <v>709</v>
      </c>
      <c r="E114" s="892">
        <v>0.2</v>
      </c>
      <c r="F114" s="879">
        <v>30</v>
      </c>
    </row>
    <row r="115" spans="1:6" ht="24">
      <c r="A115" s="879">
        <v>55</v>
      </c>
      <c r="B115" s="879" t="s">
        <v>710</v>
      </c>
      <c r="C115" s="879" t="s">
        <v>711</v>
      </c>
      <c r="D115" s="815" t="s">
        <v>712</v>
      </c>
      <c r="E115" s="892">
        <v>0.2</v>
      </c>
      <c r="F115" s="879">
        <v>30</v>
      </c>
    </row>
    <row r="116" spans="1:6" ht="24">
      <c r="A116" s="879">
        <v>56</v>
      </c>
      <c r="B116" s="3272" t="s">
        <v>713</v>
      </c>
      <c r="C116" s="879" t="s">
        <v>714</v>
      </c>
      <c r="D116" s="815" t="s">
        <v>715</v>
      </c>
      <c r="E116" s="892">
        <v>0.2</v>
      </c>
      <c r="F116" s="879">
        <v>30</v>
      </c>
    </row>
    <row r="117" spans="1:6" ht="36">
      <c r="A117" s="879">
        <v>57</v>
      </c>
      <c r="B117" s="3272"/>
      <c r="C117" s="879" t="s">
        <v>716</v>
      </c>
      <c r="D117" s="815" t="s">
        <v>717</v>
      </c>
      <c r="E117" s="892">
        <v>0.2</v>
      </c>
      <c r="F117" s="879">
        <v>30</v>
      </c>
    </row>
    <row r="118" spans="1:6" ht="36">
      <c r="A118" s="879">
        <v>58</v>
      </c>
      <c r="B118" s="879" t="s">
        <v>718</v>
      </c>
      <c r="C118" s="879" t="s">
        <v>719</v>
      </c>
      <c r="D118" s="815" t="s">
        <v>720</v>
      </c>
      <c r="E118" s="892">
        <v>0.2</v>
      </c>
      <c r="F118" s="879">
        <v>30</v>
      </c>
    </row>
    <row r="119" spans="1:6" ht="13.5">
      <c r="A119" s="879"/>
      <c r="B119" s="879"/>
      <c r="C119" s="879" t="s">
        <v>721</v>
      </c>
      <c r="D119" s="879"/>
      <c r="E119" s="892" t="s">
        <v>531</v>
      </c>
      <c r="F119" s="879" t="s">
        <v>531</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723</v>
      </c>
      <c r="B1" s="894"/>
      <c r="C1" s="894"/>
      <c r="D1" s="894"/>
      <c r="E1" s="894"/>
      <c r="F1" s="894"/>
      <c r="G1" s="894"/>
      <c r="H1" s="894"/>
      <c r="I1" s="894"/>
      <c r="J1" s="894"/>
      <c r="K1" s="894"/>
      <c r="L1" s="894"/>
      <c r="M1" s="894"/>
      <c r="N1" s="894"/>
    </row>
    <row r="2" spans="1:14">
      <c r="A2" s="896" t="s">
        <v>722</v>
      </c>
      <c r="B2" s="897" t="s">
        <v>133</v>
      </c>
      <c r="C2" s="897" t="s">
        <v>134</v>
      </c>
      <c r="D2" s="897" t="s">
        <v>135</v>
      </c>
      <c r="E2" s="897" t="s">
        <v>136</v>
      </c>
      <c r="F2" s="897" t="s">
        <v>137</v>
      </c>
      <c r="G2" s="897" t="s">
        <v>138</v>
      </c>
      <c r="H2" s="898" t="s">
        <v>139</v>
      </c>
      <c r="I2" s="898" t="s">
        <v>140</v>
      </c>
      <c r="J2" s="899" t="s">
        <v>141</v>
      </c>
      <c r="K2" s="899" t="s">
        <v>142</v>
      </c>
      <c r="L2" s="899" t="s">
        <v>143</v>
      </c>
      <c r="M2" s="899" t="s">
        <v>144</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724</v>
      </c>
      <c r="B103" s="894"/>
      <c r="C103" s="894"/>
      <c r="D103" s="894"/>
      <c r="E103" s="894"/>
      <c r="F103" s="894"/>
      <c r="G103" s="894"/>
      <c r="H103" s="894"/>
      <c r="I103" s="894"/>
      <c r="J103" s="894"/>
      <c r="K103" s="894"/>
      <c r="L103" s="894"/>
      <c r="M103" s="894"/>
      <c r="N103" s="894"/>
    </row>
    <row r="104" spans="1:14" ht="14.25">
      <c r="A104" s="896" t="s">
        <v>722</v>
      </c>
      <c r="B104" s="897" t="s">
        <v>133</v>
      </c>
      <c r="C104" s="897" t="s">
        <v>134</v>
      </c>
      <c r="D104" s="897" t="s">
        <v>135</v>
      </c>
      <c r="E104" s="897" t="s">
        <v>136</v>
      </c>
      <c r="F104" s="897" t="s">
        <v>137</v>
      </c>
      <c r="G104" s="897" t="s">
        <v>138</v>
      </c>
      <c r="H104" s="898" t="s">
        <v>139</v>
      </c>
      <c r="I104" s="898" t="s">
        <v>140</v>
      </c>
      <c r="J104" s="899" t="s">
        <v>141</v>
      </c>
      <c r="K104" s="899" t="s">
        <v>142</v>
      </c>
      <c r="L104" s="899" t="s">
        <v>143</v>
      </c>
      <c r="M104" s="899" t="s">
        <v>144</v>
      </c>
      <c r="N104" s="894">
        <f>SUMPRODUCT((A105:A204=ROUNDDOWN(基准地价修正!G3,1))*(B104:M104=基准地价修正!G2)*(B105:M204))</f>
        <v>0.91539999999999999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725</v>
      </c>
      <c r="B205" s="894"/>
      <c r="C205" s="894"/>
      <c r="D205" s="894"/>
      <c r="E205" s="894"/>
      <c r="F205" s="894"/>
      <c r="G205" s="894"/>
      <c r="H205" s="894"/>
      <c r="I205" s="894"/>
      <c r="J205" s="894"/>
      <c r="K205" s="894"/>
      <c r="L205" s="894"/>
      <c r="M205" s="894"/>
    </row>
    <row r="206" spans="1:13">
      <c r="A206" s="896" t="s">
        <v>722</v>
      </c>
      <c r="B206" s="897" t="s">
        <v>133</v>
      </c>
      <c r="C206" s="897" t="s">
        <v>134</v>
      </c>
      <c r="D206" s="897" t="s">
        <v>135</v>
      </c>
      <c r="E206" s="897" t="s">
        <v>136</v>
      </c>
      <c r="F206" s="897" t="s">
        <v>137</v>
      </c>
      <c r="G206" s="897" t="s">
        <v>138</v>
      </c>
      <c r="H206" s="898" t="s">
        <v>139</v>
      </c>
      <c r="I206" s="898" t="s">
        <v>140</v>
      </c>
      <c r="J206" s="899" t="s">
        <v>141</v>
      </c>
      <c r="K206" s="899" t="s">
        <v>142</v>
      </c>
      <c r="L206" s="899" t="s">
        <v>143</v>
      </c>
      <c r="M206" s="899" t="s">
        <v>144</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726</v>
      </c>
      <c r="B307" s="894"/>
      <c r="C307" s="894"/>
      <c r="D307" s="894"/>
      <c r="E307" s="894"/>
      <c r="F307" s="894"/>
      <c r="G307" s="894"/>
      <c r="H307" s="894"/>
      <c r="I307" s="894"/>
      <c r="J307" s="894"/>
      <c r="K307" s="894"/>
      <c r="L307" s="894"/>
      <c r="M307" s="894"/>
    </row>
    <row r="308" spans="1:13">
      <c r="A308" s="896" t="s">
        <v>722</v>
      </c>
      <c r="B308" s="897" t="s">
        <v>133</v>
      </c>
      <c r="C308" s="897" t="s">
        <v>134</v>
      </c>
      <c r="D308" s="897" t="s">
        <v>135</v>
      </c>
      <c r="E308" s="897" t="s">
        <v>136</v>
      </c>
      <c r="F308" s="897" t="s">
        <v>137</v>
      </c>
      <c r="G308" s="897" t="s">
        <v>138</v>
      </c>
      <c r="H308" s="898" t="s">
        <v>139</v>
      </c>
      <c r="I308" s="898" t="s">
        <v>140</v>
      </c>
      <c r="J308" s="899" t="s">
        <v>141</v>
      </c>
      <c r="K308" s="899" t="s">
        <v>142</v>
      </c>
      <c r="L308" s="899" t="s">
        <v>143</v>
      </c>
      <c r="M308" s="899" t="s">
        <v>144</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2974</v>
      </c>
    </row>
    <row r="2" spans="1:5" ht="15.75">
      <c r="A2" s="2899" t="s">
        <v>2966</v>
      </c>
      <c r="B2" s="2900">
        <f ca="1">SUMIF(B6:B13,"&lt;&gt;#ref!",B6:B13)</f>
        <v>77912</v>
      </c>
      <c r="C2" s="2899" t="s">
        <v>2967</v>
      </c>
      <c r="D2" s="2899" t="s">
        <v>2968</v>
      </c>
      <c r="E2" s="2900">
        <f ca="1">SUMIF(E6:E13,"&lt;&gt;#ref!",E6:E13)</f>
        <v>46024.009999999995</v>
      </c>
    </row>
    <row r="3" spans="1:5" ht="15.75">
      <c r="A3" s="2899" t="s">
        <v>2969</v>
      </c>
      <c r="B3" s="2900">
        <f ca="1">ROUND(B2*10000/E2,0)</f>
        <v>16929</v>
      </c>
      <c r="C3" s="2899" t="s">
        <v>2975</v>
      </c>
      <c r="D3" s="2901"/>
      <c r="E3" s="2901"/>
    </row>
    <row r="4" spans="1:5" ht="15.75">
      <c r="A4" s="2902"/>
      <c r="B4" s="2901"/>
      <c r="C4" s="2901"/>
      <c r="D4" s="2901"/>
      <c r="E4" s="2901"/>
    </row>
    <row r="5" spans="1:5" ht="28.5">
      <c r="A5" s="2903" t="s">
        <v>2970</v>
      </c>
      <c r="B5" s="2899" t="s">
        <v>2971</v>
      </c>
      <c r="C5" s="2900"/>
      <c r="D5" s="2901"/>
      <c r="E5" s="2899" t="s">
        <v>2972</v>
      </c>
    </row>
    <row r="6" spans="1:5" ht="15.75">
      <c r="A6" s="2904" t="s">
        <v>2973</v>
      </c>
      <c r="B6" s="2900">
        <f ca="1">SUMIF(INDIRECT("'"&amp;A6&amp;"'"&amp;"!A:A"),"总价",INDIRECT("'"&amp;A6&amp;"'"&amp;"!B:B"))</f>
        <v>77912</v>
      </c>
      <c r="C6" s="2899" t="s">
        <v>2967</v>
      </c>
      <c r="D6" s="2901"/>
      <c r="E6" s="2572">
        <f ca="1">SUMIF(INDIRECT("'"&amp;A6&amp;"'"&amp;"!C:C"),"建筑面积",INDIRECT("'"&amp;A6&amp;"'"&amp;"!D:D"))</f>
        <v>46024.009999999995</v>
      </c>
    </row>
    <row r="7" spans="1:5" ht="15.75">
      <c r="A7" s="2904"/>
      <c r="B7" s="2900" t="e">
        <f ca="1">SUMIF(INDIRECT("'"&amp;A7&amp;"'"&amp;"!A:A"),"总价",INDIRECT("'"&amp;A7&amp;"'"&amp;"!B:B"))</f>
        <v>#REF!</v>
      </c>
      <c r="C7" s="2899" t="s">
        <v>2967</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2967</v>
      </c>
      <c r="D8" s="2901"/>
      <c r="E8" s="2572" t="e">
        <f t="shared" ca="1" si="0"/>
        <v>#REF!</v>
      </c>
    </row>
    <row r="9" spans="1:5" ht="15.75">
      <c r="A9" s="2904"/>
      <c r="B9" s="2900" t="e">
        <f t="shared" ca="1" si="1"/>
        <v>#REF!</v>
      </c>
      <c r="C9" s="2899" t="s">
        <v>2967</v>
      </c>
      <c r="D9" s="2901"/>
      <c r="E9" s="2572" t="e">
        <f t="shared" ca="1" si="0"/>
        <v>#REF!</v>
      </c>
    </row>
    <row r="10" spans="1:5" ht="15.75">
      <c r="A10" s="2904"/>
      <c r="B10" s="2900" t="e">
        <f t="shared" ca="1" si="1"/>
        <v>#REF!</v>
      </c>
      <c r="C10" s="2899" t="s">
        <v>2967</v>
      </c>
      <c r="D10" s="2901"/>
      <c r="E10" s="2572" t="e">
        <f t="shared" ca="1" si="0"/>
        <v>#REF!</v>
      </c>
    </row>
    <row r="11" spans="1:5" ht="15.75">
      <c r="A11" s="2904"/>
      <c r="B11" s="2900" t="e">
        <f t="shared" ca="1" si="1"/>
        <v>#REF!</v>
      </c>
      <c r="C11" s="2899" t="s">
        <v>2967</v>
      </c>
      <c r="D11" s="2901"/>
      <c r="E11" s="2572" t="e">
        <f t="shared" ca="1" si="0"/>
        <v>#REF!</v>
      </c>
    </row>
    <row r="12" spans="1:5" ht="15.75">
      <c r="A12" s="2904"/>
      <c r="B12" s="2900" t="e">
        <f t="shared" ca="1" si="1"/>
        <v>#REF!</v>
      </c>
      <c r="C12" s="2899" t="s">
        <v>2967</v>
      </c>
      <c r="D12" s="2901"/>
      <c r="E12" s="2572" t="e">
        <f t="shared" ca="1" si="0"/>
        <v>#REF!</v>
      </c>
    </row>
    <row r="13" spans="1:5" ht="15.75">
      <c r="A13" s="2904"/>
      <c r="B13" s="2900" t="e">
        <f t="shared" ca="1" si="1"/>
        <v>#REF!</v>
      </c>
      <c r="C13" s="2899" t="s">
        <v>2967</v>
      </c>
      <c r="D13" s="2901"/>
      <c r="E13" s="2572" t="e">
        <f t="shared" ca="1" si="0"/>
        <v>#REF!</v>
      </c>
    </row>
  </sheetData>
  <sheetProtection password="C66D" sheet="1" objects="1" scenarios="1" formatCells="0"/>
  <phoneticPr fontId="14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8" t="s">
        <v>1121</v>
      </c>
      <c r="C1" s="3278"/>
      <c r="D1" s="3278"/>
      <c r="E1" s="3278"/>
      <c r="F1" s="3278"/>
      <c r="G1" s="3277" t="s">
        <v>1122</v>
      </c>
      <c r="H1" s="3277"/>
      <c r="I1" s="3277"/>
      <c r="J1" s="3277"/>
      <c r="K1" s="3277"/>
      <c r="L1" s="3277"/>
      <c r="N1" s="3277" t="s">
        <v>1123</v>
      </c>
      <c r="O1" s="3277"/>
      <c r="P1" s="3277"/>
      <c r="Q1" s="3277"/>
      <c r="R1" s="1443"/>
      <c r="S1" s="3277" t="s">
        <v>1124</v>
      </c>
      <c r="T1" s="3277"/>
      <c r="U1" s="3277"/>
      <c r="V1" s="3277"/>
      <c r="X1" s="3276" t="s">
        <v>1125</v>
      </c>
      <c r="Y1" s="3277"/>
      <c r="Z1" s="3277"/>
      <c r="AA1" s="3277"/>
      <c r="AB1" s="3277"/>
      <c r="AD1" s="3276" t="s">
        <v>1126</v>
      </c>
      <c r="AE1" s="3277"/>
      <c r="AF1" s="3277"/>
      <c r="AG1" s="3277"/>
      <c r="AH1" s="3277"/>
    </row>
    <row r="2" spans="1:34" s="1444" customFormat="1" ht="14.25" thickBot="1">
      <c r="B2" s="1445" t="s">
        <v>1127</v>
      </c>
      <c r="C2" s="1445" t="s">
        <v>1128</v>
      </c>
      <c r="D2" s="1446" t="s">
        <v>1129</v>
      </c>
      <c r="E2" s="1446" t="s">
        <v>1130</v>
      </c>
      <c r="F2" s="1445" t="s">
        <v>1131</v>
      </c>
      <c r="G2" s="1447"/>
      <c r="H2" s="1448"/>
      <c r="I2" s="1445" t="s">
        <v>1127</v>
      </c>
      <c r="J2" s="1446" t="s">
        <v>1355</v>
      </c>
      <c r="K2" s="1446" t="s">
        <v>727</v>
      </c>
      <c r="L2" s="1445" t="s">
        <v>1131</v>
      </c>
      <c r="N2" s="1445" t="s">
        <v>1127</v>
      </c>
      <c r="O2" s="1446" t="s">
        <v>1355</v>
      </c>
      <c r="P2" s="1446" t="s">
        <v>727</v>
      </c>
      <c r="Q2" s="1445" t="s">
        <v>1131</v>
      </c>
      <c r="R2" s="1449"/>
      <c r="S2" s="1445" t="s">
        <v>1127</v>
      </c>
      <c r="T2" s="1446" t="s">
        <v>1355</v>
      </c>
      <c r="U2" s="1446" t="s">
        <v>727</v>
      </c>
      <c r="V2" s="1445" t="s">
        <v>1131</v>
      </c>
      <c r="X2" s="1445" t="s">
        <v>1127</v>
      </c>
      <c r="Y2" s="1445" t="s">
        <v>1128</v>
      </c>
      <c r="Z2" s="1446" t="s">
        <v>1129</v>
      </c>
      <c r="AA2" s="1446" t="s">
        <v>1130</v>
      </c>
      <c r="AB2" s="1445" t="s">
        <v>1131</v>
      </c>
      <c r="AD2" s="1445" t="s">
        <v>1127</v>
      </c>
      <c r="AE2" s="1445" t="s">
        <v>1128</v>
      </c>
      <c r="AF2" s="1446" t="s">
        <v>1129</v>
      </c>
      <c r="AG2" s="1446" t="s">
        <v>1130</v>
      </c>
      <c r="AH2" s="1445" t="s">
        <v>1131</v>
      </c>
    </row>
    <row r="3" spans="1:34" s="2915" customFormat="1" ht="14.25">
      <c r="A3" s="2924" t="s">
        <v>3009</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0" customFormat="1" ht="14.25">
      <c r="B4" s="1451"/>
      <c r="C4" s="1451"/>
      <c r="D4" s="1452"/>
      <c r="E4" s="1452"/>
      <c r="F4" s="1451"/>
      <c r="G4" s="1453"/>
      <c r="H4" s="1454"/>
      <c r="I4" s="2910"/>
      <c r="J4" s="2910"/>
      <c r="K4" s="2910"/>
      <c r="L4" s="291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3094</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57">
        <v>2020</v>
      </c>
      <c r="H5" s="1727">
        <v>1</v>
      </c>
      <c r="I5" s="2911">
        <v>0</v>
      </c>
      <c r="J5" s="2911">
        <v>0</v>
      </c>
      <c r="K5" s="2911">
        <v>0</v>
      </c>
      <c r="L5" s="2911">
        <v>0</v>
      </c>
      <c r="N5" s="1464">
        <f t="shared" ref="N5" si="7">I5/100</f>
        <v>0</v>
      </c>
      <c r="O5" s="1464">
        <f t="shared" ref="O5" si="8">J5/100</f>
        <v>0</v>
      </c>
      <c r="P5" s="1464">
        <f t="shared" ref="P5" si="9">K5/100</f>
        <v>0</v>
      </c>
      <c r="Q5" s="1464">
        <f t="shared" ref="Q5" si="10">L5/100</f>
        <v>0</v>
      </c>
      <c r="R5" s="1729"/>
      <c r="S5" s="1730"/>
      <c r="T5" s="1729"/>
      <c r="U5" s="1729"/>
      <c r="V5" s="1729"/>
      <c r="W5" s="2914" t="s">
        <v>3010</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3093</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57">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5" thickBot="1">
      <c r="A7" s="1458" t="s">
        <v>3023</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8">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3021</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4">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5" thickBot="1">
      <c r="A9" s="1458" t="s">
        <v>3019</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8">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3022</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74">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5" customHeight="1">
      <c r="A11" s="1458" t="s">
        <v>3016</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274"/>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5" customHeight="1">
      <c r="A12" s="1458" t="s">
        <v>3015</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274"/>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3008</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283"/>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3005</v>
      </c>
      <c r="B14" s="1466">
        <v>439</v>
      </c>
      <c r="C14" s="1466">
        <v>327</v>
      </c>
      <c r="D14" s="1466">
        <f>C14</f>
        <v>327</v>
      </c>
      <c r="E14" s="1466">
        <v>627</v>
      </c>
      <c r="F14" s="1467">
        <v>283</v>
      </c>
      <c r="G14" s="3279">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3006</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274"/>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8" t="s">
        <v>1356</v>
      </c>
      <c r="B16" s="1474">
        <f t="shared" si="105"/>
        <v>419.31181600000002</v>
      </c>
      <c r="C16" s="1474">
        <f t="shared" si="106"/>
        <v>313.95436800000004</v>
      </c>
      <c r="D16" s="1474">
        <f t="shared" si="107"/>
        <v>313.95436800000004</v>
      </c>
      <c r="E16" s="1474">
        <f t="shared" si="108"/>
        <v>596.63028431999999</v>
      </c>
      <c r="F16" s="1474">
        <f t="shared" si="109"/>
        <v>274.74220703999998</v>
      </c>
      <c r="G16" s="3274"/>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1132</v>
      </c>
      <c r="B17" s="1474">
        <f>B18*(1+N17)</f>
        <v>405.524</v>
      </c>
      <c r="C17" s="1474">
        <f>C18*(1+O17)</f>
        <v>307.79840000000002</v>
      </c>
      <c r="D17" s="1474">
        <f>C17</f>
        <v>307.79840000000002</v>
      </c>
      <c r="E17" s="1474">
        <f>E18*(1+P17)</f>
        <v>574.67759999999998</v>
      </c>
      <c r="F17" s="1474">
        <f>F18*(1+Q17)</f>
        <v>270.20280000000002</v>
      </c>
      <c r="G17" s="3283"/>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130</v>
      </c>
      <c r="B18" s="1466">
        <v>392</v>
      </c>
      <c r="C18" s="1466">
        <v>302</v>
      </c>
      <c r="D18" s="1466">
        <f>C18</f>
        <v>302</v>
      </c>
      <c r="E18" s="1466">
        <v>553</v>
      </c>
      <c r="F18" s="1467">
        <v>266</v>
      </c>
      <c r="G18" s="3279">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129</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274"/>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119</v>
      </c>
      <c r="B20" s="1474">
        <f t="shared" si="118"/>
        <v>360.06949782209392</v>
      </c>
      <c r="C20" s="1474">
        <f t="shared" si="118"/>
        <v>289.84672674747821</v>
      </c>
      <c r="D20" s="1474">
        <f t="shared" si="119"/>
        <v>289.84672674747821</v>
      </c>
      <c r="E20" s="1474">
        <f t="shared" si="120"/>
        <v>501.06543001181495</v>
      </c>
      <c r="F20" s="1474">
        <f t="shared" si="120"/>
        <v>256.82882500744967</v>
      </c>
      <c r="G20" s="3274"/>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128</v>
      </c>
      <c r="B21" s="1474">
        <f t="shared" si="118"/>
        <v>346.720748986128</v>
      </c>
      <c r="C21" s="1474">
        <f t="shared" si="118"/>
        <v>284.30282172386285</v>
      </c>
      <c r="D21" s="1474">
        <f t="shared" si="119"/>
        <v>284.30282172386285</v>
      </c>
      <c r="E21" s="1474">
        <f t="shared" si="120"/>
        <v>479.58023546306947</v>
      </c>
      <c r="F21" s="1474">
        <f t="shared" si="120"/>
        <v>253.25788877571213</v>
      </c>
      <c r="G21" s="3275"/>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127</v>
      </c>
      <c r="B22" s="1466">
        <v>333</v>
      </c>
      <c r="C22" s="1466">
        <v>277</v>
      </c>
      <c r="D22" s="1466">
        <f t="shared" si="119"/>
        <v>277</v>
      </c>
      <c r="E22" s="1466">
        <v>459</v>
      </c>
      <c r="F22" s="1467">
        <v>249</v>
      </c>
      <c r="G22" s="3273">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126</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274"/>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125</v>
      </c>
      <c r="B24" s="1474">
        <f t="shared" si="122"/>
        <v>322.34053690220776</v>
      </c>
      <c r="C24" s="1474">
        <f t="shared" si="122"/>
        <v>271.46160770422546</v>
      </c>
      <c r="D24" s="1474">
        <f t="shared" si="119"/>
        <v>271.46160770422546</v>
      </c>
      <c r="E24" s="1474">
        <f t="shared" si="123"/>
        <v>442.69434542172456</v>
      </c>
      <c r="F24" s="1474">
        <f t="shared" si="123"/>
        <v>241.34030753190925</v>
      </c>
      <c r="G24" s="3274"/>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124</v>
      </c>
      <c r="B25" s="1474">
        <f t="shared" si="122"/>
        <v>319.87748030386797</v>
      </c>
      <c r="C25" s="1474">
        <f t="shared" si="122"/>
        <v>269.60135833173649</v>
      </c>
      <c r="D25" s="1474">
        <f t="shared" si="119"/>
        <v>269.60135833173649</v>
      </c>
      <c r="E25" s="1474">
        <f t="shared" si="123"/>
        <v>439.18089823583784</v>
      </c>
      <c r="F25" s="1474">
        <f t="shared" si="123"/>
        <v>239.23503918706311</v>
      </c>
      <c r="G25" s="3275"/>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123</v>
      </c>
      <c r="B26" s="1487">
        <v>318</v>
      </c>
      <c r="C26" s="1487">
        <v>268</v>
      </c>
      <c r="D26" s="1487">
        <f t="shared" si="119"/>
        <v>268</v>
      </c>
      <c r="E26" s="1487">
        <v>437</v>
      </c>
      <c r="F26" s="1488">
        <v>237</v>
      </c>
      <c r="G26" s="3273">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122</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274"/>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121</v>
      </c>
      <c r="B28" s="1474">
        <f t="shared" si="124"/>
        <v>314.72141172386546</v>
      </c>
      <c r="C28" s="1474">
        <f t="shared" si="124"/>
        <v>263.03901319069001</v>
      </c>
      <c r="D28" s="1474">
        <f t="shared" si="119"/>
        <v>263.03901319069001</v>
      </c>
      <c r="E28" s="1474">
        <f t="shared" si="125"/>
        <v>433.65745506782821</v>
      </c>
      <c r="F28" s="1474">
        <f t="shared" si="125"/>
        <v>233.23005080045735</v>
      </c>
      <c r="G28" s="3274"/>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120</v>
      </c>
      <c r="B29" s="1492">
        <f t="shared" si="124"/>
        <v>307.34512863658733</v>
      </c>
      <c r="C29" s="1492">
        <f t="shared" si="124"/>
        <v>257.80556031626975</v>
      </c>
      <c r="D29" s="1492">
        <f t="shared" si="119"/>
        <v>257.80556031626975</v>
      </c>
      <c r="E29" s="1492">
        <f t="shared" si="125"/>
        <v>422.70928459677179</v>
      </c>
      <c r="F29" s="1492">
        <f t="shared" si="125"/>
        <v>229.73803270336617</v>
      </c>
      <c r="G29" s="3275"/>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1133</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8" t="s">
        <v>1134</v>
      </c>
      <c r="B30" s="1466">
        <v>299</v>
      </c>
      <c r="C30" s="1466">
        <v>252</v>
      </c>
      <c r="D30" s="1466">
        <f t="shared" si="119"/>
        <v>252</v>
      </c>
      <c r="E30" s="1466">
        <v>409</v>
      </c>
      <c r="F30" s="1467">
        <v>227</v>
      </c>
      <c r="G30" s="3280">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1135</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281"/>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1136</v>
      </c>
      <c r="B32" s="1474">
        <f t="shared" si="128"/>
        <v>288.2649053828776</v>
      </c>
      <c r="C32" s="1474">
        <f t="shared" si="128"/>
        <v>243.64564425013293</v>
      </c>
      <c r="D32" s="1474">
        <f t="shared" si="119"/>
        <v>243.64564425013293</v>
      </c>
      <c r="E32" s="1474">
        <f t="shared" si="129"/>
        <v>393.31080825986544</v>
      </c>
      <c r="F32" s="1474">
        <f t="shared" si="129"/>
        <v>223.07903790551154</v>
      </c>
      <c r="G32" s="3281"/>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1137</v>
      </c>
      <c r="B33" s="1474">
        <f t="shared" si="128"/>
        <v>282.50186729015837</v>
      </c>
      <c r="C33" s="1474">
        <f t="shared" si="128"/>
        <v>238.09796174155468</v>
      </c>
      <c r="D33" s="1474">
        <f t="shared" si="119"/>
        <v>238.09796174155468</v>
      </c>
      <c r="E33" s="1474">
        <f t="shared" si="129"/>
        <v>385.33438646014054</v>
      </c>
      <c r="F33" s="1474">
        <f t="shared" si="129"/>
        <v>221.55034055567739</v>
      </c>
      <c r="G33" s="3282"/>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1138</v>
      </c>
      <c r="B34" s="1508">
        <v>278</v>
      </c>
      <c r="C34" s="1508">
        <v>234</v>
      </c>
      <c r="D34" s="1508">
        <f t="shared" si="119"/>
        <v>234</v>
      </c>
      <c r="E34" s="1508">
        <v>379</v>
      </c>
      <c r="F34" s="1509">
        <v>220</v>
      </c>
      <c r="G34" s="3273">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1139</v>
      </c>
      <c r="B35" s="1474">
        <f>B34/(1+N34)</f>
        <v>275.49301357645425</v>
      </c>
      <c r="C35" s="1474">
        <f>C34/(1+O34)</f>
        <v>232.41954707985698</v>
      </c>
      <c r="D35" s="1474">
        <f t="shared" si="119"/>
        <v>232.41954707985698</v>
      </c>
      <c r="E35" s="1474">
        <f t="shared" ref="E35:F37" si="130">E34/(1+P34)</f>
        <v>375.32184591008121</v>
      </c>
      <c r="F35" s="1474">
        <f t="shared" si="130"/>
        <v>218.03766105054513</v>
      </c>
      <c r="G35" s="3274"/>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1140</v>
      </c>
      <c r="B36" s="1474">
        <f>B35/(1+N35)</f>
        <v>275.24529281292263</v>
      </c>
      <c r="C36" s="1474">
        <f>C35/(1+O35)</f>
        <v>231.74747938962707</v>
      </c>
      <c r="D36" s="1474">
        <f t="shared" si="119"/>
        <v>231.74747938962707</v>
      </c>
      <c r="E36" s="1474">
        <f t="shared" si="130"/>
        <v>375.35938184826603</v>
      </c>
      <c r="F36" s="1474">
        <f t="shared" si="130"/>
        <v>216.78033510692495</v>
      </c>
      <c r="G36" s="3274"/>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1141</v>
      </c>
      <c r="B37" s="1474">
        <f>B36/(1+N36)</f>
        <v>275.19025476197027</v>
      </c>
      <c r="C37" s="1510">
        <v>232</v>
      </c>
      <c r="D37" s="1510">
        <f t="shared" si="119"/>
        <v>232</v>
      </c>
      <c r="E37" s="1474">
        <f t="shared" si="130"/>
        <v>375.65990977608692</v>
      </c>
      <c r="F37" s="1474">
        <f t="shared" si="130"/>
        <v>214.12518283971252</v>
      </c>
      <c r="G37" s="3275"/>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1142</v>
      </c>
      <c r="B38" s="1466">
        <v>275</v>
      </c>
      <c r="C38" s="1466">
        <v>232</v>
      </c>
      <c r="D38" s="1466">
        <f t="shared" si="119"/>
        <v>232</v>
      </c>
      <c r="E38" s="1466">
        <v>376</v>
      </c>
      <c r="F38" s="1467">
        <v>213</v>
      </c>
      <c r="G38" s="3273">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1143</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274">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1144</v>
      </c>
      <c r="B40" s="1474">
        <f t="shared" si="131"/>
        <v>275.19335084830601</v>
      </c>
      <c r="C40" s="1474">
        <f t="shared" si="131"/>
        <v>230.18088050139744</v>
      </c>
      <c r="D40" s="1474">
        <f t="shared" si="119"/>
        <v>230.18088050139744</v>
      </c>
      <c r="E40" s="1474">
        <f t="shared" si="132"/>
        <v>377.58482925212331</v>
      </c>
      <c r="F40" s="1474">
        <f t="shared" si="132"/>
        <v>210.90687997847917</v>
      </c>
      <c r="G40" s="3274">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1145</v>
      </c>
      <c r="B41" s="1474">
        <f t="shared" si="131"/>
        <v>276.29854502841971</v>
      </c>
      <c r="C41" s="1474">
        <f t="shared" si="131"/>
        <v>229.79023709833027</v>
      </c>
      <c r="D41" s="1474">
        <f t="shared" si="119"/>
        <v>229.79023709833027</v>
      </c>
      <c r="E41" s="1474">
        <f t="shared" si="132"/>
        <v>379.78759731655936</v>
      </c>
      <c r="F41" s="1474">
        <f t="shared" si="132"/>
        <v>211.32953905659235</v>
      </c>
      <c r="G41" s="3275">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1146</v>
      </c>
      <c r="B42" s="1466">
        <v>269</v>
      </c>
      <c r="C42" s="1466">
        <v>221</v>
      </c>
      <c r="D42" s="1466">
        <f t="shared" si="119"/>
        <v>221</v>
      </c>
      <c r="E42" s="1466">
        <v>373</v>
      </c>
      <c r="F42" s="1467">
        <v>196</v>
      </c>
      <c r="G42" s="3273">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1147</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274">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1148</v>
      </c>
      <c r="B44" s="1474">
        <f t="shared" si="133"/>
        <v>242.95398227588385</v>
      </c>
      <c r="C44" s="1474">
        <f t="shared" si="133"/>
        <v>199.59137053614126</v>
      </c>
      <c r="D44" s="1474">
        <f t="shared" si="119"/>
        <v>199.59137053614126</v>
      </c>
      <c r="E44" s="1474">
        <f t="shared" si="134"/>
        <v>335.92189522342125</v>
      </c>
      <c r="F44" s="1474">
        <f t="shared" si="134"/>
        <v>183.10139991109489</v>
      </c>
      <c r="G44" s="3274">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1149</v>
      </c>
      <c r="B45" s="1474">
        <f t="shared" si="133"/>
        <v>232.06990378821649</v>
      </c>
      <c r="C45" s="1474">
        <f t="shared" si="133"/>
        <v>192.74878854286936</v>
      </c>
      <c r="D45" s="1474">
        <f t="shared" si="119"/>
        <v>192.74878854286936</v>
      </c>
      <c r="E45" s="1474">
        <f t="shared" si="134"/>
        <v>319.71247284992984</v>
      </c>
      <c r="F45" s="1474">
        <f t="shared" si="134"/>
        <v>175.67053622862409</v>
      </c>
      <c r="G45" s="3275">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1150</v>
      </c>
      <c r="B46" s="1466">
        <v>220</v>
      </c>
      <c r="C46" s="1466">
        <v>187</v>
      </c>
      <c r="D46" s="1466">
        <f t="shared" si="119"/>
        <v>187</v>
      </c>
      <c r="E46" s="1466">
        <v>301</v>
      </c>
      <c r="F46" s="1467">
        <v>168</v>
      </c>
      <c r="G46" s="3273">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1151</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274">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1152</v>
      </c>
      <c r="B48" s="1474">
        <f t="shared" si="135"/>
        <v>210.630522469011</v>
      </c>
      <c r="C48" s="1474">
        <f t="shared" si="135"/>
        <v>181.69567812247232</v>
      </c>
      <c r="D48" s="1474">
        <f t="shared" si="119"/>
        <v>181.69567812247232</v>
      </c>
      <c r="E48" s="1474">
        <f t="shared" si="136"/>
        <v>286.13517466736738</v>
      </c>
      <c r="F48" s="1474">
        <f t="shared" si="136"/>
        <v>165.47535084591149</v>
      </c>
      <c r="G48" s="3274">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1153</v>
      </c>
      <c r="B49" s="1474">
        <f t="shared" si="135"/>
        <v>208.83454537875372</v>
      </c>
      <c r="C49" s="1474">
        <f t="shared" si="135"/>
        <v>183.77230517090351</v>
      </c>
      <c r="D49" s="1474">
        <f t="shared" si="119"/>
        <v>183.77230517090351</v>
      </c>
      <c r="E49" s="1474">
        <f t="shared" si="136"/>
        <v>281.10342338870947</v>
      </c>
      <c r="F49" s="1474">
        <f t="shared" si="136"/>
        <v>168.97309388942256</v>
      </c>
      <c r="G49" s="3275">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1154</v>
      </c>
      <c r="B50" s="1508">
        <v>214</v>
      </c>
      <c r="C50" s="1508">
        <v>188</v>
      </c>
      <c r="D50" s="1508">
        <f t="shared" si="119"/>
        <v>188</v>
      </c>
      <c r="E50" s="1508">
        <v>289</v>
      </c>
      <c r="F50" s="1509">
        <v>166</v>
      </c>
      <c r="G50" s="3273">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1155</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274">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1156</v>
      </c>
      <c r="B52" s="1474">
        <f t="shared" si="137"/>
        <v>206.31694671589116</v>
      </c>
      <c r="C52" s="1474">
        <f t="shared" si="137"/>
        <v>183.61041121036101</v>
      </c>
      <c r="D52" s="1474">
        <f t="shared" si="119"/>
        <v>183.61041121036101</v>
      </c>
      <c r="E52" s="1474">
        <f t="shared" si="138"/>
        <v>276.66850301795557</v>
      </c>
      <c r="F52" s="1474">
        <f t="shared" si="138"/>
        <v>165.1360938278614</v>
      </c>
      <c r="G52" s="3274">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1157</v>
      </c>
      <c r="B53" s="1511">
        <f t="shared" si="137"/>
        <v>196.62341248059772</v>
      </c>
      <c r="C53" s="1511">
        <f t="shared" si="137"/>
        <v>170.99125648199012</v>
      </c>
      <c r="D53" s="1511">
        <f t="shared" si="119"/>
        <v>170.99125648199012</v>
      </c>
      <c r="E53" s="1511">
        <f t="shared" si="138"/>
        <v>266.07857570490052</v>
      </c>
      <c r="F53" s="1511">
        <f t="shared" si="138"/>
        <v>154.53499328828505</v>
      </c>
      <c r="G53" s="3275">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1158</v>
      </c>
      <c r="B54" s="1466">
        <v>188</v>
      </c>
      <c r="C54" s="1466">
        <v>165</v>
      </c>
      <c r="D54" s="1466">
        <f t="shared" si="119"/>
        <v>165</v>
      </c>
      <c r="E54" s="1466">
        <v>254</v>
      </c>
      <c r="F54" s="1467">
        <v>148</v>
      </c>
      <c r="G54" s="3273">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1159</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274">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1160</v>
      </c>
      <c r="B56" s="1474">
        <f t="shared" si="141"/>
        <v>168.82017748715555</v>
      </c>
      <c r="C56" s="1474">
        <f t="shared" si="141"/>
        <v>148.06267029972753</v>
      </c>
      <c r="D56" s="1474">
        <f t="shared" si="119"/>
        <v>148.06267029972753</v>
      </c>
      <c r="E56" s="1474">
        <f t="shared" si="142"/>
        <v>216.46288379323747</v>
      </c>
      <c r="F56" s="1474">
        <f t="shared" si="142"/>
        <v>134.23529411764704</v>
      </c>
      <c r="G56" s="3274">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1161</v>
      </c>
      <c r="B57" s="1474">
        <f t="shared" si="141"/>
        <v>163.84913591779542</v>
      </c>
      <c r="C57" s="1474">
        <f t="shared" si="141"/>
        <v>145.0283378746594</v>
      </c>
      <c r="D57" s="1474">
        <f t="shared" si="119"/>
        <v>145.0283378746594</v>
      </c>
      <c r="E57" s="1474">
        <f t="shared" si="142"/>
        <v>204.95180722891567</v>
      </c>
      <c r="F57" s="1474">
        <f t="shared" si="142"/>
        <v>125.95920303605313</v>
      </c>
      <c r="G57" s="3275">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1162</v>
      </c>
      <c r="B58" s="1487">
        <v>159</v>
      </c>
      <c r="C58" s="1487">
        <v>141</v>
      </c>
      <c r="D58" s="1487">
        <f t="shared" si="119"/>
        <v>141</v>
      </c>
      <c r="E58" s="1487">
        <v>195</v>
      </c>
      <c r="F58" s="1488">
        <v>122</v>
      </c>
      <c r="G58" s="3273">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1163</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274">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1164</v>
      </c>
      <c r="B60" s="1474">
        <f t="shared" si="145"/>
        <v>146.57412060301507</v>
      </c>
      <c r="C60" s="1474">
        <f t="shared" si="145"/>
        <v>136.46831955922866</v>
      </c>
      <c r="D60" s="1474">
        <f t="shared" si="119"/>
        <v>136.46831955922866</v>
      </c>
      <c r="E60" s="1474">
        <f t="shared" si="146"/>
        <v>166.73864894795128</v>
      </c>
      <c r="F60" s="1474">
        <f t="shared" si="146"/>
        <v>115.05882352941177</v>
      </c>
      <c r="G60" s="3274">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1165</v>
      </c>
      <c r="B61" s="1474">
        <f t="shared" si="145"/>
        <v>144.04145728643215</v>
      </c>
      <c r="C61" s="1474">
        <f t="shared" si="145"/>
        <v>136.12396694214877</v>
      </c>
      <c r="D61" s="1474">
        <f t="shared" si="119"/>
        <v>136.12396694214877</v>
      </c>
      <c r="E61" s="1474">
        <f t="shared" si="146"/>
        <v>158.32225913621264</v>
      </c>
      <c r="F61" s="1474">
        <f t="shared" si="146"/>
        <v>114.04278074866311</v>
      </c>
      <c r="G61" s="3275">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1166</v>
      </c>
      <c r="B62" s="1487">
        <v>138</v>
      </c>
      <c r="C62" s="1487">
        <v>131</v>
      </c>
      <c r="D62" s="1487">
        <f t="shared" si="119"/>
        <v>131</v>
      </c>
      <c r="E62" s="1487">
        <v>155</v>
      </c>
      <c r="F62" s="1488">
        <v>114</v>
      </c>
      <c r="G62" s="3273">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1167</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274">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1168</v>
      </c>
      <c r="B64" s="1474">
        <f t="shared" si="149"/>
        <v>124.29032258064517</v>
      </c>
      <c r="C64" s="1474">
        <f t="shared" si="149"/>
        <v>123.8968609865471</v>
      </c>
      <c r="D64" s="1474">
        <f t="shared" si="119"/>
        <v>123.8968609865471</v>
      </c>
      <c r="E64" s="1474">
        <f t="shared" si="150"/>
        <v>138.00507614213197</v>
      </c>
      <c r="F64" s="1474">
        <f t="shared" si="150"/>
        <v>107.96106557377048</v>
      </c>
      <c r="G64" s="3274">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1169</v>
      </c>
      <c r="B65" s="1474">
        <f t="shared" si="149"/>
        <v>122.57204301075269</v>
      </c>
      <c r="C65" s="1474">
        <f t="shared" si="149"/>
        <v>123.4932735426009</v>
      </c>
      <c r="D65" s="1474">
        <f t="shared" si="119"/>
        <v>123.4932735426009</v>
      </c>
      <c r="E65" s="1474">
        <f t="shared" si="150"/>
        <v>129.82233502538071</v>
      </c>
      <c r="F65" s="1474">
        <f t="shared" si="150"/>
        <v>107.39446721311475</v>
      </c>
      <c r="G65" s="3275">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1170</v>
      </c>
      <c r="B66" s="1508">
        <v>121</v>
      </c>
      <c r="C66" s="1508">
        <v>122</v>
      </c>
      <c r="D66" s="1508">
        <f t="shared" si="119"/>
        <v>122</v>
      </c>
      <c r="E66" s="1508">
        <v>124</v>
      </c>
      <c r="F66" s="1509">
        <v>107</v>
      </c>
      <c r="G66" s="3273">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1171</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274">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1172</v>
      </c>
      <c r="B68" s="1474">
        <f t="shared" si="153"/>
        <v>116.99099099099099</v>
      </c>
      <c r="C68" s="1474">
        <f t="shared" si="153"/>
        <v>118.84848484848486</v>
      </c>
      <c r="D68" s="1474">
        <f t="shared" si="119"/>
        <v>118.84848484848486</v>
      </c>
      <c r="E68" s="1474">
        <f t="shared" si="154"/>
        <v>117.60960960960961</v>
      </c>
      <c r="F68" s="1474">
        <f t="shared" si="154"/>
        <v>104</v>
      </c>
      <c r="G68" s="3274">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1173</v>
      </c>
      <c r="B69" s="1511">
        <f t="shared" si="153"/>
        <v>112.48648648648648</v>
      </c>
      <c r="C69" s="1511">
        <f t="shared" si="153"/>
        <v>115.21212121212122</v>
      </c>
      <c r="D69" s="1511">
        <f t="shared" si="119"/>
        <v>115.21212121212122</v>
      </c>
      <c r="E69" s="1511">
        <f t="shared" si="154"/>
        <v>110.4024024024024</v>
      </c>
      <c r="F69" s="1511">
        <f t="shared" si="154"/>
        <v>104</v>
      </c>
      <c r="G69" s="3275">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1174</v>
      </c>
      <c r="B70" s="1529">
        <v>111</v>
      </c>
      <c r="C70" s="1529">
        <v>114</v>
      </c>
      <c r="D70" s="1529">
        <f t="shared" si="119"/>
        <v>114</v>
      </c>
      <c r="E70" s="1529">
        <v>108</v>
      </c>
      <c r="F70" s="1530">
        <v>104</v>
      </c>
      <c r="G70" s="3273">
        <v>2003</v>
      </c>
      <c r="H70" s="1519">
        <v>4</v>
      </c>
      <c r="I70" s="1531"/>
      <c r="J70" s="1531"/>
      <c r="K70" s="1531"/>
      <c r="L70" s="1531"/>
      <c r="N70" s="1532"/>
      <c r="O70" s="1531"/>
      <c r="P70" s="1531"/>
      <c r="Q70" s="1531"/>
      <c r="S70" s="1532"/>
      <c r="T70" s="1531"/>
      <c r="U70" s="1531"/>
      <c r="V70" s="1531"/>
      <c r="X70" s="1523"/>
      <c r="Y70" s="1523"/>
      <c r="Z70" s="1523"/>
    </row>
    <row r="71" spans="1:26">
      <c r="A71" s="1458" t="s">
        <v>1175</v>
      </c>
      <c r="B71" s="1533">
        <f t="shared" ref="B71:C73" si="155">B72+(B$70-B$74)/4</f>
        <v>109.75</v>
      </c>
      <c r="C71" s="1533">
        <f t="shared" si="155"/>
        <v>112.25</v>
      </c>
      <c r="D71" s="1533">
        <f t="shared" si="119"/>
        <v>112.25</v>
      </c>
      <c r="E71" s="1533">
        <f t="shared" ref="E71:F73" si="156">E72+(E$70-E$74)/4</f>
        <v>107.25</v>
      </c>
      <c r="F71" s="1533">
        <f t="shared" si="156"/>
        <v>103.5</v>
      </c>
      <c r="G71" s="3274">
        <v>2003</v>
      </c>
      <c r="H71" s="1484">
        <v>3</v>
      </c>
      <c r="I71" s="1531"/>
      <c r="J71" s="1531"/>
      <c r="K71" s="1531"/>
      <c r="L71" s="1531"/>
      <c r="X71" s="1523"/>
      <c r="Y71" s="1523"/>
      <c r="Z71" s="1523"/>
    </row>
    <row r="72" spans="1:26">
      <c r="A72" s="1458" t="s">
        <v>1176</v>
      </c>
      <c r="B72" s="1533">
        <f t="shared" si="155"/>
        <v>108.5</v>
      </c>
      <c r="C72" s="1533">
        <f t="shared" si="155"/>
        <v>110.5</v>
      </c>
      <c r="D72" s="1533">
        <f t="shared" si="119"/>
        <v>110.5</v>
      </c>
      <c r="E72" s="1533">
        <f t="shared" si="156"/>
        <v>106.5</v>
      </c>
      <c r="F72" s="1533">
        <f t="shared" si="156"/>
        <v>103</v>
      </c>
      <c r="G72" s="3274">
        <v>2003</v>
      </c>
      <c r="H72" s="1462">
        <v>2</v>
      </c>
      <c r="I72" s="1531"/>
      <c r="J72" s="1531"/>
      <c r="K72" s="1531"/>
      <c r="L72" s="1531"/>
      <c r="X72" s="1523"/>
      <c r="Y72" s="1523"/>
      <c r="Z72" s="1523"/>
    </row>
    <row r="73" spans="1:26" ht="13.5" thickBot="1">
      <c r="A73" s="1458" t="s">
        <v>1177</v>
      </c>
      <c r="B73" s="1533">
        <f t="shared" si="155"/>
        <v>107.25</v>
      </c>
      <c r="C73" s="1533">
        <f t="shared" si="155"/>
        <v>108.75</v>
      </c>
      <c r="D73" s="1533">
        <f t="shared" si="119"/>
        <v>108.75</v>
      </c>
      <c r="E73" s="1533">
        <f t="shared" si="156"/>
        <v>105.75</v>
      </c>
      <c r="F73" s="1533">
        <f t="shared" si="156"/>
        <v>102.5</v>
      </c>
      <c r="G73" s="3275">
        <v>2003</v>
      </c>
      <c r="H73" s="1534">
        <v>1</v>
      </c>
      <c r="I73" s="1531"/>
      <c r="J73" s="1531"/>
      <c r="K73" s="1531"/>
      <c r="L73" s="1531"/>
      <c r="S73" s="1469"/>
      <c r="T73" s="1470"/>
      <c r="U73" s="1470"/>
      <c r="X73" s="1523"/>
      <c r="Y73" s="1523"/>
      <c r="Z73" s="1523"/>
    </row>
    <row r="74" spans="1:26" ht="13.5" thickBot="1">
      <c r="A74" s="1458" t="s">
        <v>1178</v>
      </c>
      <c r="B74" s="1535">
        <v>106</v>
      </c>
      <c r="C74" s="1535">
        <v>107</v>
      </c>
      <c r="D74" s="1535">
        <f t="shared" si="119"/>
        <v>107</v>
      </c>
      <c r="E74" s="1535">
        <v>105</v>
      </c>
      <c r="F74" s="1536">
        <v>102</v>
      </c>
      <c r="G74" s="3273">
        <v>2002</v>
      </c>
      <c r="H74" s="1479">
        <v>4</v>
      </c>
      <c r="I74" s="1531"/>
      <c r="J74" s="1531"/>
      <c r="K74" s="1531"/>
      <c r="L74" s="1531"/>
      <c r="N74" s="1532"/>
      <c r="O74" s="1531"/>
      <c r="P74" s="1531"/>
      <c r="Q74" s="1531"/>
      <c r="S74" s="1532"/>
      <c r="T74" s="1531"/>
      <c r="U74" s="1531"/>
      <c r="V74" s="1531"/>
      <c r="X74" s="1523"/>
      <c r="Y74" s="1523"/>
      <c r="Z74" s="1523"/>
    </row>
    <row r="75" spans="1:26">
      <c r="A75" s="1458" t="s">
        <v>1179</v>
      </c>
      <c r="B75" s="1533">
        <f t="shared" ref="B75:C77" si="157">B76+(B$74-B$78)/4</f>
        <v>105</v>
      </c>
      <c r="C75" s="1533">
        <f t="shared" si="157"/>
        <v>106</v>
      </c>
      <c r="D75" s="1533">
        <f t="shared" si="119"/>
        <v>106</v>
      </c>
      <c r="E75" s="1533">
        <f t="shared" ref="E75:F77" si="158">E76+(E$74-E$78)/4</f>
        <v>104.5</v>
      </c>
      <c r="F75" s="1533">
        <f t="shared" si="158"/>
        <v>101.5</v>
      </c>
      <c r="G75" s="3274">
        <v>2002</v>
      </c>
      <c r="H75" s="1484">
        <v>3</v>
      </c>
      <c r="I75" s="1531"/>
      <c r="J75" s="1531"/>
      <c r="K75" s="1531"/>
      <c r="L75" s="1531"/>
      <c r="X75" s="1523"/>
      <c r="Y75" s="1523"/>
      <c r="Z75" s="1523"/>
    </row>
    <row r="76" spans="1:26">
      <c r="A76" s="1458" t="s">
        <v>1180</v>
      </c>
      <c r="B76" s="1533">
        <f t="shared" si="157"/>
        <v>104</v>
      </c>
      <c r="C76" s="1533">
        <f t="shared" si="157"/>
        <v>105</v>
      </c>
      <c r="D76" s="1533">
        <f t="shared" si="119"/>
        <v>105</v>
      </c>
      <c r="E76" s="1533">
        <f t="shared" si="158"/>
        <v>104</v>
      </c>
      <c r="F76" s="1533">
        <f t="shared" si="158"/>
        <v>101</v>
      </c>
      <c r="G76" s="3274">
        <v>2002</v>
      </c>
      <c r="H76" s="1462">
        <v>2</v>
      </c>
      <c r="I76" s="1531"/>
      <c r="J76" s="1531"/>
      <c r="K76" s="1531"/>
      <c r="L76" s="1531"/>
      <c r="X76" s="1523"/>
      <c r="Y76" s="1523"/>
      <c r="Z76" s="1523"/>
    </row>
    <row r="77" spans="1:26" s="1495" customFormat="1" ht="13.5" thickBot="1">
      <c r="A77" s="1491" t="s">
        <v>1181</v>
      </c>
      <c r="B77" s="1537">
        <f t="shared" si="157"/>
        <v>103</v>
      </c>
      <c r="C77" s="1537">
        <f t="shared" si="157"/>
        <v>104</v>
      </c>
      <c r="D77" s="1537">
        <f t="shared" si="119"/>
        <v>104</v>
      </c>
      <c r="E77" s="1537">
        <f t="shared" si="158"/>
        <v>103.5</v>
      </c>
      <c r="F77" s="1537">
        <f t="shared" si="158"/>
        <v>100.5</v>
      </c>
      <c r="G77" s="3275">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1182</v>
      </c>
      <c r="G80" s="1547"/>
      <c r="N80" s="1547"/>
      <c r="S80" s="1547"/>
    </row>
    <row r="81" spans="1:22" s="1546" customFormat="1">
      <c r="A81" s="1546" t="s">
        <v>1183</v>
      </c>
      <c r="G81" s="1547"/>
      <c r="N81" s="1547"/>
      <c r="S81" s="1547"/>
    </row>
    <row r="82" spans="1:22" s="1546" customFormat="1">
      <c r="A82" s="1546" t="s">
        <v>1184</v>
      </c>
      <c r="G82" s="1547"/>
      <c r="I82" s="1548"/>
      <c r="J82" s="1548"/>
      <c r="K82" s="1548"/>
      <c r="L82" s="1548"/>
      <c r="N82" s="1549"/>
      <c r="O82" s="1548"/>
      <c r="P82" s="1548"/>
      <c r="Q82" s="1548"/>
      <c r="S82" s="1549"/>
      <c r="T82" s="1548"/>
      <c r="U82" s="1548"/>
      <c r="V82" s="1548"/>
    </row>
    <row r="83" spans="1:22" s="1546" customFormat="1">
      <c r="A83" s="1546" t="s">
        <v>1185</v>
      </c>
      <c r="G83" s="1547"/>
      <c r="N83" s="1547"/>
      <c r="S83" s="1547"/>
    </row>
    <row r="90" spans="1:22" ht="13.5" thickBot="1"/>
    <row r="91" spans="1:22">
      <c r="G91" s="1468"/>
      <c r="S91" s="1550" t="s">
        <v>1186</v>
      </c>
      <c r="T91" s="1551" t="s">
        <v>1187</v>
      </c>
      <c r="U91" s="1551" t="s">
        <v>1188</v>
      </c>
      <c r="V91" s="1551" t="s">
        <v>1189</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99"/>
    <col min="19" max="19" width="9" style="136"/>
    <col min="20" max="45" width="9" style="792"/>
    <col min="46" max="16384" width="9" style="136"/>
  </cols>
  <sheetData>
    <row r="1" spans="1:45" ht="14.25" customHeight="1" thickBot="1">
      <c r="A1" s="152"/>
      <c r="B1" s="1201" t="s">
        <v>2976</v>
      </c>
      <c r="C1" s="3285" t="s">
        <v>2977</v>
      </c>
      <c r="D1" s="3286"/>
      <c r="E1" s="3286"/>
      <c r="F1" s="3286"/>
      <c r="G1" s="3286"/>
      <c r="H1" s="3286"/>
      <c r="I1" s="3286"/>
      <c r="J1" s="3286"/>
      <c r="K1" s="3286"/>
      <c r="L1" s="3286"/>
      <c r="M1" s="3286"/>
      <c r="N1" s="3286"/>
      <c r="O1" s="3286"/>
      <c r="P1" s="3286"/>
      <c r="Q1" s="3286"/>
      <c r="R1" s="3286"/>
      <c r="S1" s="3287"/>
      <c r="T1" s="1201" t="s">
        <v>2978</v>
      </c>
    </row>
    <row r="2" spans="1:45" s="704" customFormat="1">
      <c r="A2" s="1202"/>
      <c r="B2" s="700" t="s">
        <v>2979</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2"/>
      <c r="B5" s="1766" t="s">
        <v>2980</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2"/>
      <c r="B7" s="1767" t="s">
        <v>2981</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2"/>
      <c r="B9" s="1767" t="s">
        <v>2982</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2"/>
      <c r="B11" s="1766" t="s">
        <v>2983</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2"/>
      <c r="B13" s="1766" t="s">
        <v>2984</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2"/>
      <c r="B15" s="1766" t="s">
        <v>2985</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2986</v>
      </c>
      <c r="B17" s="2906" t="s">
        <v>2987</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907" t="s">
        <v>2988</v>
      </c>
      <c r="E19" s="1789"/>
      <c r="F19" s="1789"/>
      <c r="G19" s="1789"/>
      <c r="H19" s="1277"/>
      <c r="I19" s="165"/>
      <c r="J19" s="165"/>
      <c r="K19" s="165"/>
      <c r="L19" s="165"/>
      <c r="M19" s="165"/>
      <c r="N19" s="165"/>
      <c r="O19" s="165"/>
      <c r="P19" s="165"/>
      <c r="Q19" s="165"/>
      <c r="R19" s="785"/>
      <c r="S19" s="135"/>
    </row>
    <row r="20" spans="1:45" ht="16.5" thickBot="1">
      <c r="A20" s="712" t="s">
        <v>2989</v>
      </c>
      <c r="B20" s="335" t="e">
        <f ca="1">IF(D20="——",S22,S22-F20)</f>
        <v>#REF!</v>
      </c>
      <c r="C20" s="165"/>
      <c r="D20" s="2908" t="s">
        <v>2990</v>
      </c>
      <c r="E20" s="1790"/>
      <c r="F20" s="1201" t="e">
        <f ca="1">SUMIF(INDIRECT("'"&amp;H20&amp;"'"&amp;"!A:A"),"承租人权益价值",INDIRECT("'"&amp;H20&amp;"'"&amp;"!c:c"))</f>
        <v>#REF!</v>
      </c>
      <c r="G20" s="1201" t="s">
        <v>2991</v>
      </c>
      <c r="H20" s="2909"/>
      <c r="I20" s="165"/>
      <c r="J20" s="165"/>
      <c r="K20" s="165"/>
      <c r="L20" s="165"/>
      <c r="M20" s="165"/>
      <c r="N20" s="165"/>
      <c r="O20" s="165"/>
      <c r="P20" s="165"/>
      <c r="Q20" s="165"/>
      <c r="R20" s="785"/>
      <c r="S20" s="135"/>
    </row>
    <row r="21" spans="1:45" ht="15.75">
      <c r="A21" s="712" t="s">
        <v>2992</v>
      </c>
      <c r="B21" s="335">
        <f>R22</f>
        <v>10000</v>
      </c>
      <c r="C21" s="165"/>
      <c r="D21" s="165"/>
      <c r="E21" s="165"/>
      <c r="F21" s="165"/>
      <c r="G21" s="165"/>
      <c r="H21" s="165"/>
      <c r="I21" s="165"/>
      <c r="J21" s="165"/>
      <c r="K21" s="165"/>
      <c r="L21" s="165"/>
      <c r="M21" s="165"/>
      <c r="N21" s="165"/>
      <c r="O21" s="165"/>
      <c r="P21" s="165"/>
      <c r="Q21" s="165"/>
      <c r="R21" s="785"/>
      <c r="S21" s="135"/>
    </row>
    <row r="22" spans="1:45">
      <c r="A22" s="358" t="s">
        <v>2993</v>
      </c>
      <c r="B22" s="21">
        <f>SUM(B24:B10000)</f>
        <v>100</v>
      </c>
      <c r="C22" s="3144" t="s">
        <v>30</v>
      </c>
      <c r="D22" s="3145"/>
      <c r="E22" s="3145"/>
      <c r="F22" s="3145"/>
      <c r="G22" s="3145"/>
      <c r="H22" s="3145"/>
      <c r="I22" s="3145"/>
      <c r="J22" s="3145"/>
      <c r="K22" s="3145"/>
      <c r="L22" s="3145"/>
      <c r="M22" s="3145"/>
      <c r="N22" s="3145"/>
      <c r="O22" s="3145"/>
      <c r="P22" s="3145"/>
      <c r="Q22" s="3284"/>
      <c r="R22" s="713">
        <f>ROUND(S22*10000/B22,0)</f>
        <v>10000</v>
      </c>
      <c r="S22" s="21">
        <f>SUM(S24:S10000)</f>
        <v>100</v>
      </c>
    </row>
    <row r="23" spans="1:45" s="9" customFormat="1" ht="24">
      <c r="A23" s="8" t="s">
        <v>2994</v>
      </c>
      <c r="B23" s="8" t="s">
        <v>2995</v>
      </c>
      <c r="C23" s="8" t="s">
        <v>2996</v>
      </c>
      <c r="D23" s="8" t="str">
        <f>B5</f>
        <v>修正项2</v>
      </c>
      <c r="E23" s="8" t="s">
        <v>2996</v>
      </c>
      <c r="F23" s="8" t="str">
        <f>B7</f>
        <v>修正项3</v>
      </c>
      <c r="G23" s="8" t="s">
        <v>2996</v>
      </c>
      <c r="H23" s="8" t="str">
        <f>B9</f>
        <v>修正项4</v>
      </c>
      <c r="I23" s="8" t="s">
        <v>2996</v>
      </c>
      <c r="J23" s="8" t="str">
        <f>B11</f>
        <v>修正项5</v>
      </c>
      <c r="K23" s="8" t="s">
        <v>2996</v>
      </c>
      <c r="L23" s="8" t="str">
        <f>B13</f>
        <v>修正项6</v>
      </c>
      <c r="M23" s="8" t="s">
        <v>2996</v>
      </c>
      <c r="N23" s="8" t="str">
        <f>B15</f>
        <v>修正项7</v>
      </c>
      <c r="O23" s="8" t="s">
        <v>2996</v>
      </c>
      <c r="P23" s="8" t="str">
        <f>B17</f>
        <v>楼层</v>
      </c>
      <c r="Q23" s="8" t="s">
        <v>2996</v>
      </c>
      <c r="R23" s="714" t="s">
        <v>2997</v>
      </c>
      <c r="S23" s="8" t="s">
        <v>2998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2999</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6"/>
      <c r="C25" s="21">
        <f>IF(B25="",1,(LOOKUP(B25,$3:$3,$4:$4)-LOOKUP($B$24,$3:$3,$4:$4)+100)/100)</f>
        <v>1</v>
      </c>
      <c r="D25" s="717"/>
      <c r="E25" s="21">
        <f>(SUMIF($5:$5,D25,$6:$6)-SUMIF($5:$5,$D$24,$6:$6)+100)/100</f>
        <v>1</v>
      </c>
      <c r="F25" s="717"/>
      <c r="G25" s="21">
        <f>(SUMIF($7:$7,F25,$8:$8)-SUMIF($7:$7,$F$24,$8:$8)+100)/100</f>
        <v>1</v>
      </c>
      <c r="H25" s="717"/>
      <c r="I25" s="21">
        <f>(SUMIF($9:$9,H25,$10:$10)-SUMIF($9:$9,$H$24,$10:$10)+100)/100</f>
        <v>1</v>
      </c>
      <c r="J25" s="717"/>
      <c r="K25" s="21">
        <f>(SUMIF($11:$11,J25,$12:$12)-SUMIF($11:$11,$J$24,$12:$12)+100)/100</f>
        <v>1</v>
      </c>
      <c r="L25" s="717"/>
      <c r="M25" s="21">
        <f>(SUMIF($13:$13,L25,$14:$14)-SUMIF($13:$13,$L$24,$14:$14)+100)/100</f>
        <v>1</v>
      </c>
      <c r="N25" s="717"/>
      <c r="O25" s="21">
        <f>(SUMIF($15:$15,N25,$16:$16)-SUMIF($15:$15,$N$24,$16:$16)+100)/100</f>
        <v>1</v>
      </c>
      <c r="P25" s="717"/>
      <c r="Q25" s="21">
        <f>(SUMIF($17:$17,P25,$18:$18)-SUMIF($17:$17,$P$24,$18:$18)+100)/100</f>
        <v>1</v>
      </c>
      <c r="R25" s="713">
        <f>IF(B25="",0,ROUND($R$24*C25*E25*G25*I25*K25*M25*O25*Q25,0))</f>
        <v>0</v>
      </c>
      <c r="S25" s="358">
        <f t="shared" si="11"/>
        <v>0</v>
      </c>
    </row>
    <row r="26" spans="1:45">
      <c r="A26" s="156"/>
      <c r="B26" s="56"/>
      <c r="C26" s="21">
        <f t="shared" ref="C26:C89" si="12">IF(B26="",1,(LOOKUP(B26,$3:$3,$4:$4)-LOOKUP($B$24,$3:$3,$4:$4)+100)/100)</f>
        <v>1</v>
      </c>
      <c r="D26" s="717"/>
      <c r="E26" s="21">
        <f t="shared" ref="E26:E89" si="13">(SUMIF($5:$5,D26,$6:$6)-SUMIF($5:$5,$D$24,$6:$6)+100)/100</f>
        <v>1</v>
      </c>
      <c r="F26" s="717"/>
      <c r="G26" s="21">
        <f t="shared" ref="G26:G89" si="14">(SUMIF($7:$7,F26,$8:$8)-SUMIF($7:$7,$F$24,$8:$8)+100)/100</f>
        <v>1</v>
      </c>
      <c r="H26" s="717"/>
      <c r="I26" s="21">
        <f t="shared" ref="I26:I89" si="15">(SUMIF($9:$9,H26,$10:$10)-SUMIF($9:$9,$H$24,$10:$10)+100)/100</f>
        <v>1</v>
      </c>
      <c r="J26" s="717"/>
      <c r="K26" s="21">
        <f t="shared" ref="K26:K89" si="16">(SUMIF($11:$11,J26,$12:$12)-SUMIF($11:$11,$J$24,$12:$12)+100)/100</f>
        <v>1</v>
      </c>
      <c r="L26" s="717"/>
      <c r="M26" s="21">
        <f t="shared" ref="M26:M89" si="17">(SUMIF($13:$13,L26,$14:$14)-SUMIF($13:$13,$L$24,$14:$14)+100)/100</f>
        <v>1</v>
      </c>
      <c r="N26" s="717"/>
      <c r="O26" s="21">
        <f t="shared" ref="O26:O89" si="18">(SUMIF($15:$15,N26,$16:$16)-SUMIF($15:$15,$N$24,$16:$16)+100)/100</f>
        <v>1</v>
      </c>
      <c r="P26" s="717"/>
      <c r="Q26" s="21">
        <f t="shared" ref="Q26:Q89" si="19">(SUMIF($17:$17,P26,$18:$18)-SUMIF($17:$17,$P$24,$18:$18)+100)/100</f>
        <v>1</v>
      </c>
      <c r="R26" s="713">
        <f t="shared" ref="R26:R89" si="20">IF(B26="",0,ROUND($R$24*C26*E26*G26*I26*K26*M26*O26*Q26,0))</f>
        <v>0</v>
      </c>
      <c r="S26" s="358">
        <f t="shared" si="11"/>
        <v>0</v>
      </c>
    </row>
    <row r="27" spans="1:45">
      <c r="A27" s="156"/>
      <c r="B27" s="56"/>
      <c r="C27" s="21">
        <f t="shared" si="12"/>
        <v>1</v>
      </c>
      <c r="D27" s="717"/>
      <c r="E27" s="21">
        <f t="shared" si="13"/>
        <v>1</v>
      </c>
      <c r="F27" s="717"/>
      <c r="G27" s="21">
        <f t="shared" si="14"/>
        <v>1</v>
      </c>
      <c r="H27" s="717"/>
      <c r="I27" s="21">
        <f t="shared" si="15"/>
        <v>1</v>
      </c>
      <c r="J27" s="717"/>
      <c r="K27" s="21">
        <f t="shared" si="16"/>
        <v>1</v>
      </c>
      <c r="L27" s="717"/>
      <c r="M27" s="21">
        <f t="shared" si="17"/>
        <v>1</v>
      </c>
      <c r="N27" s="717"/>
      <c r="O27" s="21">
        <f t="shared" si="18"/>
        <v>1</v>
      </c>
      <c r="P27" s="717"/>
      <c r="Q27" s="21">
        <f t="shared" si="19"/>
        <v>1</v>
      </c>
      <c r="R27" s="713">
        <f t="shared" si="20"/>
        <v>0</v>
      </c>
      <c r="S27" s="358">
        <f t="shared" si="11"/>
        <v>0</v>
      </c>
    </row>
    <row r="28" spans="1:45">
      <c r="A28" s="156"/>
      <c r="B28" s="56"/>
      <c r="C28" s="21">
        <f t="shared" si="12"/>
        <v>1</v>
      </c>
      <c r="D28" s="717"/>
      <c r="E28" s="21">
        <f t="shared" si="13"/>
        <v>1</v>
      </c>
      <c r="F28" s="717"/>
      <c r="G28" s="21">
        <f t="shared" si="14"/>
        <v>1</v>
      </c>
      <c r="H28" s="717"/>
      <c r="I28" s="21">
        <f t="shared" si="15"/>
        <v>1</v>
      </c>
      <c r="J28" s="717"/>
      <c r="K28" s="21">
        <f t="shared" si="16"/>
        <v>1</v>
      </c>
      <c r="L28" s="717"/>
      <c r="M28" s="21">
        <f t="shared" si="17"/>
        <v>1</v>
      </c>
      <c r="N28" s="717"/>
      <c r="O28" s="21">
        <f t="shared" si="18"/>
        <v>1</v>
      </c>
      <c r="P28" s="717"/>
      <c r="Q28" s="21">
        <f t="shared" si="19"/>
        <v>1</v>
      </c>
      <c r="R28" s="713">
        <f t="shared" si="20"/>
        <v>0</v>
      </c>
      <c r="S28" s="358">
        <f t="shared" si="11"/>
        <v>0</v>
      </c>
    </row>
    <row r="29" spans="1:45">
      <c r="A29" s="156"/>
      <c r="B29" s="56"/>
      <c r="C29" s="21">
        <f t="shared" si="12"/>
        <v>1</v>
      </c>
      <c r="D29" s="717"/>
      <c r="E29" s="21">
        <f t="shared" si="13"/>
        <v>1</v>
      </c>
      <c r="F29" s="717"/>
      <c r="G29" s="21">
        <f t="shared" si="14"/>
        <v>1</v>
      </c>
      <c r="H29" s="717"/>
      <c r="I29" s="21">
        <f t="shared" si="15"/>
        <v>1</v>
      </c>
      <c r="J29" s="717"/>
      <c r="K29" s="21">
        <f t="shared" si="16"/>
        <v>1</v>
      </c>
      <c r="L29" s="717"/>
      <c r="M29" s="21">
        <f t="shared" si="17"/>
        <v>1</v>
      </c>
      <c r="N29" s="717"/>
      <c r="O29" s="21">
        <f t="shared" si="18"/>
        <v>1</v>
      </c>
      <c r="P29" s="717"/>
      <c r="Q29" s="21">
        <f t="shared" si="19"/>
        <v>1</v>
      </c>
      <c r="R29" s="713">
        <f t="shared" si="20"/>
        <v>0</v>
      </c>
      <c r="S29" s="358">
        <f t="shared" si="11"/>
        <v>0</v>
      </c>
    </row>
    <row r="30" spans="1:45">
      <c r="A30" s="156"/>
      <c r="B30" s="56"/>
      <c r="C30" s="21">
        <f t="shared" si="12"/>
        <v>1</v>
      </c>
      <c r="D30" s="717"/>
      <c r="E30" s="21">
        <f t="shared" si="13"/>
        <v>1</v>
      </c>
      <c r="F30" s="717"/>
      <c r="G30" s="21">
        <f t="shared" si="14"/>
        <v>1</v>
      </c>
      <c r="H30" s="717"/>
      <c r="I30" s="21">
        <f t="shared" si="15"/>
        <v>1</v>
      </c>
      <c r="J30" s="717"/>
      <c r="K30" s="21">
        <f t="shared" si="16"/>
        <v>1</v>
      </c>
      <c r="L30" s="717"/>
      <c r="M30" s="21">
        <f t="shared" si="17"/>
        <v>1</v>
      </c>
      <c r="N30" s="717"/>
      <c r="O30" s="21">
        <f t="shared" si="18"/>
        <v>1</v>
      </c>
      <c r="P30" s="717"/>
      <c r="Q30" s="21">
        <f t="shared" si="19"/>
        <v>1</v>
      </c>
      <c r="R30" s="713">
        <f t="shared" si="20"/>
        <v>0</v>
      </c>
      <c r="S30" s="358">
        <f t="shared" si="11"/>
        <v>0</v>
      </c>
    </row>
    <row r="31" spans="1:45">
      <c r="A31" s="156"/>
      <c r="B31" s="56"/>
      <c r="C31" s="21">
        <f t="shared" si="12"/>
        <v>1</v>
      </c>
      <c r="D31" s="717"/>
      <c r="E31" s="21">
        <f t="shared" si="13"/>
        <v>1</v>
      </c>
      <c r="F31" s="717"/>
      <c r="G31" s="21">
        <f t="shared" si="14"/>
        <v>1</v>
      </c>
      <c r="H31" s="717"/>
      <c r="I31" s="21">
        <f t="shared" si="15"/>
        <v>1</v>
      </c>
      <c r="J31" s="717"/>
      <c r="K31" s="21">
        <f t="shared" si="16"/>
        <v>1</v>
      </c>
      <c r="L31" s="717"/>
      <c r="M31" s="21">
        <f t="shared" si="17"/>
        <v>1</v>
      </c>
      <c r="N31" s="717"/>
      <c r="O31" s="21">
        <f t="shared" si="18"/>
        <v>1</v>
      </c>
      <c r="P31" s="717"/>
      <c r="Q31" s="21">
        <f t="shared" si="19"/>
        <v>1</v>
      </c>
      <c r="R31" s="713">
        <f t="shared" si="20"/>
        <v>0</v>
      </c>
      <c r="S31" s="358">
        <f t="shared" si="11"/>
        <v>0</v>
      </c>
    </row>
    <row r="32" spans="1:45">
      <c r="A32" s="156"/>
      <c r="B32" s="56"/>
      <c r="C32" s="21">
        <f t="shared" si="12"/>
        <v>1</v>
      </c>
      <c r="D32" s="717"/>
      <c r="E32" s="21">
        <f t="shared" si="13"/>
        <v>1</v>
      </c>
      <c r="F32" s="717"/>
      <c r="G32" s="21">
        <f t="shared" si="14"/>
        <v>1</v>
      </c>
      <c r="H32" s="717"/>
      <c r="I32" s="21">
        <f t="shared" si="15"/>
        <v>1</v>
      </c>
      <c r="J32" s="717"/>
      <c r="K32" s="21">
        <f t="shared" si="16"/>
        <v>1</v>
      </c>
      <c r="L32" s="717"/>
      <c r="M32" s="21">
        <f t="shared" si="17"/>
        <v>1</v>
      </c>
      <c r="N32" s="717"/>
      <c r="O32" s="21">
        <f t="shared" si="18"/>
        <v>1</v>
      </c>
      <c r="P32" s="717"/>
      <c r="Q32" s="21">
        <f t="shared" si="19"/>
        <v>1</v>
      </c>
      <c r="R32" s="713">
        <f t="shared" si="20"/>
        <v>0</v>
      </c>
      <c r="S32" s="358">
        <f t="shared" si="11"/>
        <v>0</v>
      </c>
    </row>
    <row r="33" spans="1:19">
      <c r="A33" s="156"/>
      <c r="B33" s="56"/>
      <c r="C33" s="21">
        <f t="shared" si="12"/>
        <v>1</v>
      </c>
      <c r="D33" s="717"/>
      <c r="E33" s="21">
        <f t="shared" si="13"/>
        <v>1</v>
      </c>
      <c r="F33" s="717"/>
      <c r="G33" s="21">
        <f t="shared" si="14"/>
        <v>1</v>
      </c>
      <c r="H33" s="717"/>
      <c r="I33" s="21">
        <f t="shared" si="15"/>
        <v>1</v>
      </c>
      <c r="J33" s="717"/>
      <c r="K33" s="21">
        <f t="shared" si="16"/>
        <v>1</v>
      </c>
      <c r="L33" s="717"/>
      <c r="M33" s="21">
        <f t="shared" si="17"/>
        <v>1</v>
      </c>
      <c r="N33" s="717"/>
      <c r="O33" s="21">
        <f t="shared" si="18"/>
        <v>1</v>
      </c>
      <c r="P33" s="717"/>
      <c r="Q33" s="21">
        <f t="shared" si="19"/>
        <v>1</v>
      </c>
      <c r="R33" s="713">
        <f t="shared" si="20"/>
        <v>0</v>
      </c>
      <c r="S33" s="358">
        <f t="shared" si="11"/>
        <v>0</v>
      </c>
    </row>
    <row r="34" spans="1:19">
      <c r="A34" s="156"/>
      <c r="B34" s="56"/>
      <c r="C34" s="21">
        <f t="shared" si="12"/>
        <v>1</v>
      </c>
      <c r="D34" s="717"/>
      <c r="E34" s="21">
        <f t="shared" si="13"/>
        <v>1</v>
      </c>
      <c r="F34" s="717"/>
      <c r="G34" s="21">
        <f t="shared" si="14"/>
        <v>1</v>
      </c>
      <c r="H34" s="717"/>
      <c r="I34" s="21">
        <f t="shared" si="15"/>
        <v>1</v>
      </c>
      <c r="J34" s="717"/>
      <c r="K34" s="21">
        <f t="shared" si="16"/>
        <v>1</v>
      </c>
      <c r="L34" s="717"/>
      <c r="M34" s="21">
        <f t="shared" si="17"/>
        <v>1</v>
      </c>
      <c r="N34" s="717"/>
      <c r="O34" s="21">
        <f t="shared" si="18"/>
        <v>1</v>
      </c>
      <c r="P34" s="717"/>
      <c r="Q34" s="21">
        <f t="shared" si="19"/>
        <v>1</v>
      </c>
      <c r="R34" s="713">
        <f t="shared" si="20"/>
        <v>0</v>
      </c>
      <c r="S34" s="358">
        <f t="shared" si="11"/>
        <v>0</v>
      </c>
    </row>
    <row r="35" spans="1:19">
      <c r="A35" s="156"/>
      <c r="B35" s="56"/>
      <c r="C35" s="21">
        <f t="shared" si="12"/>
        <v>1</v>
      </c>
      <c r="D35" s="717"/>
      <c r="E35" s="21">
        <f t="shared" si="13"/>
        <v>1</v>
      </c>
      <c r="F35" s="717"/>
      <c r="G35" s="21">
        <f t="shared" si="14"/>
        <v>1</v>
      </c>
      <c r="H35" s="717"/>
      <c r="I35" s="21">
        <f t="shared" si="15"/>
        <v>1</v>
      </c>
      <c r="J35" s="717"/>
      <c r="K35" s="21">
        <f t="shared" si="16"/>
        <v>1</v>
      </c>
      <c r="L35" s="717"/>
      <c r="M35" s="21">
        <f t="shared" si="17"/>
        <v>1</v>
      </c>
      <c r="N35" s="717"/>
      <c r="O35" s="21">
        <f t="shared" si="18"/>
        <v>1</v>
      </c>
      <c r="P35" s="717"/>
      <c r="Q35" s="21">
        <f t="shared" si="19"/>
        <v>1</v>
      </c>
      <c r="R35" s="713">
        <f t="shared" si="20"/>
        <v>0</v>
      </c>
      <c r="S35" s="358">
        <f t="shared" si="11"/>
        <v>0</v>
      </c>
    </row>
    <row r="36" spans="1:19">
      <c r="A36" s="156"/>
      <c r="B36" s="56"/>
      <c r="C36" s="21">
        <f t="shared" si="12"/>
        <v>1</v>
      </c>
      <c r="D36" s="717"/>
      <c r="E36" s="21">
        <f t="shared" si="13"/>
        <v>1</v>
      </c>
      <c r="F36" s="717"/>
      <c r="G36" s="21">
        <f t="shared" si="14"/>
        <v>1</v>
      </c>
      <c r="H36" s="717"/>
      <c r="I36" s="21">
        <f t="shared" si="15"/>
        <v>1</v>
      </c>
      <c r="J36" s="717"/>
      <c r="K36" s="21">
        <f t="shared" si="16"/>
        <v>1</v>
      </c>
      <c r="L36" s="717"/>
      <c r="M36" s="21">
        <f t="shared" si="17"/>
        <v>1</v>
      </c>
      <c r="N36" s="717"/>
      <c r="O36" s="21">
        <f t="shared" si="18"/>
        <v>1</v>
      </c>
      <c r="P36" s="717"/>
      <c r="Q36" s="21">
        <f t="shared" si="19"/>
        <v>1</v>
      </c>
      <c r="R36" s="713">
        <f t="shared" si="20"/>
        <v>0</v>
      </c>
      <c r="S36" s="358">
        <f t="shared" si="11"/>
        <v>0</v>
      </c>
    </row>
    <row r="37" spans="1:19">
      <c r="A37" s="156"/>
      <c r="B37" s="56"/>
      <c r="C37" s="21">
        <f t="shared" si="12"/>
        <v>1</v>
      </c>
      <c r="D37" s="717"/>
      <c r="E37" s="21">
        <f t="shared" si="13"/>
        <v>1</v>
      </c>
      <c r="F37" s="717"/>
      <c r="G37" s="21">
        <f t="shared" si="14"/>
        <v>1</v>
      </c>
      <c r="H37" s="717"/>
      <c r="I37" s="21">
        <f t="shared" si="15"/>
        <v>1</v>
      </c>
      <c r="J37" s="717"/>
      <c r="K37" s="21">
        <f t="shared" si="16"/>
        <v>1</v>
      </c>
      <c r="L37" s="717"/>
      <c r="M37" s="21">
        <f t="shared" si="17"/>
        <v>1</v>
      </c>
      <c r="N37" s="717"/>
      <c r="O37" s="21">
        <f t="shared" si="18"/>
        <v>1</v>
      </c>
      <c r="P37" s="717"/>
      <c r="Q37" s="21">
        <f t="shared" si="19"/>
        <v>1</v>
      </c>
      <c r="R37" s="713">
        <f t="shared" si="20"/>
        <v>0</v>
      </c>
      <c r="S37" s="358">
        <f t="shared" si="11"/>
        <v>0</v>
      </c>
    </row>
    <row r="38" spans="1:19">
      <c r="A38" s="156"/>
      <c r="B38" s="56"/>
      <c r="C38" s="21">
        <f t="shared" si="12"/>
        <v>1</v>
      </c>
      <c r="D38" s="717"/>
      <c r="E38" s="21">
        <f t="shared" si="13"/>
        <v>1</v>
      </c>
      <c r="F38" s="717"/>
      <c r="G38" s="21">
        <f t="shared" si="14"/>
        <v>1</v>
      </c>
      <c r="H38" s="717"/>
      <c r="I38" s="21">
        <f t="shared" si="15"/>
        <v>1</v>
      </c>
      <c r="J38" s="717"/>
      <c r="K38" s="21">
        <f t="shared" si="16"/>
        <v>1</v>
      </c>
      <c r="L38" s="717"/>
      <c r="M38" s="21">
        <f t="shared" si="17"/>
        <v>1</v>
      </c>
      <c r="N38" s="717"/>
      <c r="O38" s="21">
        <f t="shared" si="18"/>
        <v>1</v>
      </c>
      <c r="P38" s="717"/>
      <c r="Q38" s="21">
        <f t="shared" si="19"/>
        <v>1</v>
      </c>
      <c r="R38" s="713">
        <f t="shared" si="20"/>
        <v>0</v>
      </c>
      <c r="S38" s="358">
        <f t="shared" si="11"/>
        <v>0</v>
      </c>
    </row>
    <row r="39" spans="1:19">
      <c r="A39" s="156"/>
      <c r="B39" s="56"/>
      <c r="C39" s="21">
        <f t="shared" si="12"/>
        <v>1</v>
      </c>
      <c r="D39" s="717"/>
      <c r="E39" s="21">
        <f t="shared" si="13"/>
        <v>1</v>
      </c>
      <c r="F39" s="717"/>
      <c r="G39" s="21">
        <f t="shared" si="14"/>
        <v>1</v>
      </c>
      <c r="H39" s="717"/>
      <c r="I39" s="21">
        <f t="shared" si="15"/>
        <v>1</v>
      </c>
      <c r="J39" s="717"/>
      <c r="K39" s="21">
        <f t="shared" si="16"/>
        <v>1</v>
      </c>
      <c r="L39" s="717"/>
      <c r="M39" s="21">
        <f t="shared" si="17"/>
        <v>1</v>
      </c>
      <c r="N39" s="717"/>
      <c r="O39" s="21">
        <f t="shared" si="18"/>
        <v>1</v>
      </c>
      <c r="P39" s="717"/>
      <c r="Q39" s="21">
        <f t="shared" si="19"/>
        <v>1</v>
      </c>
      <c r="R39" s="713">
        <f t="shared" si="20"/>
        <v>0</v>
      </c>
      <c r="S39" s="358">
        <f t="shared" si="11"/>
        <v>0</v>
      </c>
    </row>
    <row r="40" spans="1:19">
      <c r="A40" s="156"/>
      <c r="B40" s="56"/>
      <c r="C40" s="21">
        <f t="shared" si="12"/>
        <v>1</v>
      </c>
      <c r="D40" s="717"/>
      <c r="E40" s="21">
        <f t="shared" si="13"/>
        <v>1</v>
      </c>
      <c r="F40" s="717"/>
      <c r="G40" s="21">
        <f t="shared" si="14"/>
        <v>1</v>
      </c>
      <c r="H40" s="717"/>
      <c r="I40" s="21">
        <f t="shared" si="15"/>
        <v>1</v>
      </c>
      <c r="J40" s="717"/>
      <c r="K40" s="21">
        <f t="shared" si="16"/>
        <v>1</v>
      </c>
      <c r="L40" s="717"/>
      <c r="M40" s="21">
        <f t="shared" si="17"/>
        <v>1</v>
      </c>
      <c r="N40" s="717"/>
      <c r="O40" s="21">
        <f t="shared" si="18"/>
        <v>1</v>
      </c>
      <c r="P40" s="717"/>
      <c r="Q40" s="21">
        <f t="shared" si="19"/>
        <v>1</v>
      </c>
      <c r="R40" s="713">
        <f t="shared" si="20"/>
        <v>0</v>
      </c>
      <c r="S40" s="358">
        <f t="shared" si="11"/>
        <v>0</v>
      </c>
    </row>
    <row r="41" spans="1:19">
      <c r="A41" s="156"/>
      <c r="B41" s="56"/>
      <c r="C41" s="21">
        <f t="shared" si="12"/>
        <v>1</v>
      </c>
      <c r="D41" s="717"/>
      <c r="E41" s="21">
        <f t="shared" si="13"/>
        <v>1</v>
      </c>
      <c r="F41" s="717"/>
      <c r="G41" s="21">
        <f t="shared" si="14"/>
        <v>1</v>
      </c>
      <c r="H41" s="717"/>
      <c r="I41" s="21">
        <f t="shared" si="15"/>
        <v>1</v>
      </c>
      <c r="J41" s="717"/>
      <c r="K41" s="21">
        <f t="shared" si="16"/>
        <v>1</v>
      </c>
      <c r="L41" s="717"/>
      <c r="M41" s="21">
        <f t="shared" si="17"/>
        <v>1</v>
      </c>
      <c r="N41" s="717"/>
      <c r="O41" s="21">
        <f t="shared" si="18"/>
        <v>1</v>
      </c>
      <c r="P41" s="717"/>
      <c r="Q41" s="21">
        <f t="shared" si="19"/>
        <v>1</v>
      </c>
      <c r="R41" s="713">
        <f t="shared" si="20"/>
        <v>0</v>
      </c>
      <c r="S41" s="358">
        <f t="shared" si="11"/>
        <v>0</v>
      </c>
    </row>
    <row r="42" spans="1:19">
      <c r="A42" s="156"/>
      <c r="B42" s="56"/>
      <c r="C42" s="21">
        <f t="shared" si="12"/>
        <v>1</v>
      </c>
      <c r="D42" s="717"/>
      <c r="E42" s="21">
        <f t="shared" si="13"/>
        <v>1</v>
      </c>
      <c r="F42" s="717"/>
      <c r="G42" s="21">
        <f t="shared" si="14"/>
        <v>1</v>
      </c>
      <c r="H42" s="717"/>
      <c r="I42" s="21">
        <f t="shared" si="15"/>
        <v>1</v>
      </c>
      <c r="J42" s="717"/>
      <c r="K42" s="21">
        <f t="shared" si="16"/>
        <v>1</v>
      </c>
      <c r="L42" s="717"/>
      <c r="M42" s="21">
        <f t="shared" si="17"/>
        <v>1</v>
      </c>
      <c r="N42" s="717"/>
      <c r="O42" s="21">
        <f t="shared" si="18"/>
        <v>1</v>
      </c>
      <c r="P42" s="717"/>
      <c r="Q42" s="21">
        <f t="shared" si="19"/>
        <v>1</v>
      </c>
      <c r="R42" s="713">
        <f t="shared" si="20"/>
        <v>0</v>
      </c>
      <c r="S42" s="358">
        <f t="shared" si="11"/>
        <v>0</v>
      </c>
    </row>
    <row r="43" spans="1:19">
      <c r="A43" s="156"/>
      <c r="B43" s="56"/>
      <c r="C43" s="21">
        <f t="shared" si="12"/>
        <v>1</v>
      </c>
      <c r="D43" s="717"/>
      <c r="E43" s="21">
        <f t="shared" si="13"/>
        <v>1</v>
      </c>
      <c r="F43" s="717"/>
      <c r="G43" s="21">
        <f t="shared" si="14"/>
        <v>1</v>
      </c>
      <c r="H43" s="717"/>
      <c r="I43" s="21">
        <f t="shared" si="15"/>
        <v>1</v>
      </c>
      <c r="J43" s="717"/>
      <c r="K43" s="21">
        <f t="shared" si="16"/>
        <v>1</v>
      </c>
      <c r="L43" s="717"/>
      <c r="M43" s="21">
        <f t="shared" si="17"/>
        <v>1</v>
      </c>
      <c r="N43" s="717"/>
      <c r="O43" s="21">
        <f t="shared" si="18"/>
        <v>1</v>
      </c>
      <c r="P43" s="717"/>
      <c r="Q43" s="21">
        <f t="shared" si="19"/>
        <v>1</v>
      </c>
      <c r="R43" s="713">
        <f t="shared" si="20"/>
        <v>0</v>
      </c>
      <c r="S43" s="358">
        <f t="shared" si="11"/>
        <v>0</v>
      </c>
    </row>
    <row r="44" spans="1:19">
      <c r="A44" s="156"/>
      <c r="B44" s="56"/>
      <c r="C44" s="21">
        <f t="shared" si="12"/>
        <v>1</v>
      </c>
      <c r="D44" s="717"/>
      <c r="E44" s="21">
        <f t="shared" si="13"/>
        <v>1</v>
      </c>
      <c r="F44" s="717"/>
      <c r="G44" s="21">
        <f t="shared" si="14"/>
        <v>1</v>
      </c>
      <c r="H44" s="717"/>
      <c r="I44" s="21">
        <f t="shared" si="15"/>
        <v>1</v>
      </c>
      <c r="J44" s="717"/>
      <c r="K44" s="21">
        <f t="shared" si="16"/>
        <v>1</v>
      </c>
      <c r="L44" s="717"/>
      <c r="M44" s="21">
        <f t="shared" si="17"/>
        <v>1</v>
      </c>
      <c r="N44" s="717"/>
      <c r="O44" s="21">
        <f t="shared" si="18"/>
        <v>1</v>
      </c>
      <c r="P44" s="717"/>
      <c r="Q44" s="21">
        <f t="shared" si="19"/>
        <v>1</v>
      </c>
      <c r="R44" s="713">
        <f t="shared" si="20"/>
        <v>0</v>
      </c>
      <c r="S44" s="358">
        <f t="shared" si="11"/>
        <v>0</v>
      </c>
    </row>
    <row r="45" spans="1:19">
      <c r="A45" s="156"/>
      <c r="B45" s="56"/>
      <c r="C45" s="21">
        <f t="shared" si="12"/>
        <v>1</v>
      </c>
      <c r="D45" s="717"/>
      <c r="E45" s="21">
        <f t="shared" si="13"/>
        <v>1</v>
      </c>
      <c r="F45" s="717"/>
      <c r="G45" s="21">
        <f t="shared" si="14"/>
        <v>1</v>
      </c>
      <c r="H45" s="717"/>
      <c r="I45" s="21">
        <f t="shared" si="15"/>
        <v>1</v>
      </c>
      <c r="J45" s="717"/>
      <c r="K45" s="21">
        <f t="shared" si="16"/>
        <v>1</v>
      </c>
      <c r="L45" s="717"/>
      <c r="M45" s="21">
        <f t="shared" si="17"/>
        <v>1</v>
      </c>
      <c r="N45" s="717"/>
      <c r="O45" s="21">
        <f t="shared" si="18"/>
        <v>1</v>
      </c>
      <c r="P45" s="717"/>
      <c r="Q45" s="21">
        <f t="shared" si="19"/>
        <v>1</v>
      </c>
      <c r="R45" s="713">
        <f t="shared" si="20"/>
        <v>0</v>
      </c>
      <c r="S45" s="358">
        <f t="shared" si="11"/>
        <v>0</v>
      </c>
    </row>
    <row r="46" spans="1:19">
      <c r="A46" s="156"/>
      <c r="B46" s="56"/>
      <c r="C46" s="21">
        <f t="shared" si="12"/>
        <v>1</v>
      </c>
      <c r="D46" s="717"/>
      <c r="E46" s="21">
        <f t="shared" si="13"/>
        <v>1</v>
      </c>
      <c r="F46" s="717"/>
      <c r="G46" s="21">
        <f t="shared" si="14"/>
        <v>1</v>
      </c>
      <c r="H46" s="717"/>
      <c r="I46" s="21">
        <f t="shared" si="15"/>
        <v>1</v>
      </c>
      <c r="J46" s="717"/>
      <c r="K46" s="21">
        <f t="shared" si="16"/>
        <v>1</v>
      </c>
      <c r="L46" s="717"/>
      <c r="M46" s="21">
        <f t="shared" si="17"/>
        <v>1</v>
      </c>
      <c r="N46" s="717"/>
      <c r="O46" s="21">
        <f t="shared" si="18"/>
        <v>1</v>
      </c>
      <c r="P46" s="717"/>
      <c r="Q46" s="21">
        <f t="shared" si="19"/>
        <v>1</v>
      </c>
      <c r="R46" s="713">
        <f t="shared" si="20"/>
        <v>0</v>
      </c>
      <c r="S46" s="358">
        <f t="shared" si="11"/>
        <v>0</v>
      </c>
    </row>
    <row r="47" spans="1:19">
      <c r="A47" s="156"/>
      <c r="B47" s="56"/>
      <c r="C47" s="21">
        <f t="shared" si="12"/>
        <v>1</v>
      </c>
      <c r="D47" s="717"/>
      <c r="E47" s="21">
        <f t="shared" si="13"/>
        <v>1</v>
      </c>
      <c r="F47" s="717"/>
      <c r="G47" s="21">
        <f t="shared" si="14"/>
        <v>1</v>
      </c>
      <c r="H47" s="717"/>
      <c r="I47" s="21">
        <f t="shared" si="15"/>
        <v>1</v>
      </c>
      <c r="J47" s="717"/>
      <c r="K47" s="21">
        <f t="shared" si="16"/>
        <v>1</v>
      </c>
      <c r="L47" s="717"/>
      <c r="M47" s="21">
        <f t="shared" si="17"/>
        <v>1</v>
      </c>
      <c r="N47" s="717"/>
      <c r="O47" s="21">
        <f t="shared" si="18"/>
        <v>1</v>
      </c>
      <c r="P47" s="717"/>
      <c r="Q47" s="21">
        <f t="shared" si="19"/>
        <v>1</v>
      </c>
      <c r="R47" s="713">
        <f t="shared" si="20"/>
        <v>0</v>
      </c>
      <c r="S47" s="358">
        <f t="shared" si="11"/>
        <v>0</v>
      </c>
    </row>
    <row r="48" spans="1:19">
      <c r="A48" s="156"/>
      <c r="B48" s="56"/>
      <c r="C48" s="21">
        <f t="shared" si="12"/>
        <v>1</v>
      </c>
      <c r="D48" s="717"/>
      <c r="E48" s="21">
        <f t="shared" si="13"/>
        <v>1</v>
      </c>
      <c r="F48" s="717"/>
      <c r="G48" s="21">
        <f t="shared" si="14"/>
        <v>1</v>
      </c>
      <c r="H48" s="717"/>
      <c r="I48" s="21">
        <f t="shared" si="15"/>
        <v>1</v>
      </c>
      <c r="J48" s="717"/>
      <c r="K48" s="21">
        <f t="shared" si="16"/>
        <v>1</v>
      </c>
      <c r="L48" s="717"/>
      <c r="M48" s="21">
        <f t="shared" si="17"/>
        <v>1</v>
      </c>
      <c r="N48" s="717"/>
      <c r="O48" s="21">
        <f t="shared" si="18"/>
        <v>1</v>
      </c>
      <c r="P48" s="717"/>
      <c r="Q48" s="21">
        <f t="shared" si="19"/>
        <v>1</v>
      </c>
      <c r="R48" s="713">
        <f t="shared" si="20"/>
        <v>0</v>
      </c>
      <c r="S48" s="358">
        <f t="shared" si="11"/>
        <v>0</v>
      </c>
    </row>
    <row r="49" spans="1:19">
      <c r="A49" s="156"/>
      <c r="B49" s="56"/>
      <c r="C49" s="21">
        <f t="shared" si="12"/>
        <v>1</v>
      </c>
      <c r="D49" s="717"/>
      <c r="E49" s="21">
        <f t="shared" si="13"/>
        <v>1</v>
      </c>
      <c r="F49" s="717"/>
      <c r="G49" s="21">
        <f t="shared" si="14"/>
        <v>1</v>
      </c>
      <c r="H49" s="717"/>
      <c r="I49" s="21">
        <f t="shared" si="15"/>
        <v>1</v>
      </c>
      <c r="J49" s="717"/>
      <c r="K49" s="21">
        <f t="shared" si="16"/>
        <v>1</v>
      </c>
      <c r="L49" s="717"/>
      <c r="M49" s="21">
        <f t="shared" si="17"/>
        <v>1</v>
      </c>
      <c r="N49" s="717"/>
      <c r="O49" s="21">
        <f t="shared" si="18"/>
        <v>1</v>
      </c>
      <c r="P49" s="717"/>
      <c r="Q49" s="21">
        <f t="shared" si="19"/>
        <v>1</v>
      </c>
      <c r="R49" s="713">
        <f t="shared" si="20"/>
        <v>0</v>
      </c>
      <c r="S49" s="358">
        <f t="shared" si="11"/>
        <v>0</v>
      </c>
    </row>
    <row r="50" spans="1:19">
      <c r="A50" s="156"/>
      <c r="B50" s="56"/>
      <c r="C50" s="21">
        <f t="shared" si="12"/>
        <v>1</v>
      </c>
      <c r="D50" s="717"/>
      <c r="E50" s="21">
        <f t="shared" si="13"/>
        <v>1</v>
      </c>
      <c r="F50" s="717"/>
      <c r="G50" s="21">
        <f t="shared" si="14"/>
        <v>1</v>
      </c>
      <c r="H50" s="717"/>
      <c r="I50" s="21">
        <f t="shared" si="15"/>
        <v>1</v>
      </c>
      <c r="J50" s="717"/>
      <c r="K50" s="21">
        <f t="shared" si="16"/>
        <v>1</v>
      </c>
      <c r="L50" s="717"/>
      <c r="M50" s="21">
        <f t="shared" si="17"/>
        <v>1</v>
      </c>
      <c r="N50" s="717"/>
      <c r="O50" s="21">
        <f t="shared" si="18"/>
        <v>1</v>
      </c>
      <c r="P50" s="717"/>
      <c r="Q50" s="21">
        <f t="shared" si="19"/>
        <v>1</v>
      </c>
      <c r="R50" s="713">
        <f t="shared" si="20"/>
        <v>0</v>
      </c>
      <c r="S50" s="358">
        <f t="shared" si="11"/>
        <v>0</v>
      </c>
    </row>
    <row r="51" spans="1:19">
      <c r="A51" s="156"/>
      <c r="B51" s="56"/>
      <c r="C51" s="21">
        <f t="shared" si="12"/>
        <v>1</v>
      </c>
      <c r="D51" s="717"/>
      <c r="E51" s="21">
        <f t="shared" si="13"/>
        <v>1</v>
      </c>
      <c r="F51" s="717"/>
      <c r="G51" s="21">
        <f t="shared" si="14"/>
        <v>1</v>
      </c>
      <c r="H51" s="717"/>
      <c r="I51" s="21">
        <f t="shared" si="15"/>
        <v>1</v>
      </c>
      <c r="J51" s="717"/>
      <c r="K51" s="21">
        <f t="shared" si="16"/>
        <v>1</v>
      </c>
      <c r="L51" s="717"/>
      <c r="M51" s="21">
        <f t="shared" si="17"/>
        <v>1</v>
      </c>
      <c r="N51" s="717"/>
      <c r="O51" s="21">
        <f t="shared" si="18"/>
        <v>1</v>
      </c>
      <c r="P51" s="717"/>
      <c r="Q51" s="21">
        <f t="shared" si="19"/>
        <v>1</v>
      </c>
      <c r="R51" s="713">
        <f t="shared" si="20"/>
        <v>0</v>
      </c>
      <c r="S51" s="358">
        <f t="shared" si="11"/>
        <v>0</v>
      </c>
    </row>
    <row r="52" spans="1:19">
      <c r="A52" s="156"/>
      <c r="B52" s="56"/>
      <c r="C52" s="21">
        <f t="shared" si="12"/>
        <v>1</v>
      </c>
      <c r="D52" s="717"/>
      <c r="E52" s="21">
        <f t="shared" si="13"/>
        <v>1</v>
      </c>
      <c r="F52" s="717"/>
      <c r="G52" s="21">
        <f t="shared" si="14"/>
        <v>1</v>
      </c>
      <c r="H52" s="717"/>
      <c r="I52" s="21">
        <f t="shared" si="15"/>
        <v>1</v>
      </c>
      <c r="J52" s="717"/>
      <c r="K52" s="21">
        <f t="shared" si="16"/>
        <v>1</v>
      </c>
      <c r="L52" s="717"/>
      <c r="M52" s="21">
        <f t="shared" si="17"/>
        <v>1</v>
      </c>
      <c r="N52" s="717"/>
      <c r="O52" s="21">
        <f t="shared" si="18"/>
        <v>1</v>
      </c>
      <c r="P52" s="717"/>
      <c r="Q52" s="21">
        <f t="shared" si="19"/>
        <v>1</v>
      </c>
      <c r="R52" s="713">
        <f t="shared" si="20"/>
        <v>0</v>
      </c>
      <c r="S52" s="358">
        <f t="shared" si="11"/>
        <v>0</v>
      </c>
    </row>
    <row r="53" spans="1:19">
      <c r="A53" s="156"/>
      <c r="B53" s="56"/>
      <c r="C53" s="21">
        <f t="shared" si="12"/>
        <v>1</v>
      </c>
      <c r="D53" s="717"/>
      <c r="E53" s="21">
        <f t="shared" si="13"/>
        <v>1</v>
      </c>
      <c r="F53" s="717"/>
      <c r="G53" s="21">
        <f t="shared" si="14"/>
        <v>1</v>
      </c>
      <c r="H53" s="717"/>
      <c r="I53" s="21">
        <f t="shared" si="15"/>
        <v>1</v>
      </c>
      <c r="J53" s="717"/>
      <c r="K53" s="21">
        <f t="shared" si="16"/>
        <v>1</v>
      </c>
      <c r="L53" s="717"/>
      <c r="M53" s="21">
        <f t="shared" si="17"/>
        <v>1</v>
      </c>
      <c r="N53" s="717"/>
      <c r="O53" s="21">
        <f t="shared" si="18"/>
        <v>1</v>
      </c>
      <c r="P53" s="717"/>
      <c r="Q53" s="21">
        <f t="shared" si="19"/>
        <v>1</v>
      </c>
      <c r="R53" s="713">
        <f t="shared" si="20"/>
        <v>0</v>
      </c>
      <c r="S53" s="358">
        <f t="shared" si="11"/>
        <v>0</v>
      </c>
    </row>
    <row r="54" spans="1:19">
      <c r="A54" s="156"/>
      <c r="B54" s="56"/>
      <c r="C54" s="21">
        <f t="shared" si="12"/>
        <v>1</v>
      </c>
      <c r="D54" s="717"/>
      <c r="E54" s="21">
        <f t="shared" si="13"/>
        <v>1</v>
      </c>
      <c r="F54" s="717"/>
      <c r="G54" s="21">
        <f t="shared" si="14"/>
        <v>1</v>
      </c>
      <c r="H54" s="717"/>
      <c r="I54" s="21">
        <f t="shared" si="15"/>
        <v>1</v>
      </c>
      <c r="J54" s="717"/>
      <c r="K54" s="21">
        <f t="shared" si="16"/>
        <v>1</v>
      </c>
      <c r="L54" s="717"/>
      <c r="M54" s="21">
        <f t="shared" si="17"/>
        <v>1</v>
      </c>
      <c r="N54" s="717"/>
      <c r="O54" s="21">
        <f t="shared" si="18"/>
        <v>1</v>
      </c>
      <c r="P54" s="717"/>
      <c r="Q54" s="21">
        <f t="shared" si="19"/>
        <v>1</v>
      </c>
      <c r="R54" s="713">
        <f t="shared" si="20"/>
        <v>0</v>
      </c>
      <c r="S54" s="358">
        <f t="shared" si="11"/>
        <v>0</v>
      </c>
    </row>
    <row r="55" spans="1:19">
      <c r="A55" s="156"/>
      <c r="B55" s="56"/>
      <c r="C55" s="21">
        <f t="shared" si="12"/>
        <v>1</v>
      </c>
      <c r="D55" s="717"/>
      <c r="E55" s="21">
        <f t="shared" si="13"/>
        <v>1</v>
      </c>
      <c r="F55" s="717"/>
      <c r="G55" s="21">
        <f t="shared" si="14"/>
        <v>1</v>
      </c>
      <c r="H55" s="717"/>
      <c r="I55" s="21">
        <f t="shared" si="15"/>
        <v>1</v>
      </c>
      <c r="J55" s="717"/>
      <c r="K55" s="21">
        <f t="shared" si="16"/>
        <v>1</v>
      </c>
      <c r="L55" s="717"/>
      <c r="M55" s="21">
        <f t="shared" si="17"/>
        <v>1</v>
      </c>
      <c r="N55" s="717"/>
      <c r="O55" s="21">
        <f t="shared" si="18"/>
        <v>1</v>
      </c>
      <c r="P55" s="717"/>
      <c r="Q55" s="21">
        <f t="shared" si="19"/>
        <v>1</v>
      </c>
      <c r="R55" s="713">
        <f t="shared" si="20"/>
        <v>0</v>
      </c>
      <c r="S55" s="358">
        <f t="shared" ref="S55:S77" si="21">ROUND(R55*B55/10000,0)</f>
        <v>0</v>
      </c>
    </row>
    <row r="56" spans="1:19">
      <c r="A56" s="156"/>
      <c r="B56" s="56"/>
      <c r="C56" s="21">
        <f t="shared" si="12"/>
        <v>1</v>
      </c>
      <c r="D56" s="717"/>
      <c r="E56" s="21">
        <f t="shared" si="13"/>
        <v>1</v>
      </c>
      <c r="F56" s="717"/>
      <c r="G56" s="21">
        <f t="shared" si="14"/>
        <v>1</v>
      </c>
      <c r="H56" s="717"/>
      <c r="I56" s="21">
        <f t="shared" si="15"/>
        <v>1</v>
      </c>
      <c r="J56" s="717"/>
      <c r="K56" s="21">
        <f t="shared" si="16"/>
        <v>1</v>
      </c>
      <c r="L56" s="717"/>
      <c r="M56" s="21">
        <f t="shared" si="17"/>
        <v>1</v>
      </c>
      <c r="N56" s="717"/>
      <c r="O56" s="21">
        <f t="shared" si="18"/>
        <v>1</v>
      </c>
      <c r="P56" s="717"/>
      <c r="Q56" s="21">
        <f t="shared" si="19"/>
        <v>1</v>
      </c>
      <c r="R56" s="713">
        <f t="shared" si="20"/>
        <v>0</v>
      </c>
      <c r="S56" s="358">
        <f t="shared" si="21"/>
        <v>0</v>
      </c>
    </row>
    <row r="57" spans="1:19">
      <c r="A57" s="156"/>
      <c r="B57" s="56"/>
      <c r="C57" s="21">
        <f t="shared" si="12"/>
        <v>1</v>
      </c>
      <c r="D57" s="717"/>
      <c r="E57" s="21">
        <f t="shared" si="13"/>
        <v>1</v>
      </c>
      <c r="F57" s="717"/>
      <c r="G57" s="21">
        <f t="shared" si="14"/>
        <v>1</v>
      </c>
      <c r="H57" s="717"/>
      <c r="I57" s="21">
        <f t="shared" si="15"/>
        <v>1</v>
      </c>
      <c r="J57" s="717"/>
      <c r="K57" s="21">
        <f t="shared" si="16"/>
        <v>1</v>
      </c>
      <c r="L57" s="717"/>
      <c r="M57" s="21">
        <f t="shared" si="17"/>
        <v>1</v>
      </c>
      <c r="N57" s="717"/>
      <c r="O57" s="21">
        <f t="shared" si="18"/>
        <v>1</v>
      </c>
      <c r="P57" s="717"/>
      <c r="Q57" s="21">
        <f t="shared" si="19"/>
        <v>1</v>
      </c>
      <c r="R57" s="713">
        <f t="shared" si="20"/>
        <v>0</v>
      </c>
      <c r="S57" s="358">
        <f t="shared" si="21"/>
        <v>0</v>
      </c>
    </row>
    <row r="58" spans="1:19">
      <c r="A58" s="156"/>
      <c r="B58" s="56"/>
      <c r="C58" s="21">
        <f t="shared" si="12"/>
        <v>1</v>
      </c>
      <c r="D58" s="717"/>
      <c r="E58" s="21">
        <f t="shared" si="13"/>
        <v>1</v>
      </c>
      <c r="F58" s="717"/>
      <c r="G58" s="21">
        <f t="shared" si="14"/>
        <v>1</v>
      </c>
      <c r="H58" s="717"/>
      <c r="I58" s="21">
        <f t="shared" si="15"/>
        <v>1</v>
      </c>
      <c r="J58" s="717"/>
      <c r="K58" s="21">
        <f t="shared" si="16"/>
        <v>1</v>
      </c>
      <c r="L58" s="717"/>
      <c r="M58" s="21">
        <f t="shared" si="17"/>
        <v>1</v>
      </c>
      <c r="N58" s="717"/>
      <c r="O58" s="21">
        <f t="shared" si="18"/>
        <v>1</v>
      </c>
      <c r="P58" s="717"/>
      <c r="Q58" s="21">
        <f t="shared" si="19"/>
        <v>1</v>
      </c>
      <c r="R58" s="713">
        <f t="shared" si="20"/>
        <v>0</v>
      </c>
      <c r="S58" s="358">
        <f t="shared" si="21"/>
        <v>0</v>
      </c>
    </row>
    <row r="59" spans="1:19">
      <c r="A59" s="156"/>
      <c r="B59" s="56"/>
      <c r="C59" s="21">
        <f t="shared" si="12"/>
        <v>1</v>
      </c>
      <c r="D59" s="717"/>
      <c r="E59" s="21">
        <f t="shared" si="13"/>
        <v>1</v>
      </c>
      <c r="F59" s="717"/>
      <c r="G59" s="21">
        <f t="shared" si="14"/>
        <v>1</v>
      </c>
      <c r="H59" s="717"/>
      <c r="I59" s="21">
        <f t="shared" si="15"/>
        <v>1</v>
      </c>
      <c r="J59" s="717"/>
      <c r="K59" s="21">
        <f t="shared" si="16"/>
        <v>1</v>
      </c>
      <c r="L59" s="717"/>
      <c r="M59" s="21">
        <f t="shared" si="17"/>
        <v>1</v>
      </c>
      <c r="N59" s="717"/>
      <c r="O59" s="21">
        <f t="shared" si="18"/>
        <v>1</v>
      </c>
      <c r="P59" s="717"/>
      <c r="Q59" s="21">
        <f t="shared" si="19"/>
        <v>1</v>
      </c>
      <c r="R59" s="713">
        <f t="shared" si="20"/>
        <v>0</v>
      </c>
      <c r="S59" s="358">
        <f t="shared" si="21"/>
        <v>0</v>
      </c>
    </row>
    <row r="60" spans="1:19">
      <c r="A60" s="156"/>
      <c r="B60" s="56"/>
      <c r="C60" s="21">
        <f t="shared" si="12"/>
        <v>1</v>
      </c>
      <c r="D60" s="717"/>
      <c r="E60" s="21">
        <f t="shared" si="13"/>
        <v>1</v>
      </c>
      <c r="F60" s="717"/>
      <c r="G60" s="21">
        <f t="shared" si="14"/>
        <v>1</v>
      </c>
      <c r="H60" s="717"/>
      <c r="I60" s="21">
        <f t="shared" si="15"/>
        <v>1</v>
      </c>
      <c r="J60" s="717"/>
      <c r="K60" s="21">
        <f t="shared" si="16"/>
        <v>1</v>
      </c>
      <c r="L60" s="717"/>
      <c r="M60" s="21">
        <f t="shared" si="17"/>
        <v>1</v>
      </c>
      <c r="N60" s="717"/>
      <c r="O60" s="21">
        <f t="shared" si="18"/>
        <v>1</v>
      </c>
      <c r="P60" s="717"/>
      <c r="Q60" s="21">
        <f t="shared" si="19"/>
        <v>1</v>
      </c>
      <c r="R60" s="713">
        <f t="shared" si="20"/>
        <v>0</v>
      </c>
      <c r="S60" s="358">
        <f t="shared" si="21"/>
        <v>0</v>
      </c>
    </row>
    <row r="61" spans="1:19">
      <c r="A61" s="156"/>
      <c r="B61" s="56"/>
      <c r="C61" s="21">
        <f t="shared" si="12"/>
        <v>1</v>
      </c>
      <c r="D61" s="717"/>
      <c r="E61" s="21">
        <f t="shared" si="13"/>
        <v>1</v>
      </c>
      <c r="F61" s="717"/>
      <c r="G61" s="21">
        <f t="shared" si="14"/>
        <v>1</v>
      </c>
      <c r="H61" s="717"/>
      <c r="I61" s="21">
        <f t="shared" si="15"/>
        <v>1</v>
      </c>
      <c r="J61" s="717"/>
      <c r="K61" s="21">
        <f t="shared" si="16"/>
        <v>1</v>
      </c>
      <c r="L61" s="717"/>
      <c r="M61" s="21">
        <f t="shared" si="17"/>
        <v>1</v>
      </c>
      <c r="N61" s="717"/>
      <c r="O61" s="21">
        <f t="shared" si="18"/>
        <v>1</v>
      </c>
      <c r="P61" s="717"/>
      <c r="Q61" s="21">
        <f t="shared" si="19"/>
        <v>1</v>
      </c>
      <c r="R61" s="713">
        <f t="shared" si="20"/>
        <v>0</v>
      </c>
      <c r="S61" s="358">
        <f t="shared" si="21"/>
        <v>0</v>
      </c>
    </row>
    <row r="62" spans="1:19">
      <c r="A62" s="156"/>
      <c r="B62" s="56"/>
      <c r="C62" s="21">
        <f t="shared" si="12"/>
        <v>1</v>
      </c>
      <c r="D62" s="717"/>
      <c r="E62" s="21">
        <f t="shared" si="13"/>
        <v>1</v>
      </c>
      <c r="F62" s="717"/>
      <c r="G62" s="21">
        <f t="shared" si="14"/>
        <v>1</v>
      </c>
      <c r="H62" s="717"/>
      <c r="I62" s="21">
        <f t="shared" si="15"/>
        <v>1</v>
      </c>
      <c r="J62" s="717"/>
      <c r="K62" s="21">
        <f t="shared" si="16"/>
        <v>1</v>
      </c>
      <c r="L62" s="717"/>
      <c r="M62" s="21">
        <f t="shared" si="17"/>
        <v>1</v>
      </c>
      <c r="N62" s="717"/>
      <c r="O62" s="21">
        <f t="shared" si="18"/>
        <v>1</v>
      </c>
      <c r="P62" s="717"/>
      <c r="Q62" s="21">
        <f t="shared" si="19"/>
        <v>1</v>
      </c>
      <c r="R62" s="713">
        <f t="shared" si="20"/>
        <v>0</v>
      </c>
      <c r="S62" s="358">
        <f t="shared" si="21"/>
        <v>0</v>
      </c>
    </row>
    <row r="63" spans="1:19">
      <c r="A63" s="156"/>
      <c r="B63" s="56"/>
      <c r="C63" s="21">
        <f t="shared" si="12"/>
        <v>1</v>
      </c>
      <c r="D63" s="717"/>
      <c r="E63" s="21">
        <f t="shared" si="13"/>
        <v>1</v>
      </c>
      <c r="F63" s="717"/>
      <c r="G63" s="21">
        <f t="shared" si="14"/>
        <v>1</v>
      </c>
      <c r="H63" s="717"/>
      <c r="I63" s="21">
        <f t="shared" si="15"/>
        <v>1</v>
      </c>
      <c r="J63" s="717"/>
      <c r="K63" s="21">
        <f t="shared" si="16"/>
        <v>1</v>
      </c>
      <c r="L63" s="717"/>
      <c r="M63" s="21">
        <f t="shared" si="17"/>
        <v>1</v>
      </c>
      <c r="N63" s="717"/>
      <c r="O63" s="21">
        <f t="shared" si="18"/>
        <v>1</v>
      </c>
      <c r="P63" s="717"/>
      <c r="Q63" s="21">
        <f t="shared" si="19"/>
        <v>1</v>
      </c>
      <c r="R63" s="713">
        <f t="shared" si="20"/>
        <v>0</v>
      </c>
      <c r="S63" s="358">
        <f t="shared" si="21"/>
        <v>0</v>
      </c>
    </row>
    <row r="64" spans="1:19">
      <c r="A64" s="156"/>
      <c r="B64" s="56"/>
      <c r="C64" s="21">
        <f t="shared" si="12"/>
        <v>1</v>
      </c>
      <c r="D64" s="717"/>
      <c r="E64" s="21">
        <f t="shared" si="13"/>
        <v>1</v>
      </c>
      <c r="F64" s="717"/>
      <c r="G64" s="21">
        <f t="shared" si="14"/>
        <v>1</v>
      </c>
      <c r="H64" s="717"/>
      <c r="I64" s="21">
        <f t="shared" si="15"/>
        <v>1</v>
      </c>
      <c r="J64" s="717"/>
      <c r="K64" s="21">
        <f t="shared" si="16"/>
        <v>1</v>
      </c>
      <c r="L64" s="717"/>
      <c r="M64" s="21">
        <f t="shared" si="17"/>
        <v>1</v>
      </c>
      <c r="N64" s="717"/>
      <c r="O64" s="21">
        <f t="shared" si="18"/>
        <v>1</v>
      </c>
      <c r="P64" s="717"/>
      <c r="Q64" s="21">
        <f t="shared" si="19"/>
        <v>1</v>
      </c>
      <c r="R64" s="713">
        <f t="shared" si="20"/>
        <v>0</v>
      </c>
      <c r="S64" s="358">
        <f t="shared" si="21"/>
        <v>0</v>
      </c>
    </row>
    <row r="65" spans="1:19">
      <c r="A65" s="156"/>
      <c r="B65" s="56"/>
      <c r="C65" s="21">
        <f t="shared" si="12"/>
        <v>1</v>
      </c>
      <c r="D65" s="717"/>
      <c r="E65" s="21">
        <f t="shared" si="13"/>
        <v>1</v>
      </c>
      <c r="F65" s="717"/>
      <c r="G65" s="21">
        <f t="shared" si="14"/>
        <v>1</v>
      </c>
      <c r="H65" s="717"/>
      <c r="I65" s="21">
        <f t="shared" si="15"/>
        <v>1</v>
      </c>
      <c r="J65" s="717"/>
      <c r="K65" s="21">
        <f t="shared" si="16"/>
        <v>1</v>
      </c>
      <c r="L65" s="717"/>
      <c r="M65" s="21">
        <f t="shared" si="17"/>
        <v>1</v>
      </c>
      <c r="N65" s="717"/>
      <c r="O65" s="21">
        <f t="shared" si="18"/>
        <v>1</v>
      </c>
      <c r="P65" s="717"/>
      <c r="Q65" s="21">
        <f t="shared" si="19"/>
        <v>1</v>
      </c>
      <c r="R65" s="713">
        <f t="shared" si="20"/>
        <v>0</v>
      </c>
      <c r="S65" s="358">
        <f t="shared" si="21"/>
        <v>0</v>
      </c>
    </row>
    <row r="66" spans="1:19">
      <c r="A66" s="156"/>
      <c r="B66" s="56"/>
      <c r="C66" s="21">
        <f t="shared" si="12"/>
        <v>1</v>
      </c>
      <c r="D66" s="717"/>
      <c r="E66" s="21">
        <f t="shared" si="13"/>
        <v>1</v>
      </c>
      <c r="F66" s="717"/>
      <c r="G66" s="21">
        <f t="shared" si="14"/>
        <v>1</v>
      </c>
      <c r="H66" s="717"/>
      <c r="I66" s="21">
        <f t="shared" si="15"/>
        <v>1</v>
      </c>
      <c r="J66" s="717"/>
      <c r="K66" s="21">
        <f t="shared" si="16"/>
        <v>1</v>
      </c>
      <c r="L66" s="717"/>
      <c r="M66" s="21">
        <f t="shared" si="17"/>
        <v>1</v>
      </c>
      <c r="N66" s="717"/>
      <c r="O66" s="21">
        <f t="shared" si="18"/>
        <v>1</v>
      </c>
      <c r="P66" s="717"/>
      <c r="Q66" s="21">
        <f t="shared" si="19"/>
        <v>1</v>
      </c>
      <c r="R66" s="713">
        <f t="shared" si="20"/>
        <v>0</v>
      </c>
      <c r="S66" s="358">
        <f t="shared" si="21"/>
        <v>0</v>
      </c>
    </row>
    <row r="67" spans="1:19">
      <c r="A67" s="156"/>
      <c r="B67" s="56"/>
      <c r="C67" s="21">
        <f t="shared" si="12"/>
        <v>1</v>
      </c>
      <c r="D67" s="717"/>
      <c r="E67" s="21">
        <f t="shared" si="13"/>
        <v>1</v>
      </c>
      <c r="F67" s="717"/>
      <c r="G67" s="21">
        <f t="shared" si="14"/>
        <v>1</v>
      </c>
      <c r="H67" s="717"/>
      <c r="I67" s="21">
        <f t="shared" si="15"/>
        <v>1</v>
      </c>
      <c r="J67" s="717"/>
      <c r="K67" s="21">
        <f t="shared" si="16"/>
        <v>1</v>
      </c>
      <c r="L67" s="717"/>
      <c r="M67" s="21">
        <f t="shared" si="17"/>
        <v>1</v>
      </c>
      <c r="N67" s="717"/>
      <c r="O67" s="21">
        <f t="shared" si="18"/>
        <v>1</v>
      </c>
      <c r="P67" s="717"/>
      <c r="Q67" s="21">
        <f t="shared" si="19"/>
        <v>1</v>
      </c>
      <c r="R67" s="713">
        <f t="shared" si="20"/>
        <v>0</v>
      </c>
      <c r="S67" s="358">
        <f t="shared" si="21"/>
        <v>0</v>
      </c>
    </row>
    <row r="68" spans="1:19">
      <c r="A68" s="156"/>
      <c r="B68" s="56"/>
      <c r="C68" s="21">
        <f t="shared" si="12"/>
        <v>1</v>
      </c>
      <c r="D68" s="717"/>
      <c r="E68" s="21">
        <f t="shared" si="13"/>
        <v>1</v>
      </c>
      <c r="F68" s="717"/>
      <c r="G68" s="21">
        <f t="shared" si="14"/>
        <v>1</v>
      </c>
      <c r="H68" s="717"/>
      <c r="I68" s="21">
        <f t="shared" si="15"/>
        <v>1</v>
      </c>
      <c r="J68" s="717"/>
      <c r="K68" s="21">
        <f t="shared" si="16"/>
        <v>1</v>
      </c>
      <c r="L68" s="717"/>
      <c r="M68" s="21">
        <f t="shared" si="17"/>
        <v>1</v>
      </c>
      <c r="N68" s="717"/>
      <c r="O68" s="21">
        <f t="shared" si="18"/>
        <v>1</v>
      </c>
      <c r="P68" s="717"/>
      <c r="Q68" s="21">
        <f t="shared" si="19"/>
        <v>1</v>
      </c>
      <c r="R68" s="713">
        <f t="shared" si="20"/>
        <v>0</v>
      </c>
      <c r="S68" s="358">
        <f t="shared" si="21"/>
        <v>0</v>
      </c>
    </row>
    <row r="69" spans="1:19">
      <c r="A69" s="156"/>
      <c r="B69" s="56"/>
      <c r="C69" s="21">
        <f t="shared" si="12"/>
        <v>1</v>
      </c>
      <c r="D69" s="717"/>
      <c r="E69" s="21">
        <f t="shared" si="13"/>
        <v>1</v>
      </c>
      <c r="F69" s="717"/>
      <c r="G69" s="21">
        <f t="shared" si="14"/>
        <v>1</v>
      </c>
      <c r="H69" s="717"/>
      <c r="I69" s="21">
        <f t="shared" si="15"/>
        <v>1</v>
      </c>
      <c r="J69" s="717"/>
      <c r="K69" s="21">
        <f t="shared" si="16"/>
        <v>1</v>
      </c>
      <c r="L69" s="717"/>
      <c r="M69" s="21">
        <f t="shared" si="17"/>
        <v>1</v>
      </c>
      <c r="N69" s="717"/>
      <c r="O69" s="21">
        <f t="shared" si="18"/>
        <v>1</v>
      </c>
      <c r="P69" s="717"/>
      <c r="Q69" s="21">
        <f t="shared" si="19"/>
        <v>1</v>
      </c>
      <c r="R69" s="713">
        <f t="shared" si="20"/>
        <v>0</v>
      </c>
      <c r="S69" s="358">
        <f t="shared" si="21"/>
        <v>0</v>
      </c>
    </row>
    <row r="70" spans="1:19">
      <c r="A70" s="156"/>
      <c r="B70" s="56"/>
      <c r="C70" s="21">
        <f t="shared" si="12"/>
        <v>1</v>
      </c>
      <c r="D70" s="717"/>
      <c r="E70" s="21">
        <f t="shared" si="13"/>
        <v>1</v>
      </c>
      <c r="F70" s="717"/>
      <c r="G70" s="21">
        <f t="shared" si="14"/>
        <v>1</v>
      </c>
      <c r="H70" s="717"/>
      <c r="I70" s="21">
        <f t="shared" si="15"/>
        <v>1</v>
      </c>
      <c r="J70" s="717"/>
      <c r="K70" s="21">
        <f t="shared" si="16"/>
        <v>1</v>
      </c>
      <c r="L70" s="717"/>
      <c r="M70" s="21">
        <f t="shared" si="17"/>
        <v>1</v>
      </c>
      <c r="N70" s="717"/>
      <c r="O70" s="21">
        <f t="shared" si="18"/>
        <v>1</v>
      </c>
      <c r="P70" s="717"/>
      <c r="Q70" s="21">
        <f t="shared" si="19"/>
        <v>1</v>
      </c>
      <c r="R70" s="713">
        <f t="shared" si="20"/>
        <v>0</v>
      </c>
      <c r="S70" s="358">
        <f t="shared" si="21"/>
        <v>0</v>
      </c>
    </row>
    <row r="71" spans="1:19">
      <c r="A71" s="156"/>
      <c r="B71" s="56"/>
      <c r="C71" s="21">
        <f t="shared" si="12"/>
        <v>1</v>
      </c>
      <c r="D71" s="717"/>
      <c r="E71" s="21">
        <f t="shared" si="13"/>
        <v>1</v>
      </c>
      <c r="F71" s="717"/>
      <c r="G71" s="21">
        <f t="shared" si="14"/>
        <v>1</v>
      </c>
      <c r="H71" s="717"/>
      <c r="I71" s="21">
        <f t="shared" si="15"/>
        <v>1</v>
      </c>
      <c r="J71" s="717"/>
      <c r="K71" s="21">
        <f t="shared" si="16"/>
        <v>1</v>
      </c>
      <c r="L71" s="717"/>
      <c r="M71" s="21">
        <f t="shared" si="17"/>
        <v>1</v>
      </c>
      <c r="N71" s="717"/>
      <c r="O71" s="21">
        <f t="shared" si="18"/>
        <v>1</v>
      </c>
      <c r="P71" s="717"/>
      <c r="Q71" s="21">
        <f t="shared" si="19"/>
        <v>1</v>
      </c>
      <c r="R71" s="713">
        <f t="shared" si="20"/>
        <v>0</v>
      </c>
      <c r="S71" s="358">
        <f t="shared" si="21"/>
        <v>0</v>
      </c>
    </row>
    <row r="72" spans="1:19">
      <c r="A72" s="156"/>
      <c r="B72" s="56"/>
      <c r="C72" s="21">
        <f t="shared" si="12"/>
        <v>1</v>
      </c>
      <c r="D72" s="717"/>
      <c r="E72" s="21">
        <f t="shared" si="13"/>
        <v>1</v>
      </c>
      <c r="F72" s="717"/>
      <c r="G72" s="21">
        <f t="shared" si="14"/>
        <v>1</v>
      </c>
      <c r="H72" s="717"/>
      <c r="I72" s="21">
        <f t="shared" si="15"/>
        <v>1</v>
      </c>
      <c r="J72" s="717"/>
      <c r="K72" s="21">
        <f t="shared" si="16"/>
        <v>1</v>
      </c>
      <c r="L72" s="717"/>
      <c r="M72" s="21">
        <f t="shared" si="17"/>
        <v>1</v>
      </c>
      <c r="N72" s="717"/>
      <c r="O72" s="21">
        <f t="shared" si="18"/>
        <v>1</v>
      </c>
      <c r="P72" s="717"/>
      <c r="Q72" s="21">
        <f t="shared" si="19"/>
        <v>1</v>
      </c>
      <c r="R72" s="713">
        <f t="shared" si="20"/>
        <v>0</v>
      </c>
      <c r="S72" s="358">
        <f t="shared" si="21"/>
        <v>0</v>
      </c>
    </row>
    <row r="73" spans="1:19">
      <c r="A73" s="156"/>
      <c r="B73" s="56"/>
      <c r="C73" s="21">
        <f t="shared" si="12"/>
        <v>1</v>
      </c>
      <c r="D73" s="717"/>
      <c r="E73" s="21">
        <f t="shared" si="13"/>
        <v>1</v>
      </c>
      <c r="F73" s="717"/>
      <c r="G73" s="21">
        <f t="shared" si="14"/>
        <v>1</v>
      </c>
      <c r="H73" s="717"/>
      <c r="I73" s="21">
        <f t="shared" si="15"/>
        <v>1</v>
      </c>
      <c r="J73" s="717"/>
      <c r="K73" s="21">
        <f t="shared" si="16"/>
        <v>1</v>
      </c>
      <c r="L73" s="717"/>
      <c r="M73" s="21">
        <f t="shared" si="17"/>
        <v>1</v>
      </c>
      <c r="N73" s="717"/>
      <c r="O73" s="21">
        <f t="shared" si="18"/>
        <v>1</v>
      </c>
      <c r="P73" s="717"/>
      <c r="Q73" s="21">
        <f t="shared" si="19"/>
        <v>1</v>
      </c>
      <c r="R73" s="713">
        <f t="shared" si="20"/>
        <v>0</v>
      </c>
      <c r="S73" s="358">
        <f t="shared" si="21"/>
        <v>0</v>
      </c>
    </row>
    <row r="74" spans="1:19">
      <c r="A74" s="156"/>
      <c r="B74" s="56"/>
      <c r="C74" s="21">
        <f t="shared" si="12"/>
        <v>1</v>
      </c>
      <c r="D74" s="717"/>
      <c r="E74" s="21">
        <f t="shared" si="13"/>
        <v>1</v>
      </c>
      <c r="F74" s="717"/>
      <c r="G74" s="21">
        <f t="shared" si="14"/>
        <v>1</v>
      </c>
      <c r="H74" s="717"/>
      <c r="I74" s="21">
        <f t="shared" si="15"/>
        <v>1</v>
      </c>
      <c r="J74" s="717"/>
      <c r="K74" s="21">
        <f t="shared" si="16"/>
        <v>1</v>
      </c>
      <c r="L74" s="717"/>
      <c r="M74" s="21">
        <f t="shared" si="17"/>
        <v>1</v>
      </c>
      <c r="N74" s="717"/>
      <c r="O74" s="21">
        <f t="shared" si="18"/>
        <v>1</v>
      </c>
      <c r="P74" s="717"/>
      <c r="Q74" s="21">
        <f t="shared" si="19"/>
        <v>1</v>
      </c>
      <c r="R74" s="713">
        <f t="shared" si="20"/>
        <v>0</v>
      </c>
      <c r="S74" s="358">
        <f t="shared" si="21"/>
        <v>0</v>
      </c>
    </row>
    <row r="75" spans="1:19">
      <c r="A75" s="156"/>
      <c r="B75" s="56"/>
      <c r="C75" s="21">
        <f t="shared" si="12"/>
        <v>1</v>
      </c>
      <c r="D75" s="717"/>
      <c r="E75" s="21">
        <f t="shared" si="13"/>
        <v>1</v>
      </c>
      <c r="F75" s="717"/>
      <c r="G75" s="21">
        <f t="shared" si="14"/>
        <v>1</v>
      </c>
      <c r="H75" s="717"/>
      <c r="I75" s="21">
        <f t="shared" si="15"/>
        <v>1</v>
      </c>
      <c r="J75" s="717"/>
      <c r="K75" s="21">
        <f t="shared" si="16"/>
        <v>1</v>
      </c>
      <c r="L75" s="717"/>
      <c r="M75" s="21">
        <f t="shared" si="17"/>
        <v>1</v>
      </c>
      <c r="N75" s="717"/>
      <c r="O75" s="21">
        <f t="shared" si="18"/>
        <v>1</v>
      </c>
      <c r="P75" s="717"/>
      <c r="Q75" s="21">
        <f t="shared" si="19"/>
        <v>1</v>
      </c>
      <c r="R75" s="713">
        <f t="shared" si="20"/>
        <v>0</v>
      </c>
      <c r="S75" s="358">
        <f t="shared" si="21"/>
        <v>0</v>
      </c>
    </row>
    <row r="76" spans="1:19">
      <c r="A76" s="156"/>
      <c r="B76" s="56"/>
      <c r="C76" s="21">
        <f t="shared" si="12"/>
        <v>1</v>
      </c>
      <c r="D76" s="717"/>
      <c r="E76" s="21">
        <f t="shared" si="13"/>
        <v>1</v>
      </c>
      <c r="F76" s="717"/>
      <c r="G76" s="21">
        <f t="shared" si="14"/>
        <v>1</v>
      </c>
      <c r="H76" s="717"/>
      <c r="I76" s="21">
        <f t="shared" si="15"/>
        <v>1</v>
      </c>
      <c r="J76" s="717"/>
      <c r="K76" s="21">
        <f t="shared" si="16"/>
        <v>1</v>
      </c>
      <c r="L76" s="717"/>
      <c r="M76" s="21">
        <f t="shared" si="17"/>
        <v>1</v>
      </c>
      <c r="N76" s="717"/>
      <c r="O76" s="21">
        <f t="shared" si="18"/>
        <v>1</v>
      </c>
      <c r="P76" s="717"/>
      <c r="Q76" s="21">
        <f t="shared" si="19"/>
        <v>1</v>
      </c>
      <c r="R76" s="713">
        <f t="shared" si="20"/>
        <v>0</v>
      </c>
      <c r="S76" s="358">
        <f t="shared" si="21"/>
        <v>0</v>
      </c>
    </row>
    <row r="77" spans="1:19">
      <c r="A77" s="156"/>
      <c r="B77" s="56"/>
      <c r="C77" s="21">
        <f t="shared" si="12"/>
        <v>1</v>
      </c>
      <c r="D77" s="717"/>
      <c r="E77" s="21">
        <f t="shared" si="13"/>
        <v>1</v>
      </c>
      <c r="F77" s="717"/>
      <c r="G77" s="21">
        <f t="shared" si="14"/>
        <v>1</v>
      </c>
      <c r="H77" s="717"/>
      <c r="I77" s="21">
        <f t="shared" si="15"/>
        <v>1</v>
      </c>
      <c r="J77" s="717"/>
      <c r="K77" s="21">
        <f t="shared" si="16"/>
        <v>1</v>
      </c>
      <c r="L77" s="717"/>
      <c r="M77" s="21">
        <f t="shared" si="17"/>
        <v>1</v>
      </c>
      <c r="N77" s="717"/>
      <c r="O77" s="21">
        <f t="shared" si="18"/>
        <v>1</v>
      </c>
      <c r="P77" s="717"/>
      <c r="Q77" s="21">
        <f t="shared" si="19"/>
        <v>1</v>
      </c>
      <c r="R77" s="713">
        <f t="shared" si="20"/>
        <v>0</v>
      </c>
      <c r="S77" s="358">
        <f t="shared" si="21"/>
        <v>0</v>
      </c>
    </row>
    <row r="78" spans="1:19">
      <c r="A78" s="156"/>
      <c r="B78" s="56"/>
      <c r="C78" s="21">
        <f t="shared" si="12"/>
        <v>1</v>
      </c>
      <c r="D78" s="717"/>
      <c r="E78" s="21">
        <f t="shared" si="13"/>
        <v>1</v>
      </c>
      <c r="F78" s="717"/>
      <c r="G78" s="21">
        <f t="shared" si="14"/>
        <v>1</v>
      </c>
      <c r="H78" s="717"/>
      <c r="I78" s="21">
        <f t="shared" si="15"/>
        <v>1</v>
      </c>
      <c r="J78" s="717"/>
      <c r="K78" s="21">
        <f t="shared" si="16"/>
        <v>1</v>
      </c>
      <c r="L78" s="717"/>
      <c r="M78" s="21">
        <f t="shared" si="17"/>
        <v>1</v>
      </c>
      <c r="N78" s="717"/>
      <c r="O78" s="21">
        <f t="shared" si="18"/>
        <v>1</v>
      </c>
      <c r="P78" s="717"/>
      <c r="Q78" s="21">
        <f t="shared" si="19"/>
        <v>1</v>
      </c>
      <c r="R78" s="713">
        <f t="shared" si="20"/>
        <v>0</v>
      </c>
      <c r="S78" s="358">
        <f t="shared" ref="S78:S122" si="22">ROUND(R78*B78/10000,0)</f>
        <v>0</v>
      </c>
    </row>
    <row r="79" spans="1:19">
      <c r="A79" s="156"/>
      <c r="B79" s="56"/>
      <c r="C79" s="21">
        <f t="shared" si="12"/>
        <v>1</v>
      </c>
      <c r="D79" s="717"/>
      <c r="E79" s="21">
        <f t="shared" si="13"/>
        <v>1</v>
      </c>
      <c r="F79" s="717"/>
      <c r="G79" s="21">
        <f t="shared" si="14"/>
        <v>1</v>
      </c>
      <c r="H79" s="717"/>
      <c r="I79" s="21">
        <f t="shared" si="15"/>
        <v>1</v>
      </c>
      <c r="J79" s="717"/>
      <c r="K79" s="21">
        <f t="shared" si="16"/>
        <v>1</v>
      </c>
      <c r="L79" s="717"/>
      <c r="M79" s="21">
        <f t="shared" si="17"/>
        <v>1</v>
      </c>
      <c r="N79" s="717"/>
      <c r="O79" s="21">
        <f t="shared" si="18"/>
        <v>1</v>
      </c>
      <c r="P79" s="717"/>
      <c r="Q79" s="21">
        <f t="shared" si="19"/>
        <v>1</v>
      </c>
      <c r="R79" s="713">
        <f t="shared" si="20"/>
        <v>0</v>
      </c>
      <c r="S79" s="358">
        <f t="shared" si="22"/>
        <v>0</v>
      </c>
    </row>
    <row r="80" spans="1:19">
      <c r="A80" s="156"/>
      <c r="B80" s="56"/>
      <c r="C80" s="21">
        <f t="shared" si="12"/>
        <v>1</v>
      </c>
      <c r="D80" s="717"/>
      <c r="E80" s="21">
        <f t="shared" si="13"/>
        <v>1</v>
      </c>
      <c r="F80" s="717"/>
      <c r="G80" s="21">
        <f t="shared" si="14"/>
        <v>1</v>
      </c>
      <c r="H80" s="717"/>
      <c r="I80" s="21">
        <f t="shared" si="15"/>
        <v>1</v>
      </c>
      <c r="J80" s="717"/>
      <c r="K80" s="21">
        <f t="shared" si="16"/>
        <v>1</v>
      </c>
      <c r="L80" s="717"/>
      <c r="M80" s="21">
        <f t="shared" si="17"/>
        <v>1</v>
      </c>
      <c r="N80" s="717"/>
      <c r="O80" s="21">
        <f t="shared" si="18"/>
        <v>1</v>
      </c>
      <c r="P80" s="717"/>
      <c r="Q80" s="21">
        <f t="shared" si="19"/>
        <v>1</v>
      </c>
      <c r="R80" s="713">
        <f t="shared" si="20"/>
        <v>0</v>
      </c>
      <c r="S80" s="358">
        <f t="shared" si="22"/>
        <v>0</v>
      </c>
    </row>
    <row r="81" spans="1:19">
      <c r="A81" s="156"/>
      <c r="B81" s="56"/>
      <c r="C81" s="21">
        <f t="shared" si="12"/>
        <v>1</v>
      </c>
      <c r="D81" s="717"/>
      <c r="E81" s="21">
        <f t="shared" si="13"/>
        <v>1</v>
      </c>
      <c r="F81" s="717"/>
      <c r="G81" s="21">
        <f t="shared" si="14"/>
        <v>1</v>
      </c>
      <c r="H81" s="717"/>
      <c r="I81" s="21">
        <f t="shared" si="15"/>
        <v>1</v>
      </c>
      <c r="J81" s="717"/>
      <c r="K81" s="21">
        <f t="shared" si="16"/>
        <v>1</v>
      </c>
      <c r="L81" s="717"/>
      <c r="M81" s="21">
        <f t="shared" si="17"/>
        <v>1</v>
      </c>
      <c r="N81" s="717"/>
      <c r="O81" s="21">
        <f t="shared" si="18"/>
        <v>1</v>
      </c>
      <c r="P81" s="717"/>
      <c r="Q81" s="21">
        <f t="shared" si="19"/>
        <v>1</v>
      </c>
      <c r="R81" s="713">
        <f t="shared" si="20"/>
        <v>0</v>
      </c>
      <c r="S81" s="358">
        <f t="shared" si="22"/>
        <v>0</v>
      </c>
    </row>
    <row r="82" spans="1:19">
      <c r="A82" s="156"/>
      <c r="B82" s="56"/>
      <c r="C82" s="21">
        <f t="shared" si="12"/>
        <v>1</v>
      </c>
      <c r="D82" s="717"/>
      <c r="E82" s="21">
        <f t="shared" si="13"/>
        <v>1</v>
      </c>
      <c r="F82" s="717"/>
      <c r="G82" s="21">
        <f t="shared" si="14"/>
        <v>1</v>
      </c>
      <c r="H82" s="717"/>
      <c r="I82" s="21">
        <f t="shared" si="15"/>
        <v>1</v>
      </c>
      <c r="J82" s="717"/>
      <c r="K82" s="21">
        <f t="shared" si="16"/>
        <v>1</v>
      </c>
      <c r="L82" s="717"/>
      <c r="M82" s="21">
        <f t="shared" si="17"/>
        <v>1</v>
      </c>
      <c r="N82" s="717"/>
      <c r="O82" s="21">
        <f t="shared" si="18"/>
        <v>1</v>
      </c>
      <c r="P82" s="717"/>
      <c r="Q82" s="21">
        <f t="shared" si="19"/>
        <v>1</v>
      </c>
      <c r="R82" s="713">
        <f t="shared" si="20"/>
        <v>0</v>
      </c>
      <c r="S82" s="358">
        <f t="shared" si="22"/>
        <v>0</v>
      </c>
    </row>
    <row r="83" spans="1:19">
      <c r="A83" s="156"/>
      <c r="B83" s="56"/>
      <c r="C83" s="21">
        <f t="shared" si="12"/>
        <v>1</v>
      </c>
      <c r="D83" s="717"/>
      <c r="E83" s="21">
        <f t="shared" si="13"/>
        <v>1</v>
      </c>
      <c r="F83" s="717"/>
      <c r="G83" s="21">
        <f t="shared" si="14"/>
        <v>1</v>
      </c>
      <c r="H83" s="717"/>
      <c r="I83" s="21">
        <f t="shared" si="15"/>
        <v>1</v>
      </c>
      <c r="J83" s="717"/>
      <c r="K83" s="21">
        <f t="shared" si="16"/>
        <v>1</v>
      </c>
      <c r="L83" s="717"/>
      <c r="M83" s="21">
        <f t="shared" si="17"/>
        <v>1</v>
      </c>
      <c r="N83" s="717"/>
      <c r="O83" s="21">
        <f t="shared" si="18"/>
        <v>1</v>
      </c>
      <c r="P83" s="717"/>
      <c r="Q83" s="21">
        <f t="shared" si="19"/>
        <v>1</v>
      </c>
      <c r="R83" s="713">
        <f t="shared" si="20"/>
        <v>0</v>
      </c>
      <c r="S83" s="358">
        <f t="shared" si="22"/>
        <v>0</v>
      </c>
    </row>
    <row r="84" spans="1:19">
      <c r="A84" s="156"/>
      <c r="B84" s="56"/>
      <c r="C84" s="21">
        <f t="shared" si="12"/>
        <v>1</v>
      </c>
      <c r="D84" s="717"/>
      <c r="E84" s="21">
        <f t="shared" si="13"/>
        <v>1</v>
      </c>
      <c r="F84" s="717"/>
      <c r="G84" s="21">
        <f t="shared" si="14"/>
        <v>1</v>
      </c>
      <c r="H84" s="717"/>
      <c r="I84" s="21">
        <f t="shared" si="15"/>
        <v>1</v>
      </c>
      <c r="J84" s="717"/>
      <c r="K84" s="21">
        <f t="shared" si="16"/>
        <v>1</v>
      </c>
      <c r="L84" s="717"/>
      <c r="M84" s="21">
        <f t="shared" si="17"/>
        <v>1</v>
      </c>
      <c r="N84" s="717"/>
      <c r="O84" s="21">
        <f t="shared" si="18"/>
        <v>1</v>
      </c>
      <c r="P84" s="717"/>
      <c r="Q84" s="21">
        <f t="shared" si="19"/>
        <v>1</v>
      </c>
      <c r="R84" s="713">
        <f t="shared" si="20"/>
        <v>0</v>
      </c>
      <c r="S84" s="358">
        <f t="shared" si="22"/>
        <v>0</v>
      </c>
    </row>
    <row r="85" spans="1:19">
      <c r="A85" s="156"/>
      <c r="B85" s="56"/>
      <c r="C85" s="21">
        <f t="shared" si="12"/>
        <v>1</v>
      </c>
      <c r="D85" s="717"/>
      <c r="E85" s="21">
        <f t="shared" si="13"/>
        <v>1</v>
      </c>
      <c r="F85" s="717"/>
      <c r="G85" s="21">
        <f t="shared" si="14"/>
        <v>1</v>
      </c>
      <c r="H85" s="717"/>
      <c r="I85" s="21">
        <f t="shared" si="15"/>
        <v>1</v>
      </c>
      <c r="J85" s="717"/>
      <c r="K85" s="21">
        <f t="shared" si="16"/>
        <v>1</v>
      </c>
      <c r="L85" s="717"/>
      <c r="M85" s="21">
        <f t="shared" si="17"/>
        <v>1</v>
      </c>
      <c r="N85" s="717"/>
      <c r="O85" s="21">
        <f t="shared" si="18"/>
        <v>1</v>
      </c>
      <c r="P85" s="717"/>
      <c r="Q85" s="21">
        <f t="shared" si="19"/>
        <v>1</v>
      </c>
      <c r="R85" s="713">
        <f t="shared" si="20"/>
        <v>0</v>
      </c>
      <c r="S85" s="358">
        <f t="shared" si="22"/>
        <v>0</v>
      </c>
    </row>
    <row r="86" spans="1:19">
      <c r="A86" s="156"/>
      <c r="B86" s="56"/>
      <c r="C86" s="21">
        <f t="shared" si="12"/>
        <v>1</v>
      </c>
      <c r="D86" s="717"/>
      <c r="E86" s="21">
        <f t="shared" si="13"/>
        <v>1</v>
      </c>
      <c r="F86" s="717"/>
      <c r="G86" s="21">
        <f t="shared" si="14"/>
        <v>1</v>
      </c>
      <c r="H86" s="717"/>
      <c r="I86" s="21">
        <f t="shared" si="15"/>
        <v>1</v>
      </c>
      <c r="J86" s="717"/>
      <c r="K86" s="21">
        <f t="shared" si="16"/>
        <v>1</v>
      </c>
      <c r="L86" s="717"/>
      <c r="M86" s="21">
        <f t="shared" si="17"/>
        <v>1</v>
      </c>
      <c r="N86" s="717"/>
      <c r="O86" s="21">
        <f t="shared" si="18"/>
        <v>1</v>
      </c>
      <c r="P86" s="717"/>
      <c r="Q86" s="21">
        <f t="shared" si="19"/>
        <v>1</v>
      </c>
      <c r="R86" s="713">
        <f t="shared" si="20"/>
        <v>0</v>
      </c>
      <c r="S86" s="358">
        <f t="shared" si="22"/>
        <v>0</v>
      </c>
    </row>
    <row r="87" spans="1:19">
      <c r="A87" s="156"/>
      <c r="B87" s="56"/>
      <c r="C87" s="21">
        <f t="shared" si="12"/>
        <v>1</v>
      </c>
      <c r="D87" s="717"/>
      <c r="E87" s="21">
        <f t="shared" si="13"/>
        <v>1</v>
      </c>
      <c r="F87" s="717"/>
      <c r="G87" s="21">
        <f t="shared" si="14"/>
        <v>1</v>
      </c>
      <c r="H87" s="717"/>
      <c r="I87" s="21">
        <f t="shared" si="15"/>
        <v>1</v>
      </c>
      <c r="J87" s="717"/>
      <c r="K87" s="21">
        <f t="shared" si="16"/>
        <v>1</v>
      </c>
      <c r="L87" s="717"/>
      <c r="M87" s="21">
        <f t="shared" si="17"/>
        <v>1</v>
      </c>
      <c r="N87" s="717"/>
      <c r="O87" s="21">
        <f t="shared" si="18"/>
        <v>1</v>
      </c>
      <c r="P87" s="717"/>
      <c r="Q87" s="21">
        <f t="shared" si="19"/>
        <v>1</v>
      </c>
      <c r="R87" s="713">
        <f t="shared" si="20"/>
        <v>0</v>
      </c>
      <c r="S87" s="358">
        <f t="shared" si="22"/>
        <v>0</v>
      </c>
    </row>
    <row r="88" spans="1:19">
      <c r="A88" s="156"/>
      <c r="B88" s="56"/>
      <c r="C88" s="21">
        <f t="shared" si="12"/>
        <v>1</v>
      </c>
      <c r="D88" s="717"/>
      <c r="E88" s="21">
        <f t="shared" si="13"/>
        <v>1</v>
      </c>
      <c r="F88" s="717"/>
      <c r="G88" s="21">
        <f t="shared" si="14"/>
        <v>1</v>
      </c>
      <c r="H88" s="717"/>
      <c r="I88" s="21">
        <f t="shared" si="15"/>
        <v>1</v>
      </c>
      <c r="J88" s="717"/>
      <c r="K88" s="21">
        <f t="shared" si="16"/>
        <v>1</v>
      </c>
      <c r="L88" s="717"/>
      <c r="M88" s="21">
        <f t="shared" si="17"/>
        <v>1</v>
      </c>
      <c r="N88" s="717"/>
      <c r="O88" s="21">
        <f t="shared" si="18"/>
        <v>1</v>
      </c>
      <c r="P88" s="717"/>
      <c r="Q88" s="21">
        <f t="shared" si="19"/>
        <v>1</v>
      </c>
      <c r="R88" s="713">
        <f t="shared" si="20"/>
        <v>0</v>
      </c>
      <c r="S88" s="358">
        <f t="shared" si="22"/>
        <v>0</v>
      </c>
    </row>
    <row r="89" spans="1:19">
      <c r="A89" s="156"/>
      <c r="B89" s="56"/>
      <c r="C89" s="21">
        <f t="shared" si="12"/>
        <v>1</v>
      </c>
      <c r="D89" s="717"/>
      <c r="E89" s="21">
        <f t="shared" si="13"/>
        <v>1</v>
      </c>
      <c r="F89" s="717"/>
      <c r="G89" s="21">
        <f t="shared" si="14"/>
        <v>1</v>
      </c>
      <c r="H89" s="717"/>
      <c r="I89" s="21">
        <f t="shared" si="15"/>
        <v>1</v>
      </c>
      <c r="J89" s="717"/>
      <c r="K89" s="21">
        <f t="shared" si="16"/>
        <v>1</v>
      </c>
      <c r="L89" s="717"/>
      <c r="M89" s="21">
        <f t="shared" si="17"/>
        <v>1</v>
      </c>
      <c r="N89" s="717"/>
      <c r="O89" s="21">
        <f t="shared" si="18"/>
        <v>1</v>
      </c>
      <c r="P89" s="717"/>
      <c r="Q89" s="21">
        <f t="shared" si="19"/>
        <v>1</v>
      </c>
      <c r="R89" s="713">
        <f t="shared" si="20"/>
        <v>0</v>
      </c>
      <c r="S89" s="358">
        <f t="shared" si="22"/>
        <v>0</v>
      </c>
    </row>
    <row r="90" spans="1:19">
      <c r="A90" s="156"/>
      <c r="B90" s="56"/>
      <c r="C90" s="21">
        <f t="shared" ref="C90:C153" si="23">IF(B90="",1,(LOOKUP(B90,$3:$3,$4:$4)-LOOKUP($B$24,$3:$3,$4:$4)+100)/100)</f>
        <v>1</v>
      </c>
      <c r="D90" s="717"/>
      <c r="E90" s="21">
        <f t="shared" ref="E90:E153" si="24">(SUMIF($5:$5,D90,$6:$6)-SUMIF($5:$5,$D$24,$6:$6)+100)/100</f>
        <v>1</v>
      </c>
      <c r="F90" s="717"/>
      <c r="G90" s="21">
        <f t="shared" ref="G90:G153" si="25">(SUMIF($7:$7,F90,$8:$8)-SUMIF($7:$7,$F$24,$8:$8)+100)/100</f>
        <v>1</v>
      </c>
      <c r="H90" s="717"/>
      <c r="I90" s="21">
        <f t="shared" ref="I90:I153" si="26">(SUMIF($9:$9,H90,$10:$10)-SUMIF($9:$9,$H$24,$10:$10)+100)/100</f>
        <v>1</v>
      </c>
      <c r="J90" s="717"/>
      <c r="K90" s="21">
        <f t="shared" ref="K90:K153" si="27">(SUMIF($11:$11,J90,$12:$12)-SUMIF($11:$11,$J$24,$12:$12)+100)/100</f>
        <v>1</v>
      </c>
      <c r="L90" s="717"/>
      <c r="M90" s="21">
        <f t="shared" ref="M90:M153" si="28">(SUMIF($13:$13,L90,$14:$14)-SUMIF($13:$13,$L$24,$14:$14)+100)/100</f>
        <v>1</v>
      </c>
      <c r="N90" s="717"/>
      <c r="O90" s="21">
        <f t="shared" ref="O90:O153" si="29">(SUMIF($15:$15,N90,$16:$16)-SUMIF($15:$15,$N$24,$16:$16)+100)/100</f>
        <v>1</v>
      </c>
      <c r="P90" s="717"/>
      <c r="Q90" s="21">
        <f t="shared" ref="Q90:Q153" si="30">(SUMIF($17:$17,P90,$18:$18)-SUMIF($17:$17,$P$24,$18:$18)+100)/100</f>
        <v>1</v>
      </c>
      <c r="R90" s="713">
        <f t="shared" ref="R90:R153" si="31">IF(B90="",0,ROUND($R$24*C90*E90*G90*I90*K90*M90*O90*Q90,0))</f>
        <v>0</v>
      </c>
      <c r="S90" s="358">
        <f t="shared" si="22"/>
        <v>0</v>
      </c>
    </row>
    <row r="91" spans="1:19">
      <c r="A91" s="156"/>
      <c r="B91" s="56"/>
      <c r="C91" s="21">
        <f t="shared" si="23"/>
        <v>1</v>
      </c>
      <c r="D91" s="717"/>
      <c r="E91" s="21">
        <f t="shared" si="24"/>
        <v>1</v>
      </c>
      <c r="F91" s="717"/>
      <c r="G91" s="21">
        <f t="shared" si="25"/>
        <v>1</v>
      </c>
      <c r="H91" s="717"/>
      <c r="I91" s="21">
        <f t="shared" si="26"/>
        <v>1</v>
      </c>
      <c r="J91" s="717"/>
      <c r="K91" s="21">
        <f t="shared" si="27"/>
        <v>1</v>
      </c>
      <c r="L91" s="717"/>
      <c r="M91" s="21">
        <f t="shared" si="28"/>
        <v>1</v>
      </c>
      <c r="N91" s="717"/>
      <c r="O91" s="21">
        <f t="shared" si="29"/>
        <v>1</v>
      </c>
      <c r="P91" s="717"/>
      <c r="Q91" s="21">
        <f t="shared" si="30"/>
        <v>1</v>
      </c>
      <c r="R91" s="713">
        <f t="shared" si="31"/>
        <v>0</v>
      </c>
      <c r="S91" s="358">
        <f t="shared" si="22"/>
        <v>0</v>
      </c>
    </row>
    <row r="92" spans="1:19">
      <c r="A92" s="156"/>
      <c r="B92" s="56"/>
      <c r="C92" s="21">
        <f t="shared" si="23"/>
        <v>1</v>
      </c>
      <c r="D92" s="717"/>
      <c r="E92" s="21">
        <f t="shared" si="24"/>
        <v>1</v>
      </c>
      <c r="F92" s="717"/>
      <c r="G92" s="21">
        <f t="shared" si="25"/>
        <v>1</v>
      </c>
      <c r="H92" s="717"/>
      <c r="I92" s="21">
        <f t="shared" si="26"/>
        <v>1</v>
      </c>
      <c r="J92" s="717"/>
      <c r="K92" s="21">
        <f t="shared" si="27"/>
        <v>1</v>
      </c>
      <c r="L92" s="717"/>
      <c r="M92" s="21">
        <f t="shared" si="28"/>
        <v>1</v>
      </c>
      <c r="N92" s="717"/>
      <c r="O92" s="21">
        <f t="shared" si="29"/>
        <v>1</v>
      </c>
      <c r="P92" s="717"/>
      <c r="Q92" s="21">
        <f t="shared" si="30"/>
        <v>1</v>
      </c>
      <c r="R92" s="713">
        <f t="shared" si="31"/>
        <v>0</v>
      </c>
      <c r="S92" s="358">
        <f t="shared" si="22"/>
        <v>0</v>
      </c>
    </row>
    <row r="93" spans="1:19">
      <c r="A93" s="156"/>
      <c r="B93" s="56"/>
      <c r="C93" s="21">
        <f t="shared" si="23"/>
        <v>1</v>
      </c>
      <c r="D93" s="717"/>
      <c r="E93" s="21">
        <f t="shared" si="24"/>
        <v>1</v>
      </c>
      <c r="F93" s="717"/>
      <c r="G93" s="21">
        <f t="shared" si="25"/>
        <v>1</v>
      </c>
      <c r="H93" s="717"/>
      <c r="I93" s="21">
        <f t="shared" si="26"/>
        <v>1</v>
      </c>
      <c r="J93" s="717"/>
      <c r="K93" s="21">
        <f t="shared" si="27"/>
        <v>1</v>
      </c>
      <c r="L93" s="717"/>
      <c r="M93" s="21">
        <f t="shared" si="28"/>
        <v>1</v>
      </c>
      <c r="N93" s="717"/>
      <c r="O93" s="21">
        <f t="shared" si="29"/>
        <v>1</v>
      </c>
      <c r="P93" s="717"/>
      <c r="Q93" s="21">
        <f t="shared" si="30"/>
        <v>1</v>
      </c>
      <c r="R93" s="713">
        <f t="shared" si="31"/>
        <v>0</v>
      </c>
      <c r="S93" s="358">
        <f t="shared" si="22"/>
        <v>0</v>
      </c>
    </row>
    <row r="94" spans="1:19">
      <c r="A94" s="156"/>
      <c r="B94" s="56"/>
      <c r="C94" s="21">
        <f t="shared" si="23"/>
        <v>1</v>
      </c>
      <c r="D94" s="717"/>
      <c r="E94" s="21">
        <f t="shared" si="24"/>
        <v>1</v>
      </c>
      <c r="F94" s="717"/>
      <c r="G94" s="21">
        <f t="shared" si="25"/>
        <v>1</v>
      </c>
      <c r="H94" s="717"/>
      <c r="I94" s="21">
        <f t="shared" si="26"/>
        <v>1</v>
      </c>
      <c r="J94" s="717"/>
      <c r="K94" s="21">
        <f t="shared" si="27"/>
        <v>1</v>
      </c>
      <c r="L94" s="717"/>
      <c r="M94" s="21">
        <f t="shared" si="28"/>
        <v>1</v>
      </c>
      <c r="N94" s="717"/>
      <c r="O94" s="21">
        <f t="shared" si="29"/>
        <v>1</v>
      </c>
      <c r="P94" s="717"/>
      <c r="Q94" s="21">
        <f t="shared" si="30"/>
        <v>1</v>
      </c>
      <c r="R94" s="713">
        <f t="shared" si="31"/>
        <v>0</v>
      </c>
      <c r="S94" s="358">
        <f t="shared" si="22"/>
        <v>0</v>
      </c>
    </row>
    <row r="95" spans="1:19">
      <c r="A95" s="156"/>
      <c r="B95" s="56"/>
      <c r="C95" s="21">
        <f t="shared" si="23"/>
        <v>1</v>
      </c>
      <c r="D95" s="717"/>
      <c r="E95" s="21">
        <f t="shared" si="24"/>
        <v>1</v>
      </c>
      <c r="F95" s="717"/>
      <c r="G95" s="21">
        <f t="shared" si="25"/>
        <v>1</v>
      </c>
      <c r="H95" s="717"/>
      <c r="I95" s="21">
        <f t="shared" si="26"/>
        <v>1</v>
      </c>
      <c r="J95" s="717"/>
      <c r="K95" s="21">
        <f t="shared" si="27"/>
        <v>1</v>
      </c>
      <c r="L95" s="717"/>
      <c r="M95" s="21">
        <f t="shared" si="28"/>
        <v>1</v>
      </c>
      <c r="N95" s="717"/>
      <c r="O95" s="21">
        <f t="shared" si="29"/>
        <v>1</v>
      </c>
      <c r="P95" s="717"/>
      <c r="Q95" s="21">
        <f t="shared" si="30"/>
        <v>1</v>
      </c>
      <c r="R95" s="713">
        <f t="shared" si="31"/>
        <v>0</v>
      </c>
      <c r="S95" s="358">
        <f t="shared" si="22"/>
        <v>0</v>
      </c>
    </row>
    <row r="96" spans="1:19">
      <c r="A96" s="156"/>
      <c r="B96" s="56"/>
      <c r="C96" s="21">
        <f t="shared" si="23"/>
        <v>1</v>
      </c>
      <c r="D96" s="717"/>
      <c r="E96" s="21">
        <f t="shared" si="24"/>
        <v>1</v>
      </c>
      <c r="F96" s="717"/>
      <c r="G96" s="21">
        <f t="shared" si="25"/>
        <v>1</v>
      </c>
      <c r="H96" s="717"/>
      <c r="I96" s="21">
        <f t="shared" si="26"/>
        <v>1</v>
      </c>
      <c r="J96" s="717"/>
      <c r="K96" s="21">
        <f t="shared" si="27"/>
        <v>1</v>
      </c>
      <c r="L96" s="717"/>
      <c r="M96" s="21">
        <f t="shared" si="28"/>
        <v>1</v>
      </c>
      <c r="N96" s="717"/>
      <c r="O96" s="21">
        <f t="shared" si="29"/>
        <v>1</v>
      </c>
      <c r="P96" s="717"/>
      <c r="Q96" s="21">
        <f t="shared" si="30"/>
        <v>1</v>
      </c>
      <c r="R96" s="713">
        <f t="shared" si="31"/>
        <v>0</v>
      </c>
      <c r="S96" s="358">
        <f t="shared" si="22"/>
        <v>0</v>
      </c>
    </row>
    <row r="97" spans="1:19">
      <c r="A97" s="156"/>
      <c r="B97" s="56"/>
      <c r="C97" s="21">
        <f t="shared" si="23"/>
        <v>1</v>
      </c>
      <c r="D97" s="717"/>
      <c r="E97" s="21">
        <f t="shared" si="24"/>
        <v>1</v>
      </c>
      <c r="F97" s="717"/>
      <c r="G97" s="21">
        <f t="shared" si="25"/>
        <v>1</v>
      </c>
      <c r="H97" s="717"/>
      <c r="I97" s="21">
        <f t="shared" si="26"/>
        <v>1</v>
      </c>
      <c r="J97" s="717"/>
      <c r="K97" s="21">
        <f t="shared" si="27"/>
        <v>1</v>
      </c>
      <c r="L97" s="717"/>
      <c r="M97" s="21">
        <f t="shared" si="28"/>
        <v>1</v>
      </c>
      <c r="N97" s="717"/>
      <c r="O97" s="21">
        <f t="shared" si="29"/>
        <v>1</v>
      </c>
      <c r="P97" s="717"/>
      <c r="Q97" s="21">
        <f t="shared" si="30"/>
        <v>1</v>
      </c>
      <c r="R97" s="713">
        <f t="shared" si="31"/>
        <v>0</v>
      </c>
      <c r="S97" s="358">
        <f t="shared" si="22"/>
        <v>0</v>
      </c>
    </row>
    <row r="98" spans="1:19">
      <c r="A98" s="156"/>
      <c r="B98" s="56"/>
      <c r="C98" s="21">
        <f t="shared" si="23"/>
        <v>1</v>
      </c>
      <c r="D98" s="717"/>
      <c r="E98" s="21">
        <f t="shared" si="24"/>
        <v>1</v>
      </c>
      <c r="F98" s="717"/>
      <c r="G98" s="21">
        <f t="shared" si="25"/>
        <v>1</v>
      </c>
      <c r="H98" s="717"/>
      <c r="I98" s="21">
        <f t="shared" si="26"/>
        <v>1</v>
      </c>
      <c r="J98" s="717"/>
      <c r="K98" s="21">
        <f t="shared" si="27"/>
        <v>1</v>
      </c>
      <c r="L98" s="717"/>
      <c r="M98" s="21">
        <f t="shared" si="28"/>
        <v>1</v>
      </c>
      <c r="N98" s="717"/>
      <c r="O98" s="21">
        <f t="shared" si="29"/>
        <v>1</v>
      </c>
      <c r="P98" s="717"/>
      <c r="Q98" s="21">
        <f t="shared" si="30"/>
        <v>1</v>
      </c>
      <c r="R98" s="713">
        <f t="shared" si="31"/>
        <v>0</v>
      </c>
      <c r="S98" s="358">
        <f t="shared" si="22"/>
        <v>0</v>
      </c>
    </row>
    <row r="99" spans="1:19">
      <c r="A99" s="156"/>
      <c r="B99" s="56"/>
      <c r="C99" s="21">
        <f t="shared" si="23"/>
        <v>1</v>
      </c>
      <c r="D99" s="717"/>
      <c r="E99" s="21">
        <f t="shared" si="24"/>
        <v>1</v>
      </c>
      <c r="F99" s="717"/>
      <c r="G99" s="21">
        <f t="shared" si="25"/>
        <v>1</v>
      </c>
      <c r="H99" s="717"/>
      <c r="I99" s="21">
        <f t="shared" si="26"/>
        <v>1</v>
      </c>
      <c r="J99" s="717"/>
      <c r="K99" s="21">
        <f t="shared" si="27"/>
        <v>1</v>
      </c>
      <c r="L99" s="717"/>
      <c r="M99" s="21">
        <f t="shared" si="28"/>
        <v>1</v>
      </c>
      <c r="N99" s="717"/>
      <c r="O99" s="21">
        <f t="shared" si="29"/>
        <v>1</v>
      </c>
      <c r="P99" s="717"/>
      <c r="Q99" s="21">
        <f t="shared" si="30"/>
        <v>1</v>
      </c>
      <c r="R99" s="713">
        <f t="shared" si="31"/>
        <v>0</v>
      </c>
      <c r="S99" s="358">
        <f t="shared" si="22"/>
        <v>0</v>
      </c>
    </row>
    <row r="100" spans="1:19">
      <c r="A100" s="156"/>
      <c r="B100" s="56"/>
      <c r="C100" s="21">
        <f t="shared" si="23"/>
        <v>1</v>
      </c>
      <c r="D100" s="717"/>
      <c r="E100" s="21">
        <f t="shared" si="24"/>
        <v>1</v>
      </c>
      <c r="F100" s="717"/>
      <c r="G100" s="21">
        <f t="shared" si="25"/>
        <v>1</v>
      </c>
      <c r="H100" s="717"/>
      <c r="I100" s="21">
        <f t="shared" si="26"/>
        <v>1</v>
      </c>
      <c r="J100" s="717"/>
      <c r="K100" s="21">
        <f t="shared" si="27"/>
        <v>1</v>
      </c>
      <c r="L100" s="717"/>
      <c r="M100" s="21">
        <f t="shared" si="28"/>
        <v>1</v>
      </c>
      <c r="N100" s="717"/>
      <c r="O100" s="21">
        <f t="shared" si="29"/>
        <v>1</v>
      </c>
      <c r="P100" s="717"/>
      <c r="Q100" s="21">
        <f t="shared" si="30"/>
        <v>1</v>
      </c>
      <c r="R100" s="713">
        <f t="shared" si="31"/>
        <v>0</v>
      </c>
      <c r="S100" s="358">
        <f t="shared" si="22"/>
        <v>0</v>
      </c>
    </row>
    <row r="101" spans="1:19">
      <c r="A101" s="156"/>
      <c r="B101" s="56"/>
      <c r="C101" s="21">
        <f t="shared" si="23"/>
        <v>1</v>
      </c>
      <c r="D101" s="717"/>
      <c r="E101" s="21">
        <f t="shared" si="24"/>
        <v>1</v>
      </c>
      <c r="F101" s="717"/>
      <c r="G101" s="21">
        <f t="shared" si="25"/>
        <v>1</v>
      </c>
      <c r="H101" s="717"/>
      <c r="I101" s="21">
        <f t="shared" si="26"/>
        <v>1</v>
      </c>
      <c r="J101" s="717"/>
      <c r="K101" s="21">
        <f t="shared" si="27"/>
        <v>1</v>
      </c>
      <c r="L101" s="717"/>
      <c r="M101" s="21">
        <f t="shared" si="28"/>
        <v>1</v>
      </c>
      <c r="N101" s="717"/>
      <c r="O101" s="21">
        <f t="shared" si="29"/>
        <v>1</v>
      </c>
      <c r="P101" s="717"/>
      <c r="Q101" s="21">
        <f t="shared" si="30"/>
        <v>1</v>
      </c>
      <c r="R101" s="713">
        <f t="shared" si="31"/>
        <v>0</v>
      </c>
      <c r="S101" s="358">
        <f t="shared" si="22"/>
        <v>0</v>
      </c>
    </row>
    <row r="102" spans="1:19">
      <c r="A102" s="156"/>
      <c r="B102" s="56"/>
      <c r="C102" s="21">
        <f t="shared" si="23"/>
        <v>1</v>
      </c>
      <c r="D102" s="717"/>
      <c r="E102" s="21">
        <f t="shared" si="24"/>
        <v>1</v>
      </c>
      <c r="F102" s="717"/>
      <c r="G102" s="21">
        <f t="shared" si="25"/>
        <v>1</v>
      </c>
      <c r="H102" s="717"/>
      <c r="I102" s="21">
        <f t="shared" si="26"/>
        <v>1</v>
      </c>
      <c r="J102" s="717"/>
      <c r="K102" s="21">
        <f t="shared" si="27"/>
        <v>1</v>
      </c>
      <c r="L102" s="717"/>
      <c r="M102" s="21">
        <f t="shared" si="28"/>
        <v>1</v>
      </c>
      <c r="N102" s="717"/>
      <c r="O102" s="21">
        <f t="shared" si="29"/>
        <v>1</v>
      </c>
      <c r="P102" s="717"/>
      <c r="Q102" s="21">
        <f t="shared" si="30"/>
        <v>1</v>
      </c>
      <c r="R102" s="713">
        <f t="shared" si="31"/>
        <v>0</v>
      </c>
      <c r="S102" s="358">
        <f t="shared" si="22"/>
        <v>0</v>
      </c>
    </row>
    <row r="103" spans="1:19">
      <c r="A103" s="156"/>
      <c r="B103" s="56"/>
      <c r="C103" s="21">
        <f t="shared" si="23"/>
        <v>1</v>
      </c>
      <c r="D103" s="717"/>
      <c r="E103" s="21">
        <f t="shared" si="24"/>
        <v>1</v>
      </c>
      <c r="F103" s="717"/>
      <c r="G103" s="21">
        <f t="shared" si="25"/>
        <v>1</v>
      </c>
      <c r="H103" s="717"/>
      <c r="I103" s="21">
        <f t="shared" si="26"/>
        <v>1</v>
      </c>
      <c r="J103" s="717"/>
      <c r="K103" s="21">
        <f t="shared" si="27"/>
        <v>1</v>
      </c>
      <c r="L103" s="717"/>
      <c r="M103" s="21">
        <f t="shared" si="28"/>
        <v>1</v>
      </c>
      <c r="N103" s="717"/>
      <c r="O103" s="21">
        <f t="shared" si="29"/>
        <v>1</v>
      </c>
      <c r="P103" s="717"/>
      <c r="Q103" s="21">
        <f t="shared" si="30"/>
        <v>1</v>
      </c>
      <c r="R103" s="713">
        <f t="shared" si="31"/>
        <v>0</v>
      </c>
      <c r="S103" s="358">
        <f t="shared" si="22"/>
        <v>0</v>
      </c>
    </row>
    <row r="104" spans="1:19">
      <c r="A104" s="156"/>
      <c r="B104" s="56"/>
      <c r="C104" s="21">
        <f t="shared" si="23"/>
        <v>1</v>
      </c>
      <c r="D104" s="717"/>
      <c r="E104" s="21">
        <f t="shared" si="24"/>
        <v>1</v>
      </c>
      <c r="F104" s="717"/>
      <c r="G104" s="21">
        <f t="shared" si="25"/>
        <v>1</v>
      </c>
      <c r="H104" s="717"/>
      <c r="I104" s="21">
        <f t="shared" si="26"/>
        <v>1</v>
      </c>
      <c r="J104" s="717"/>
      <c r="K104" s="21">
        <f t="shared" si="27"/>
        <v>1</v>
      </c>
      <c r="L104" s="717"/>
      <c r="M104" s="21">
        <f t="shared" si="28"/>
        <v>1</v>
      </c>
      <c r="N104" s="717"/>
      <c r="O104" s="21">
        <f t="shared" si="29"/>
        <v>1</v>
      </c>
      <c r="P104" s="717"/>
      <c r="Q104" s="21">
        <f t="shared" si="30"/>
        <v>1</v>
      </c>
      <c r="R104" s="713">
        <f t="shared" si="31"/>
        <v>0</v>
      </c>
      <c r="S104" s="358">
        <f t="shared" si="22"/>
        <v>0</v>
      </c>
    </row>
    <row r="105" spans="1:19">
      <c r="A105" s="156"/>
      <c r="B105" s="56"/>
      <c r="C105" s="21">
        <f t="shared" si="23"/>
        <v>1</v>
      </c>
      <c r="D105" s="717"/>
      <c r="E105" s="21">
        <f t="shared" si="24"/>
        <v>1</v>
      </c>
      <c r="F105" s="717"/>
      <c r="G105" s="21">
        <f t="shared" si="25"/>
        <v>1</v>
      </c>
      <c r="H105" s="717"/>
      <c r="I105" s="21">
        <f t="shared" si="26"/>
        <v>1</v>
      </c>
      <c r="J105" s="717"/>
      <c r="K105" s="21">
        <f t="shared" si="27"/>
        <v>1</v>
      </c>
      <c r="L105" s="717"/>
      <c r="M105" s="21">
        <f t="shared" si="28"/>
        <v>1</v>
      </c>
      <c r="N105" s="717"/>
      <c r="O105" s="21">
        <f t="shared" si="29"/>
        <v>1</v>
      </c>
      <c r="P105" s="717"/>
      <c r="Q105" s="21">
        <f t="shared" si="30"/>
        <v>1</v>
      </c>
      <c r="R105" s="713">
        <f t="shared" si="31"/>
        <v>0</v>
      </c>
      <c r="S105" s="358">
        <f t="shared" si="22"/>
        <v>0</v>
      </c>
    </row>
    <row r="106" spans="1:19">
      <c r="A106" s="156"/>
      <c r="B106" s="56"/>
      <c r="C106" s="21">
        <f t="shared" si="23"/>
        <v>1</v>
      </c>
      <c r="D106" s="717"/>
      <c r="E106" s="21">
        <f t="shared" si="24"/>
        <v>1</v>
      </c>
      <c r="F106" s="717"/>
      <c r="G106" s="21">
        <f t="shared" si="25"/>
        <v>1</v>
      </c>
      <c r="H106" s="717"/>
      <c r="I106" s="21">
        <f t="shared" si="26"/>
        <v>1</v>
      </c>
      <c r="J106" s="717"/>
      <c r="K106" s="21">
        <f t="shared" si="27"/>
        <v>1</v>
      </c>
      <c r="L106" s="717"/>
      <c r="M106" s="21">
        <f t="shared" si="28"/>
        <v>1</v>
      </c>
      <c r="N106" s="717"/>
      <c r="O106" s="21">
        <f t="shared" si="29"/>
        <v>1</v>
      </c>
      <c r="P106" s="717"/>
      <c r="Q106" s="21">
        <f t="shared" si="30"/>
        <v>1</v>
      </c>
      <c r="R106" s="713">
        <f t="shared" si="31"/>
        <v>0</v>
      </c>
      <c r="S106" s="358">
        <f t="shared" si="22"/>
        <v>0</v>
      </c>
    </row>
    <row r="107" spans="1:19">
      <c r="A107" s="156"/>
      <c r="B107" s="56"/>
      <c r="C107" s="21">
        <f t="shared" si="23"/>
        <v>1</v>
      </c>
      <c r="D107" s="717"/>
      <c r="E107" s="21">
        <f t="shared" si="24"/>
        <v>1</v>
      </c>
      <c r="F107" s="717"/>
      <c r="G107" s="21">
        <f t="shared" si="25"/>
        <v>1</v>
      </c>
      <c r="H107" s="717"/>
      <c r="I107" s="21">
        <f t="shared" si="26"/>
        <v>1</v>
      </c>
      <c r="J107" s="717"/>
      <c r="K107" s="21">
        <f t="shared" si="27"/>
        <v>1</v>
      </c>
      <c r="L107" s="717"/>
      <c r="M107" s="21">
        <f t="shared" si="28"/>
        <v>1</v>
      </c>
      <c r="N107" s="717"/>
      <c r="O107" s="21">
        <f t="shared" si="29"/>
        <v>1</v>
      </c>
      <c r="P107" s="717"/>
      <c r="Q107" s="21">
        <f t="shared" si="30"/>
        <v>1</v>
      </c>
      <c r="R107" s="713">
        <f t="shared" si="31"/>
        <v>0</v>
      </c>
      <c r="S107" s="358">
        <f t="shared" si="22"/>
        <v>0</v>
      </c>
    </row>
    <row r="108" spans="1:19">
      <c r="A108" s="156"/>
      <c r="B108" s="56"/>
      <c r="C108" s="21">
        <f t="shared" si="23"/>
        <v>1</v>
      </c>
      <c r="D108" s="717"/>
      <c r="E108" s="21">
        <f t="shared" si="24"/>
        <v>1</v>
      </c>
      <c r="F108" s="717"/>
      <c r="G108" s="21">
        <f t="shared" si="25"/>
        <v>1</v>
      </c>
      <c r="H108" s="717"/>
      <c r="I108" s="21">
        <f t="shared" si="26"/>
        <v>1</v>
      </c>
      <c r="J108" s="717"/>
      <c r="K108" s="21">
        <f t="shared" si="27"/>
        <v>1</v>
      </c>
      <c r="L108" s="717"/>
      <c r="M108" s="21">
        <f t="shared" si="28"/>
        <v>1</v>
      </c>
      <c r="N108" s="717"/>
      <c r="O108" s="21">
        <f t="shared" si="29"/>
        <v>1</v>
      </c>
      <c r="P108" s="717"/>
      <c r="Q108" s="21">
        <f t="shared" si="30"/>
        <v>1</v>
      </c>
      <c r="R108" s="713">
        <f t="shared" si="31"/>
        <v>0</v>
      </c>
      <c r="S108" s="358">
        <f t="shared" si="22"/>
        <v>0</v>
      </c>
    </row>
    <row r="109" spans="1:19">
      <c r="A109" s="156"/>
      <c r="B109" s="56"/>
      <c r="C109" s="21">
        <f t="shared" si="23"/>
        <v>1</v>
      </c>
      <c r="D109" s="717"/>
      <c r="E109" s="21">
        <f t="shared" si="24"/>
        <v>1</v>
      </c>
      <c r="F109" s="717"/>
      <c r="G109" s="21">
        <f t="shared" si="25"/>
        <v>1</v>
      </c>
      <c r="H109" s="717"/>
      <c r="I109" s="21">
        <f t="shared" si="26"/>
        <v>1</v>
      </c>
      <c r="J109" s="717"/>
      <c r="K109" s="21">
        <f t="shared" si="27"/>
        <v>1</v>
      </c>
      <c r="L109" s="717"/>
      <c r="M109" s="21">
        <f t="shared" si="28"/>
        <v>1</v>
      </c>
      <c r="N109" s="717"/>
      <c r="O109" s="21">
        <f t="shared" si="29"/>
        <v>1</v>
      </c>
      <c r="P109" s="717"/>
      <c r="Q109" s="21">
        <f t="shared" si="30"/>
        <v>1</v>
      </c>
      <c r="R109" s="713">
        <f t="shared" si="31"/>
        <v>0</v>
      </c>
      <c r="S109" s="358">
        <f t="shared" si="22"/>
        <v>0</v>
      </c>
    </row>
    <row r="110" spans="1:19">
      <c r="A110" s="156"/>
      <c r="B110" s="56"/>
      <c r="C110" s="21">
        <f t="shared" si="23"/>
        <v>1</v>
      </c>
      <c r="D110" s="717"/>
      <c r="E110" s="21">
        <f t="shared" si="24"/>
        <v>1</v>
      </c>
      <c r="F110" s="717"/>
      <c r="G110" s="21">
        <f t="shared" si="25"/>
        <v>1</v>
      </c>
      <c r="H110" s="717"/>
      <c r="I110" s="21">
        <f t="shared" si="26"/>
        <v>1</v>
      </c>
      <c r="J110" s="717"/>
      <c r="K110" s="21">
        <f t="shared" si="27"/>
        <v>1</v>
      </c>
      <c r="L110" s="717"/>
      <c r="M110" s="21">
        <f t="shared" si="28"/>
        <v>1</v>
      </c>
      <c r="N110" s="717"/>
      <c r="O110" s="21">
        <f t="shared" si="29"/>
        <v>1</v>
      </c>
      <c r="P110" s="717"/>
      <c r="Q110" s="21">
        <f t="shared" si="30"/>
        <v>1</v>
      </c>
      <c r="R110" s="713">
        <f t="shared" si="31"/>
        <v>0</v>
      </c>
      <c r="S110" s="358">
        <f t="shared" si="22"/>
        <v>0</v>
      </c>
    </row>
    <row r="111" spans="1:19">
      <c r="A111" s="156"/>
      <c r="B111" s="56"/>
      <c r="C111" s="21">
        <f t="shared" si="23"/>
        <v>1</v>
      </c>
      <c r="D111" s="717"/>
      <c r="E111" s="21">
        <f t="shared" si="24"/>
        <v>1</v>
      </c>
      <c r="F111" s="717"/>
      <c r="G111" s="21">
        <f t="shared" si="25"/>
        <v>1</v>
      </c>
      <c r="H111" s="717"/>
      <c r="I111" s="21">
        <f t="shared" si="26"/>
        <v>1</v>
      </c>
      <c r="J111" s="717"/>
      <c r="K111" s="21">
        <f t="shared" si="27"/>
        <v>1</v>
      </c>
      <c r="L111" s="717"/>
      <c r="M111" s="21">
        <f t="shared" si="28"/>
        <v>1</v>
      </c>
      <c r="N111" s="717"/>
      <c r="O111" s="21">
        <f t="shared" si="29"/>
        <v>1</v>
      </c>
      <c r="P111" s="717"/>
      <c r="Q111" s="21">
        <f t="shared" si="30"/>
        <v>1</v>
      </c>
      <c r="R111" s="713">
        <f t="shared" si="31"/>
        <v>0</v>
      </c>
      <c r="S111" s="358">
        <f t="shared" si="22"/>
        <v>0</v>
      </c>
    </row>
    <row r="112" spans="1:19">
      <c r="A112" s="156"/>
      <c r="B112" s="56"/>
      <c r="C112" s="21">
        <f t="shared" si="23"/>
        <v>1</v>
      </c>
      <c r="D112" s="717"/>
      <c r="E112" s="21">
        <f t="shared" si="24"/>
        <v>1</v>
      </c>
      <c r="F112" s="717"/>
      <c r="G112" s="21">
        <f t="shared" si="25"/>
        <v>1</v>
      </c>
      <c r="H112" s="717"/>
      <c r="I112" s="21">
        <f t="shared" si="26"/>
        <v>1</v>
      </c>
      <c r="J112" s="717"/>
      <c r="K112" s="21">
        <f t="shared" si="27"/>
        <v>1</v>
      </c>
      <c r="L112" s="717"/>
      <c r="M112" s="21">
        <f t="shared" si="28"/>
        <v>1</v>
      </c>
      <c r="N112" s="717"/>
      <c r="O112" s="21">
        <f t="shared" si="29"/>
        <v>1</v>
      </c>
      <c r="P112" s="717"/>
      <c r="Q112" s="21">
        <f t="shared" si="30"/>
        <v>1</v>
      </c>
      <c r="R112" s="713">
        <f t="shared" si="31"/>
        <v>0</v>
      </c>
      <c r="S112" s="358">
        <f t="shared" si="22"/>
        <v>0</v>
      </c>
    </row>
    <row r="113" spans="1:19">
      <c r="A113" s="156"/>
      <c r="B113" s="56"/>
      <c r="C113" s="21">
        <f t="shared" si="23"/>
        <v>1</v>
      </c>
      <c r="D113" s="717"/>
      <c r="E113" s="21">
        <f t="shared" si="24"/>
        <v>1</v>
      </c>
      <c r="F113" s="717"/>
      <c r="G113" s="21">
        <f t="shared" si="25"/>
        <v>1</v>
      </c>
      <c r="H113" s="717"/>
      <c r="I113" s="21">
        <f t="shared" si="26"/>
        <v>1</v>
      </c>
      <c r="J113" s="717"/>
      <c r="K113" s="21">
        <f t="shared" si="27"/>
        <v>1</v>
      </c>
      <c r="L113" s="717"/>
      <c r="M113" s="21">
        <f t="shared" si="28"/>
        <v>1</v>
      </c>
      <c r="N113" s="717"/>
      <c r="O113" s="21">
        <f t="shared" si="29"/>
        <v>1</v>
      </c>
      <c r="P113" s="717"/>
      <c r="Q113" s="21">
        <f t="shared" si="30"/>
        <v>1</v>
      </c>
      <c r="R113" s="713">
        <f t="shared" si="31"/>
        <v>0</v>
      </c>
      <c r="S113" s="358">
        <f t="shared" si="22"/>
        <v>0</v>
      </c>
    </row>
    <row r="114" spans="1:19">
      <c r="A114" s="156"/>
      <c r="B114" s="56"/>
      <c r="C114" s="21">
        <f t="shared" si="23"/>
        <v>1</v>
      </c>
      <c r="D114" s="717"/>
      <c r="E114" s="21">
        <f t="shared" si="24"/>
        <v>1</v>
      </c>
      <c r="F114" s="717"/>
      <c r="G114" s="21">
        <f t="shared" si="25"/>
        <v>1</v>
      </c>
      <c r="H114" s="717"/>
      <c r="I114" s="21">
        <f t="shared" si="26"/>
        <v>1</v>
      </c>
      <c r="J114" s="717"/>
      <c r="K114" s="21">
        <f t="shared" si="27"/>
        <v>1</v>
      </c>
      <c r="L114" s="717"/>
      <c r="M114" s="21">
        <f t="shared" si="28"/>
        <v>1</v>
      </c>
      <c r="N114" s="717"/>
      <c r="O114" s="21">
        <f t="shared" si="29"/>
        <v>1</v>
      </c>
      <c r="P114" s="717"/>
      <c r="Q114" s="21">
        <f t="shared" si="30"/>
        <v>1</v>
      </c>
      <c r="R114" s="713">
        <f t="shared" si="31"/>
        <v>0</v>
      </c>
      <c r="S114" s="358">
        <f t="shared" si="22"/>
        <v>0</v>
      </c>
    </row>
    <row r="115" spans="1:19">
      <c r="A115" s="156"/>
      <c r="B115" s="56"/>
      <c r="C115" s="21">
        <f t="shared" si="23"/>
        <v>1</v>
      </c>
      <c r="D115" s="717"/>
      <c r="E115" s="21">
        <f t="shared" si="24"/>
        <v>1</v>
      </c>
      <c r="F115" s="717"/>
      <c r="G115" s="21">
        <f t="shared" si="25"/>
        <v>1</v>
      </c>
      <c r="H115" s="717"/>
      <c r="I115" s="21">
        <f t="shared" si="26"/>
        <v>1</v>
      </c>
      <c r="J115" s="717"/>
      <c r="K115" s="21">
        <f t="shared" si="27"/>
        <v>1</v>
      </c>
      <c r="L115" s="717"/>
      <c r="M115" s="21">
        <f t="shared" si="28"/>
        <v>1</v>
      </c>
      <c r="N115" s="717"/>
      <c r="O115" s="21">
        <f t="shared" si="29"/>
        <v>1</v>
      </c>
      <c r="P115" s="717"/>
      <c r="Q115" s="21">
        <f t="shared" si="30"/>
        <v>1</v>
      </c>
      <c r="R115" s="713">
        <f t="shared" si="31"/>
        <v>0</v>
      </c>
      <c r="S115" s="358">
        <f t="shared" si="22"/>
        <v>0</v>
      </c>
    </row>
    <row r="116" spans="1:19">
      <c r="A116" s="156"/>
      <c r="B116" s="56"/>
      <c r="C116" s="21">
        <f t="shared" si="23"/>
        <v>1</v>
      </c>
      <c r="D116" s="717"/>
      <c r="E116" s="21">
        <f t="shared" si="24"/>
        <v>1</v>
      </c>
      <c r="F116" s="717"/>
      <c r="G116" s="21">
        <f t="shared" si="25"/>
        <v>1</v>
      </c>
      <c r="H116" s="717"/>
      <c r="I116" s="21">
        <f t="shared" si="26"/>
        <v>1</v>
      </c>
      <c r="J116" s="717"/>
      <c r="K116" s="21">
        <f t="shared" si="27"/>
        <v>1</v>
      </c>
      <c r="L116" s="717"/>
      <c r="M116" s="21">
        <f t="shared" si="28"/>
        <v>1</v>
      </c>
      <c r="N116" s="717"/>
      <c r="O116" s="21">
        <f t="shared" si="29"/>
        <v>1</v>
      </c>
      <c r="P116" s="717"/>
      <c r="Q116" s="21">
        <f t="shared" si="30"/>
        <v>1</v>
      </c>
      <c r="R116" s="713">
        <f t="shared" si="31"/>
        <v>0</v>
      </c>
      <c r="S116" s="358">
        <f t="shared" si="22"/>
        <v>0</v>
      </c>
    </row>
    <row r="117" spans="1:19">
      <c r="A117" s="156"/>
      <c r="B117" s="56"/>
      <c r="C117" s="21">
        <f t="shared" si="23"/>
        <v>1</v>
      </c>
      <c r="D117" s="717"/>
      <c r="E117" s="21">
        <f t="shared" si="24"/>
        <v>1</v>
      </c>
      <c r="F117" s="717"/>
      <c r="G117" s="21">
        <f t="shared" si="25"/>
        <v>1</v>
      </c>
      <c r="H117" s="717"/>
      <c r="I117" s="21">
        <f t="shared" si="26"/>
        <v>1</v>
      </c>
      <c r="J117" s="717"/>
      <c r="K117" s="21">
        <f t="shared" si="27"/>
        <v>1</v>
      </c>
      <c r="L117" s="717"/>
      <c r="M117" s="21">
        <f t="shared" si="28"/>
        <v>1</v>
      </c>
      <c r="N117" s="717"/>
      <c r="O117" s="21">
        <f t="shared" si="29"/>
        <v>1</v>
      </c>
      <c r="P117" s="717"/>
      <c r="Q117" s="21">
        <f t="shared" si="30"/>
        <v>1</v>
      </c>
      <c r="R117" s="713">
        <f t="shared" si="31"/>
        <v>0</v>
      </c>
      <c r="S117" s="358">
        <f t="shared" si="22"/>
        <v>0</v>
      </c>
    </row>
    <row r="118" spans="1:19">
      <c r="A118" s="156"/>
      <c r="B118" s="56"/>
      <c r="C118" s="21">
        <f t="shared" si="23"/>
        <v>1</v>
      </c>
      <c r="D118" s="717"/>
      <c r="E118" s="21">
        <f t="shared" si="24"/>
        <v>1</v>
      </c>
      <c r="F118" s="717"/>
      <c r="G118" s="21">
        <f t="shared" si="25"/>
        <v>1</v>
      </c>
      <c r="H118" s="717"/>
      <c r="I118" s="21">
        <f t="shared" si="26"/>
        <v>1</v>
      </c>
      <c r="J118" s="717"/>
      <c r="K118" s="21">
        <f t="shared" si="27"/>
        <v>1</v>
      </c>
      <c r="L118" s="717"/>
      <c r="M118" s="21">
        <f t="shared" si="28"/>
        <v>1</v>
      </c>
      <c r="N118" s="717"/>
      <c r="O118" s="21">
        <f t="shared" si="29"/>
        <v>1</v>
      </c>
      <c r="P118" s="717"/>
      <c r="Q118" s="21">
        <f t="shared" si="30"/>
        <v>1</v>
      </c>
      <c r="R118" s="713">
        <f t="shared" si="31"/>
        <v>0</v>
      </c>
      <c r="S118" s="358">
        <f t="shared" si="22"/>
        <v>0</v>
      </c>
    </row>
    <row r="119" spans="1:19">
      <c r="A119" s="156"/>
      <c r="B119" s="56"/>
      <c r="C119" s="21">
        <f t="shared" si="23"/>
        <v>1</v>
      </c>
      <c r="D119" s="717"/>
      <c r="E119" s="21">
        <f t="shared" si="24"/>
        <v>1</v>
      </c>
      <c r="F119" s="717"/>
      <c r="G119" s="21">
        <f t="shared" si="25"/>
        <v>1</v>
      </c>
      <c r="H119" s="717"/>
      <c r="I119" s="21">
        <f t="shared" si="26"/>
        <v>1</v>
      </c>
      <c r="J119" s="717"/>
      <c r="K119" s="21">
        <f t="shared" si="27"/>
        <v>1</v>
      </c>
      <c r="L119" s="717"/>
      <c r="M119" s="21">
        <f t="shared" si="28"/>
        <v>1</v>
      </c>
      <c r="N119" s="717"/>
      <c r="O119" s="21">
        <f t="shared" si="29"/>
        <v>1</v>
      </c>
      <c r="P119" s="717"/>
      <c r="Q119" s="21">
        <f t="shared" si="30"/>
        <v>1</v>
      </c>
      <c r="R119" s="713">
        <f t="shared" si="31"/>
        <v>0</v>
      </c>
      <c r="S119" s="358">
        <f t="shared" si="22"/>
        <v>0</v>
      </c>
    </row>
    <row r="120" spans="1:19">
      <c r="A120" s="156"/>
      <c r="B120" s="56"/>
      <c r="C120" s="21">
        <f t="shared" si="23"/>
        <v>1</v>
      </c>
      <c r="D120" s="717"/>
      <c r="E120" s="21">
        <f t="shared" si="24"/>
        <v>1</v>
      </c>
      <c r="F120" s="717"/>
      <c r="G120" s="21">
        <f t="shared" si="25"/>
        <v>1</v>
      </c>
      <c r="H120" s="717"/>
      <c r="I120" s="21">
        <f t="shared" si="26"/>
        <v>1</v>
      </c>
      <c r="J120" s="717"/>
      <c r="K120" s="21">
        <f t="shared" si="27"/>
        <v>1</v>
      </c>
      <c r="L120" s="717"/>
      <c r="M120" s="21">
        <f t="shared" si="28"/>
        <v>1</v>
      </c>
      <c r="N120" s="717"/>
      <c r="O120" s="21">
        <f t="shared" si="29"/>
        <v>1</v>
      </c>
      <c r="P120" s="717"/>
      <c r="Q120" s="21">
        <f t="shared" si="30"/>
        <v>1</v>
      </c>
      <c r="R120" s="713">
        <f t="shared" si="31"/>
        <v>0</v>
      </c>
      <c r="S120" s="358">
        <f t="shared" si="22"/>
        <v>0</v>
      </c>
    </row>
    <row r="121" spans="1:19">
      <c r="A121" s="156"/>
      <c r="B121" s="56"/>
      <c r="C121" s="21">
        <f t="shared" si="23"/>
        <v>1</v>
      </c>
      <c r="D121" s="717"/>
      <c r="E121" s="21">
        <f t="shared" si="24"/>
        <v>1</v>
      </c>
      <c r="F121" s="717"/>
      <c r="G121" s="21">
        <f t="shared" si="25"/>
        <v>1</v>
      </c>
      <c r="H121" s="717"/>
      <c r="I121" s="21">
        <f t="shared" si="26"/>
        <v>1</v>
      </c>
      <c r="J121" s="717"/>
      <c r="K121" s="21">
        <f t="shared" si="27"/>
        <v>1</v>
      </c>
      <c r="L121" s="717"/>
      <c r="M121" s="21">
        <f t="shared" si="28"/>
        <v>1</v>
      </c>
      <c r="N121" s="717"/>
      <c r="O121" s="21">
        <f t="shared" si="29"/>
        <v>1</v>
      </c>
      <c r="P121" s="717"/>
      <c r="Q121" s="21">
        <f t="shared" si="30"/>
        <v>1</v>
      </c>
      <c r="R121" s="713">
        <f t="shared" si="31"/>
        <v>0</v>
      </c>
      <c r="S121" s="358">
        <f t="shared" si="22"/>
        <v>0</v>
      </c>
    </row>
    <row r="122" spans="1:19">
      <c r="A122" s="156"/>
      <c r="B122" s="56"/>
      <c r="C122" s="21">
        <f t="shared" si="23"/>
        <v>1</v>
      </c>
      <c r="D122" s="717"/>
      <c r="E122" s="21">
        <f t="shared" si="24"/>
        <v>1</v>
      </c>
      <c r="F122" s="717"/>
      <c r="G122" s="21">
        <f t="shared" si="25"/>
        <v>1</v>
      </c>
      <c r="H122" s="717"/>
      <c r="I122" s="21">
        <f t="shared" si="26"/>
        <v>1</v>
      </c>
      <c r="J122" s="717"/>
      <c r="K122" s="21">
        <f t="shared" si="27"/>
        <v>1</v>
      </c>
      <c r="L122" s="717"/>
      <c r="M122" s="21">
        <f t="shared" si="28"/>
        <v>1</v>
      </c>
      <c r="N122" s="717"/>
      <c r="O122" s="21">
        <f t="shared" si="29"/>
        <v>1</v>
      </c>
      <c r="P122" s="717"/>
      <c r="Q122" s="21">
        <f t="shared" si="30"/>
        <v>1</v>
      </c>
      <c r="R122" s="713">
        <f t="shared" si="31"/>
        <v>0</v>
      </c>
      <c r="S122" s="358">
        <f t="shared" si="22"/>
        <v>0</v>
      </c>
    </row>
    <row r="123" spans="1:19">
      <c r="A123" s="156"/>
      <c r="B123" s="56"/>
      <c r="C123" s="21">
        <f t="shared" si="23"/>
        <v>1</v>
      </c>
      <c r="D123" s="717"/>
      <c r="E123" s="21">
        <f t="shared" si="24"/>
        <v>1</v>
      </c>
      <c r="F123" s="717"/>
      <c r="G123" s="21">
        <f t="shared" si="25"/>
        <v>1</v>
      </c>
      <c r="H123" s="717"/>
      <c r="I123" s="21">
        <f t="shared" si="26"/>
        <v>1</v>
      </c>
      <c r="J123" s="717"/>
      <c r="K123" s="21">
        <f t="shared" si="27"/>
        <v>1</v>
      </c>
      <c r="L123" s="717"/>
      <c r="M123" s="21">
        <f t="shared" si="28"/>
        <v>1</v>
      </c>
      <c r="N123" s="717"/>
      <c r="O123" s="21">
        <f t="shared" si="29"/>
        <v>1</v>
      </c>
      <c r="P123" s="717"/>
      <c r="Q123" s="21">
        <f t="shared" si="30"/>
        <v>1</v>
      </c>
      <c r="R123" s="713">
        <f t="shared" si="31"/>
        <v>0</v>
      </c>
      <c r="S123" s="358">
        <f t="shared" ref="S123:S186" si="32">ROUND(R123*B123/10000,0)</f>
        <v>0</v>
      </c>
    </row>
    <row r="124" spans="1:19">
      <c r="A124" s="156"/>
      <c r="B124" s="56"/>
      <c r="C124" s="21">
        <f t="shared" si="23"/>
        <v>1</v>
      </c>
      <c r="D124" s="717"/>
      <c r="E124" s="21">
        <f t="shared" si="24"/>
        <v>1</v>
      </c>
      <c r="F124" s="717"/>
      <c r="G124" s="21">
        <f t="shared" si="25"/>
        <v>1</v>
      </c>
      <c r="H124" s="717"/>
      <c r="I124" s="21">
        <f t="shared" si="26"/>
        <v>1</v>
      </c>
      <c r="J124" s="717"/>
      <c r="K124" s="21">
        <f t="shared" si="27"/>
        <v>1</v>
      </c>
      <c r="L124" s="717"/>
      <c r="M124" s="21">
        <f t="shared" si="28"/>
        <v>1</v>
      </c>
      <c r="N124" s="717"/>
      <c r="O124" s="21">
        <f t="shared" si="29"/>
        <v>1</v>
      </c>
      <c r="P124" s="717"/>
      <c r="Q124" s="21">
        <f t="shared" si="30"/>
        <v>1</v>
      </c>
      <c r="R124" s="713">
        <f t="shared" si="31"/>
        <v>0</v>
      </c>
      <c r="S124" s="358">
        <f t="shared" si="32"/>
        <v>0</v>
      </c>
    </row>
    <row r="125" spans="1:19">
      <c r="A125" s="156"/>
      <c r="B125" s="56"/>
      <c r="C125" s="21">
        <f t="shared" si="23"/>
        <v>1</v>
      </c>
      <c r="D125" s="717"/>
      <c r="E125" s="21">
        <f t="shared" si="24"/>
        <v>1</v>
      </c>
      <c r="F125" s="717"/>
      <c r="G125" s="21">
        <f t="shared" si="25"/>
        <v>1</v>
      </c>
      <c r="H125" s="717"/>
      <c r="I125" s="21">
        <f t="shared" si="26"/>
        <v>1</v>
      </c>
      <c r="J125" s="717"/>
      <c r="K125" s="21">
        <f t="shared" si="27"/>
        <v>1</v>
      </c>
      <c r="L125" s="717"/>
      <c r="M125" s="21">
        <f t="shared" si="28"/>
        <v>1</v>
      </c>
      <c r="N125" s="717"/>
      <c r="O125" s="21">
        <f t="shared" si="29"/>
        <v>1</v>
      </c>
      <c r="P125" s="717"/>
      <c r="Q125" s="21">
        <f t="shared" si="30"/>
        <v>1</v>
      </c>
      <c r="R125" s="713">
        <f t="shared" si="31"/>
        <v>0</v>
      </c>
      <c r="S125" s="358">
        <f t="shared" si="32"/>
        <v>0</v>
      </c>
    </row>
    <row r="126" spans="1:19">
      <c r="A126" s="156"/>
      <c r="B126" s="56"/>
      <c r="C126" s="21">
        <f t="shared" si="23"/>
        <v>1</v>
      </c>
      <c r="D126" s="717"/>
      <c r="E126" s="21">
        <f t="shared" si="24"/>
        <v>1</v>
      </c>
      <c r="F126" s="717"/>
      <c r="G126" s="21">
        <f t="shared" si="25"/>
        <v>1</v>
      </c>
      <c r="H126" s="717"/>
      <c r="I126" s="21">
        <f t="shared" si="26"/>
        <v>1</v>
      </c>
      <c r="J126" s="717"/>
      <c r="K126" s="21">
        <f t="shared" si="27"/>
        <v>1</v>
      </c>
      <c r="L126" s="717"/>
      <c r="M126" s="21">
        <f t="shared" si="28"/>
        <v>1</v>
      </c>
      <c r="N126" s="717"/>
      <c r="O126" s="21">
        <f t="shared" si="29"/>
        <v>1</v>
      </c>
      <c r="P126" s="717"/>
      <c r="Q126" s="21">
        <f t="shared" si="30"/>
        <v>1</v>
      </c>
      <c r="R126" s="713">
        <f t="shared" si="31"/>
        <v>0</v>
      </c>
      <c r="S126" s="358">
        <f t="shared" si="32"/>
        <v>0</v>
      </c>
    </row>
    <row r="127" spans="1:19">
      <c r="A127" s="156"/>
      <c r="B127" s="56"/>
      <c r="C127" s="21">
        <f t="shared" si="23"/>
        <v>1</v>
      </c>
      <c r="D127" s="717"/>
      <c r="E127" s="21">
        <f t="shared" si="24"/>
        <v>1</v>
      </c>
      <c r="F127" s="717"/>
      <c r="G127" s="21">
        <f t="shared" si="25"/>
        <v>1</v>
      </c>
      <c r="H127" s="717"/>
      <c r="I127" s="21">
        <f t="shared" si="26"/>
        <v>1</v>
      </c>
      <c r="J127" s="717"/>
      <c r="K127" s="21">
        <f t="shared" si="27"/>
        <v>1</v>
      </c>
      <c r="L127" s="717"/>
      <c r="M127" s="21">
        <f t="shared" si="28"/>
        <v>1</v>
      </c>
      <c r="N127" s="717"/>
      <c r="O127" s="21">
        <f t="shared" si="29"/>
        <v>1</v>
      </c>
      <c r="P127" s="717"/>
      <c r="Q127" s="21">
        <f t="shared" si="30"/>
        <v>1</v>
      </c>
      <c r="R127" s="713">
        <f t="shared" si="31"/>
        <v>0</v>
      </c>
      <c r="S127" s="358">
        <f t="shared" si="32"/>
        <v>0</v>
      </c>
    </row>
    <row r="128" spans="1:19">
      <c r="A128" s="156"/>
      <c r="B128" s="56"/>
      <c r="C128" s="21">
        <f t="shared" si="23"/>
        <v>1</v>
      </c>
      <c r="D128" s="717"/>
      <c r="E128" s="21">
        <f t="shared" si="24"/>
        <v>1</v>
      </c>
      <c r="F128" s="717"/>
      <c r="G128" s="21">
        <f t="shared" si="25"/>
        <v>1</v>
      </c>
      <c r="H128" s="717"/>
      <c r="I128" s="21">
        <f t="shared" si="26"/>
        <v>1</v>
      </c>
      <c r="J128" s="717"/>
      <c r="K128" s="21">
        <f t="shared" si="27"/>
        <v>1</v>
      </c>
      <c r="L128" s="717"/>
      <c r="M128" s="21">
        <f t="shared" si="28"/>
        <v>1</v>
      </c>
      <c r="N128" s="717"/>
      <c r="O128" s="21">
        <f t="shared" si="29"/>
        <v>1</v>
      </c>
      <c r="P128" s="717"/>
      <c r="Q128" s="21">
        <f t="shared" si="30"/>
        <v>1</v>
      </c>
      <c r="R128" s="713">
        <f t="shared" si="31"/>
        <v>0</v>
      </c>
      <c r="S128" s="358">
        <f t="shared" si="32"/>
        <v>0</v>
      </c>
    </row>
    <row r="129" spans="1:19">
      <c r="A129" s="156"/>
      <c r="B129" s="56"/>
      <c r="C129" s="21">
        <f t="shared" si="23"/>
        <v>1</v>
      </c>
      <c r="D129" s="717"/>
      <c r="E129" s="21">
        <f t="shared" si="24"/>
        <v>1</v>
      </c>
      <c r="F129" s="717"/>
      <c r="G129" s="21">
        <f t="shared" si="25"/>
        <v>1</v>
      </c>
      <c r="H129" s="717"/>
      <c r="I129" s="21">
        <f t="shared" si="26"/>
        <v>1</v>
      </c>
      <c r="J129" s="717"/>
      <c r="K129" s="21">
        <f t="shared" si="27"/>
        <v>1</v>
      </c>
      <c r="L129" s="717"/>
      <c r="M129" s="21">
        <f t="shared" si="28"/>
        <v>1</v>
      </c>
      <c r="N129" s="717"/>
      <c r="O129" s="21">
        <f t="shared" si="29"/>
        <v>1</v>
      </c>
      <c r="P129" s="717"/>
      <c r="Q129" s="21">
        <f t="shared" si="30"/>
        <v>1</v>
      </c>
      <c r="R129" s="713">
        <f t="shared" si="31"/>
        <v>0</v>
      </c>
      <c r="S129" s="358">
        <f t="shared" si="32"/>
        <v>0</v>
      </c>
    </row>
    <row r="130" spans="1:19">
      <c r="A130" s="156"/>
      <c r="B130" s="56"/>
      <c r="C130" s="21">
        <f t="shared" si="23"/>
        <v>1</v>
      </c>
      <c r="D130" s="717"/>
      <c r="E130" s="21">
        <f t="shared" si="24"/>
        <v>1</v>
      </c>
      <c r="F130" s="717"/>
      <c r="G130" s="21">
        <f t="shared" si="25"/>
        <v>1</v>
      </c>
      <c r="H130" s="717"/>
      <c r="I130" s="21">
        <f t="shared" si="26"/>
        <v>1</v>
      </c>
      <c r="J130" s="717"/>
      <c r="K130" s="21">
        <f t="shared" si="27"/>
        <v>1</v>
      </c>
      <c r="L130" s="717"/>
      <c r="M130" s="21">
        <f t="shared" si="28"/>
        <v>1</v>
      </c>
      <c r="N130" s="717"/>
      <c r="O130" s="21">
        <f t="shared" si="29"/>
        <v>1</v>
      </c>
      <c r="P130" s="717"/>
      <c r="Q130" s="21">
        <f t="shared" si="30"/>
        <v>1</v>
      </c>
      <c r="R130" s="713">
        <f t="shared" si="31"/>
        <v>0</v>
      </c>
      <c r="S130" s="358">
        <f t="shared" si="32"/>
        <v>0</v>
      </c>
    </row>
    <row r="131" spans="1:19">
      <c r="A131" s="156"/>
      <c r="B131" s="56"/>
      <c r="C131" s="21">
        <f t="shared" si="23"/>
        <v>1</v>
      </c>
      <c r="D131" s="717"/>
      <c r="E131" s="21">
        <f t="shared" si="24"/>
        <v>1</v>
      </c>
      <c r="F131" s="717"/>
      <c r="G131" s="21">
        <f t="shared" si="25"/>
        <v>1</v>
      </c>
      <c r="H131" s="717"/>
      <c r="I131" s="21">
        <f t="shared" si="26"/>
        <v>1</v>
      </c>
      <c r="J131" s="717"/>
      <c r="K131" s="21">
        <f t="shared" si="27"/>
        <v>1</v>
      </c>
      <c r="L131" s="717"/>
      <c r="M131" s="21">
        <f t="shared" si="28"/>
        <v>1</v>
      </c>
      <c r="N131" s="717"/>
      <c r="O131" s="21">
        <f t="shared" si="29"/>
        <v>1</v>
      </c>
      <c r="P131" s="717"/>
      <c r="Q131" s="21">
        <f t="shared" si="30"/>
        <v>1</v>
      </c>
      <c r="R131" s="713">
        <f t="shared" si="31"/>
        <v>0</v>
      </c>
      <c r="S131" s="358">
        <f t="shared" si="32"/>
        <v>0</v>
      </c>
    </row>
    <row r="132" spans="1:19">
      <c r="A132" s="156"/>
      <c r="B132" s="56"/>
      <c r="C132" s="21">
        <f t="shared" si="23"/>
        <v>1</v>
      </c>
      <c r="D132" s="717"/>
      <c r="E132" s="21">
        <f t="shared" si="24"/>
        <v>1</v>
      </c>
      <c r="F132" s="717"/>
      <c r="G132" s="21">
        <f t="shared" si="25"/>
        <v>1</v>
      </c>
      <c r="H132" s="717"/>
      <c r="I132" s="21">
        <f t="shared" si="26"/>
        <v>1</v>
      </c>
      <c r="J132" s="717"/>
      <c r="K132" s="21">
        <f t="shared" si="27"/>
        <v>1</v>
      </c>
      <c r="L132" s="717"/>
      <c r="M132" s="21">
        <f t="shared" si="28"/>
        <v>1</v>
      </c>
      <c r="N132" s="717"/>
      <c r="O132" s="21">
        <f t="shared" si="29"/>
        <v>1</v>
      </c>
      <c r="P132" s="717"/>
      <c r="Q132" s="21">
        <f t="shared" si="30"/>
        <v>1</v>
      </c>
      <c r="R132" s="713">
        <f t="shared" si="31"/>
        <v>0</v>
      </c>
      <c r="S132" s="358">
        <f t="shared" si="32"/>
        <v>0</v>
      </c>
    </row>
    <row r="133" spans="1:19">
      <c r="A133" s="156"/>
      <c r="B133" s="56"/>
      <c r="C133" s="21">
        <f t="shared" si="23"/>
        <v>1</v>
      </c>
      <c r="D133" s="717"/>
      <c r="E133" s="21">
        <f t="shared" si="24"/>
        <v>1</v>
      </c>
      <c r="F133" s="717"/>
      <c r="G133" s="21">
        <f t="shared" si="25"/>
        <v>1</v>
      </c>
      <c r="H133" s="717"/>
      <c r="I133" s="21">
        <f t="shared" si="26"/>
        <v>1</v>
      </c>
      <c r="J133" s="717"/>
      <c r="K133" s="21">
        <f t="shared" si="27"/>
        <v>1</v>
      </c>
      <c r="L133" s="717"/>
      <c r="M133" s="21">
        <f t="shared" si="28"/>
        <v>1</v>
      </c>
      <c r="N133" s="717"/>
      <c r="O133" s="21">
        <f t="shared" si="29"/>
        <v>1</v>
      </c>
      <c r="P133" s="717"/>
      <c r="Q133" s="21">
        <f t="shared" si="30"/>
        <v>1</v>
      </c>
      <c r="R133" s="713">
        <f t="shared" si="31"/>
        <v>0</v>
      </c>
      <c r="S133" s="358">
        <f t="shared" si="32"/>
        <v>0</v>
      </c>
    </row>
    <row r="134" spans="1:19">
      <c r="A134" s="156"/>
      <c r="B134" s="56"/>
      <c r="C134" s="21">
        <f t="shared" si="23"/>
        <v>1</v>
      </c>
      <c r="D134" s="717"/>
      <c r="E134" s="21">
        <f t="shared" si="24"/>
        <v>1</v>
      </c>
      <c r="F134" s="717"/>
      <c r="G134" s="21">
        <f t="shared" si="25"/>
        <v>1</v>
      </c>
      <c r="H134" s="717"/>
      <c r="I134" s="21">
        <f t="shared" si="26"/>
        <v>1</v>
      </c>
      <c r="J134" s="717"/>
      <c r="K134" s="21">
        <f t="shared" si="27"/>
        <v>1</v>
      </c>
      <c r="L134" s="717"/>
      <c r="M134" s="21">
        <f t="shared" si="28"/>
        <v>1</v>
      </c>
      <c r="N134" s="717"/>
      <c r="O134" s="21">
        <f t="shared" si="29"/>
        <v>1</v>
      </c>
      <c r="P134" s="717"/>
      <c r="Q134" s="21">
        <f t="shared" si="30"/>
        <v>1</v>
      </c>
      <c r="R134" s="713">
        <f t="shared" si="31"/>
        <v>0</v>
      </c>
      <c r="S134" s="358">
        <f t="shared" si="32"/>
        <v>0</v>
      </c>
    </row>
    <row r="135" spans="1:19">
      <c r="A135" s="156"/>
      <c r="B135" s="56"/>
      <c r="C135" s="21">
        <f t="shared" si="23"/>
        <v>1</v>
      </c>
      <c r="D135" s="717"/>
      <c r="E135" s="21">
        <f t="shared" si="24"/>
        <v>1</v>
      </c>
      <c r="F135" s="717"/>
      <c r="G135" s="21">
        <f t="shared" si="25"/>
        <v>1</v>
      </c>
      <c r="H135" s="717"/>
      <c r="I135" s="21">
        <f t="shared" si="26"/>
        <v>1</v>
      </c>
      <c r="J135" s="717"/>
      <c r="K135" s="21">
        <f t="shared" si="27"/>
        <v>1</v>
      </c>
      <c r="L135" s="717"/>
      <c r="M135" s="21">
        <f t="shared" si="28"/>
        <v>1</v>
      </c>
      <c r="N135" s="717"/>
      <c r="O135" s="21">
        <f t="shared" si="29"/>
        <v>1</v>
      </c>
      <c r="P135" s="717"/>
      <c r="Q135" s="21">
        <f t="shared" si="30"/>
        <v>1</v>
      </c>
      <c r="R135" s="713">
        <f t="shared" si="31"/>
        <v>0</v>
      </c>
      <c r="S135" s="358">
        <f t="shared" si="32"/>
        <v>0</v>
      </c>
    </row>
    <row r="136" spans="1:19">
      <c r="A136" s="156"/>
      <c r="B136" s="56"/>
      <c r="C136" s="21">
        <f t="shared" si="23"/>
        <v>1</v>
      </c>
      <c r="D136" s="717"/>
      <c r="E136" s="21">
        <f t="shared" si="24"/>
        <v>1</v>
      </c>
      <c r="F136" s="717"/>
      <c r="G136" s="21">
        <f t="shared" si="25"/>
        <v>1</v>
      </c>
      <c r="H136" s="717"/>
      <c r="I136" s="21">
        <f t="shared" si="26"/>
        <v>1</v>
      </c>
      <c r="J136" s="717"/>
      <c r="K136" s="21">
        <f t="shared" si="27"/>
        <v>1</v>
      </c>
      <c r="L136" s="717"/>
      <c r="M136" s="21">
        <f t="shared" si="28"/>
        <v>1</v>
      </c>
      <c r="N136" s="717"/>
      <c r="O136" s="21">
        <f t="shared" si="29"/>
        <v>1</v>
      </c>
      <c r="P136" s="717"/>
      <c r="Q136" s="21">
        <f t="shared" si="30"/>
        <v>1</v>
      </c>
      <c r="R136" s="713">
        <f t="shared" si="31"/>
        <v>0</v>
      </c>
      <c r="S136" s="358">
        <f t="shared" si="32"/>
        <v>0</v>
      </c>
    </row>
    <row r="137" spans="1:19">
      <c r="A137" s="156"/>
      <c r="B137" s="56"/>
      <c r="C137" s="21">
        <f t="shared" si="23"/>
        <v>1</v>
      </c>
      <c r="D137" s="717"/>
      <c r="E137" s="21">
        <f t="shared" si="24"/>
        <v>1</v>
      </c>
      <c r="F137" s="717"/>
      <c r="G137" s="21">
        <f t="shared" si="25"/>
        <v>1</v>
      </c>
      <c r="H137" s="717"/>
      <c r="I137" s="21">
        <f t="shared" si="26"/>
        <v>1</v>
      </c>
      <c r="J137" s="717"/>
      <c r="K137" s="21">
        <f t="shared" si="27"/>
        <v>1</v>
      </c>
      <c r="L137" s="717"/>
      <c r="M137" s="21">
        <f t="shared" si="28"/>
        <v>1</v>
      </c>
      <c r="N137" s="717"/>
      <c r="O137" s="21">
        <f t="shared" si="29"/>
        <v>1</v>
      </c>
      <c r="P137" s="717"/>
      <c r="Q137" s="21">
        <f t="shared" si="30"/>
        <v>1</v>
      </c>
      <c r="R137" s="713">
        <f t="shared" si="31"/>
        <v>0</v>
      </c>
      <c r="S137" s="358">
        <f t="shared" si="32"/>
        <v>0</v>
      </c>
    </row>
    <row r="138" spans="1:19">
      <c r="A138" s="156"/>
      <c r="B138" s="56"/>
      <c r="C138" s="21">
        <f t="shared" si="23"/>
        <v>1</v>
      </c>
      <c r="D138" s="717"/>
      <c r="E138" s="21">
        <f t="shared" si="24"/>
        <v>1</v>
      </c>
      <c r="F138" s="717"/>
      <c r="G138" s="21">
        <f t="shared" si="25"/>
        <v>1</v>
      </c>
      <c r="H138" s="717"/>
      <c r="I138" s="21">
        <f t="shared" si="26"/>
        <v>1</v>
      </c>
      <c r="J138" s="717"/>
      <c r="K138" s="21">
        <f t="shared" si="27"/>
        <v>1</v>
      </c>
      <c r="L138" s="717"/>
      <c r="M138" s="21">
        <f t="shared" si="28"/>
        <v>1</v>
      </c>
      <c r="N138" s="717"/>
      <c r="O138" s="21">
        <f t="shared" si="29"/>
        <v>1</v>
      </c>
      <c r="P138" s="717"/>
      <c r="Q138" s="21">
        <f t="shared" si="30"/>
        <v>1</v>
      </c>
      <c r="R138" s="713">
        <f t="shared" si="31"/>
        <v>0</v>
      </c>
      <c r="S138" s="358">
        <f t="shared" si="32"/>
        <v>0</v>
      </c>
    </row>
    <row r="139" spans="1:19">
      <c r="A139" s="156"/>
      <c r="B139" s="56"/>
      <c r="C139" s="21">
        <f t="shared" si="23"/>
        <v>1</v>
      </c>
      <c r="D139" s="717"/>
      <c r="E139" s="21">
        <f t="shared" si="24"/>
        <v>1</v>
      </c>
      <c r="F139" s="717"/>
      <c r="G139" s="21">
        <f t="shared" si="25"/>
        <v>1</v>
      </c>
      <c r="H139" s="717"/>
      <c r="I139" s="21">
        <f t="shared" si="26"/>
        <v>1</v>
      </c>
      <c r="J139" s="717"/>
      <c r="K139" s="21">
        <f t="shared" si="27"/>
        <v>1</v>
      </c>
      <c r="L139" s="717"/>
      <c r="M139" s="21">
        <f t="shared" si="28"/>
        <v>1</v>
      </c>
      <c r="N139" s="717"/>
      <c r="O139" s="21">
        <f t="shared" si="29"/>
        <v>1</v>
      </c>
      <c r="P139" s="717"/>
      <c r="Q139" s="21">
        <f t="shared" si="30"/>
        <v>1</v>
      </c>
      <c r="R139" s="713">
        <f t="shared" si="31"/>
        <v>0</v>
      </c>
      <c r="S139" s="358">
        <f t="shared" si="32"/>
        <v>0</v>
      </c>
    </row>
    <row r="140" spans="1:19">
      <c r="A140" s="156"/>
      <c r="B140" s="56"/>
      <c r="C140" s="21">
        <f t="shared" si="23"/>
        <v>1</v>
      </c>
      <c r="D140" s="717"/>
      <c r="E140" s="21">
        <f t="shared" si="24"/>
        <v>1</v>
      </c>
      <c r="F140" s="717"/>
      <c r="G140" s="21">
        <f t="shared" si="25"/>
        <v>1</v>
      </c>
      <c r="H140" s="717"/>
      <c r="I140" s="21">
        <f t="shared" si="26"/>
        <v>1</v>
      </c>
      <c r="J140" s="717"/>
      <c r="K140" s="21">
        <f t="shared" si="27"/>
        <v>1</v>
      </c>
      <c r="L140" s="717"/>
      <c r="M140" s="21">
        <f t="shared" si="28"/>
        <v>1</v>
      </c>
      <c r="N140" s="717"/>
      <c r="O140" s="21">
        <f t="shared" si="29"/>
        <v>1</v>
      </c>
      <c r="P140" s="717"/>
      <c r="Q140" s="21">
        <f t="shared" si="30"/>
        <v>1</v>
      </c>
      <c r="R140" s="713">
        <f t="shared" si="31"/>
        <v>0</v>
      </c>
      <c r="S140" s="358">
        <f t="shared" si="32"/>
        <v>0</v>
      </c>
    </row>
    <row r="141" spans="1:19">
      <c r="A141" s="156"/>
      <c r="B141" s="56"/>
      <c r="C141" s="21">
        <f t="shared" si="23"/>
        <v>1</v>
      </c>
      <c r="D141" s="717"/>
      <c r="E141" s="21">
        <f t="shared" si="24"/>
        <v>1</v>
      </c>
      <c r="F141" s="717"/>
      <c r="G141" s="21">
        <f t="shared" si="25"/>
        <v>1</v>
      </c>
      <c r="H141" s="717"/>
      <c r="I141" s="21">
        <f t="shared" si="26"/>
        <v>1</v>
      </c>
      <c r="J141" s="717"/>
      <c r="K141" s="21">
        <f t="shared" si="27"/>
        <v>1</v>
      </c>
      <c r="L141" s="717"/>
      <c r="M141" s="21">
        <f t="shared" si="28"/>
        <v>1</v>
      </c>
      <c r="N141" s="717"/>
      <c r="O141" s="21">
        <f t="shared" si="29"/>
        <v>1</v>
      </c>
      <c r="P141" s="717"/>
      <c r="Q141" s="21">
        <f t="shared" si="30"/>
        <v>1</v>
      </c>
      <c r="R141" s="713">
        <f t="shared" si="31"/>
        <v>0</v>
      </c>
      <c r="S141" s="358">
        <f t="shared" si="32"/>
        <v>0</v>
      </c>
    </row>
    <row r="142" spans="1:19">
      <c r="A142" s="156"/>
      <c r="B142" s="56"/>
      <c r="C142" s="21">
        <f t="shared" si="23"/>
        <v>1</v>
      </c>
      <c r="D142" s="717"/>
      <c r="E142" s="21">
        <f t="shared" si="24"/>
        <v>1</v>
      </c>
      <c r="F142" s="717"/>
      <c r="G142" s="21">
        <f t="shared" si="25"/>
        <v>1</v>
      </c>
      <c r="H142" s="717"/>
      <c r="I142" s="21">
        <f t="shared" si="26"/>
        <v>1</v>
      </c>
      <c r="J142" s="717"/>
      <c r="K142" s="21">
        <f t="shared" si="27"/>
        <v>1</v>
      </c>
      <c r="L142" s="717"/>
      <c r="M142" s="21">
        <f t="shared" si="28"/>
        <v>1</v>
      </c>
      <c r="N142" s="717"/>
      <c r="O142" s="21">
        <f t="shared" si="29"/>
        <v>1</v>
      </c>
      <c r="P142" s="717"/>
      <c r="Q142" s="21">
        <f t="shared" si="30"/>
        <v>1</v>
      </c>
      <c r="R142" s="713">
        <f t="shared" si="31"/>
        <v>0</v>
      </c>
      <c r="S142" s="358">
        <f t="shared" si="32"/>
        <v>0</v>
      </c>
    </row>
    <row r="143" spans="1:19">
      <c r="A143" s="156"/>
      <c r="B143" s="56"/>
      <c r="C143" s="21">
        <f t="shared" si="23"/>
        <v>1</v>
      </c>
      <c r="D143" s="717"/>
      <c r="E143" s="21">
        <f t="shared" si="24"/>
        <v>1</v>
      </c>
      <c r="F143" s="717"/>
      <c r="G143" s="21">
        <f t="shared" si="25"/>
        <v>1</v>
      </c>
      <c r="H143" s="717"/>
      <c r="I143" s="21">
        <f t="shared" si="26"/>
        <v>1</v>
      </c>
      <c r="J143" s="717"/>
      <c r="K143" s="21">
        <f t="shared" si="27"/>
        <v>1</v>
      </c>
      <c r="L143" s="717"/>
      <c r="M143" s="21">
        <f t="shared" si="28"/>
        <v>1</v>
      </c>
      <c r="N143" s="717"/>
      <c r="O143" s="21">
        <f t="shared" si="29"/>
        <v>1</v>
      </c>
      <c r="P143" s="717"/>
      <c r="Q143" s="21">
        <f t="shared" si="30"/>
        <v>1</v>
      </c>
      <c r="R143" s="713">
        <f t="shared" si="31"/>
        <v>0</v>
      </c>
      <c r="S143" s="358">
        <f t="shared" si="32"/>
        <v>0</v>
      </c>
    </row>
    <row r="144" spans="1:19">
      <c r="A144" s="156"/>
      <c r="B144" s="56"/>
      <c r="C144" s="21">
        <f t="shared" si="23"/>
        <v>1</v>
      </c>
      <c r="D144" s="717"/>
      <c r="E144" s="21">
        <f t="shared" si="24"/>
        <v>1</v>
      </c>
      <c r="F144" s="717"/>
      <c r="G144" s="21">
        <f t="shared" si="25"/>
        <v>1</v>
      </c>
      <c r="H144" s="717"/>
      <c r="I144" s="21">
        <f t="shared" si="26"/>
        <v>1</v>
      </c>
      <c r="J144" s="717"/>
      <c r="K144" s="21">
        <f t="shared" si="27"/>
        <v>1</v>
      </c>
      <c r="L144" s="717"/>
      <c r="M144" s="21">
        <f t="shared" si="28"/>
        <v>1</v>
      </c>
      <c r="N144" s="717"/>
      <c r="O144" s="21">
        <f t="shared" si="29"/>
        <v>1</v>
      </c>
      <c r="P144" s="717"/>
      <c r="Q144" s="21">
        <f t="shared" si="30"/>
        <v>1</v>
      </c>
      <c r="R144" s="713">
        <f t="shared" si="31"/>
        <v>0</v>
      </c>
      <c r="S144" s="358">
        <f t="shared" si="32"/>
        <v>0</v>
      </c>
    </row>
    <row r="145" spans="1:19">
      <c r="A145" s="156"/>
      <c r="B145" s="56"/>
      <c r="C145" s="21">
        <f t="shared" si="23"/>
        <v>1</v>
      </c>
      <c r="D145" s="717"/>
      <c r="E145" s="21">
        <f t="shared" si="24"/>
        <v>1</v>
      </c>
      <c r="F145" s="717"/>
      <c r="G145" s="21">
        <f t="shared" si="25"/>
        <v>1</v>
      </c>
      <c r="H145" s="717"/>
      <c r="I145" s="21">
        <f t="shared" si="26"/>
        <v>1</v>
      </c>
      <c r="J145" s="717"/>
      <c r="K145" s="21">
        <f t="shared" si="27"/>
        <v>1</v>
      </c>
      <c r="L145" s="717"/>
      <c r="M145" s="21">
        <f t="shared" si="28"/>
        <v>1</v>
      </c>
      <c r="N145" s="717"/>
      <c r="O145" s="21">
        <f t="shared" si="29"/>
        <v>1</v>
      </c>
      <c r="P145" s="717"/>
      <c r="Q145" s="21">
        <f t="shared" si="30"/>
        <v>1</v>
      </c>
      <c r="R145" s="713">
        <f t="shared" si="31"/>
        <v>0</v>
      </c>
      <c r="S145" s="358">
        <f t="shared" si="32"/>
        <v>0</v>
      </c>
    </row>
    <row r="146" spans="1:19">
      <c r="A146" s="156"/>
      <c r="B146" s="56"/>
      <c r="C146" s="21">
        <f t="shared" si="23"/>
        <v>1</v>
      </c>
      <c r="D146" s="717"/>
      <c r="E146" s="21">
        <f t="shared" si="24"/>
        <v>1</v>
      </c>
      <c r="F146" s="717"/>
      <c r="G146" s="21">
        <f t="shared" si="25"/>
        <v>1</v>
      </c>
      <c r="H146" s="717"/>
      <c r="I146" s="21">
        <f t="shared" si="26"/>
        <v>1</v>
      </c>
      <c r="J146" s="717"/>
      <c r="K146" s="21">
        <f t="shared" si="27"/>
        <v>1</v>
      </c>
      <c r="L146" s="717"/>
      <c r="M146" s="21">
        <f t="shared" si="28"/>
        <v>1</v>
      </c>
      <c r="N146" s="717"/>
      <c r="O146" s="21">
        <f t="shared" si="29"/>
        <v>1</v>
      </c>
      <c r="P146" s="717"/>
      <c r="Q146" s="21">
        <f t="shared" si="30"/>
        <v>1</v>
      </c>
      <c r="R146" s="713">
        <f t="shared" si="31"/>
        <v>0</v>
      </c>
      <c r="S146" s="358">
        <f t="shared" si="32"/>
        <v>0</v>
      </c>
    </row>
    <row r="147" spans="1:19">
      <c r="A147" s="156"/>
      <c r="B147" s="56"/>
      <c r="C147" s="21">
        <f t="shared" si="23"/>
        <v>1</v>
      </c>
      <c r="D147" s="717"/>
      <c r="E147" s="21">
        <f t="shared" si="24"/>
        <v>1</v>
      </c>
      <c r="F147" s="717"/>
      <c r="G147" s="21">
        <f t="shared" si="25"/>
        <v>1</v>
      </c>
      <c r="H147" s="717"/>
      <c r="I147" s="21">
        <f t="shared" si="26"/>
        <v>1</v>
      </c>
      <c r="J147" s="717"/>
      <c r="K147" s="21">
        <f t="shared" si="27"/>
        <v>1</v>
      </c>
      <c r="L147" s="717"/>
      <c r="M147" s="21">
        <f t="shared" si="28"/>
        <v>1</v>
      </c>
      <c r="N147" s="717"/>
      <c r="O147" s="21">
        <f t="shared" si="29"/>
        <v>1</v>
      </c>
      <c r="P147" s="717"/>
      <c r="Q147" s="21">
        <f t="shared" si="30"/>
        <v>1</v>
      </c>
      <c r="R147" s="713">
        <f t="shared" si="31"/>
        <v>0</v>
      </c>
      <c r="S147" s="358">
        <f t="shared" si="32"/>
        <v>0</v>
      </c>
    </row>
    <row r="148" spans="1:19">
      <c r="A148" s="156"/>
      <c r="B148" s="56"/>
      <c r="C148" s="21">
        <f t="shared" si="23"/>
        <v>1</v>
      </c>
      <c r="D148" s="717"/>
      <c r="E148" s="21">
        <f t="shared" si="24"/>
        <v>1</v>
      </c>
      <c r="F148" s="717"/>
      <c r="G148" s="21">
        <f t="shared" si="25"/>
        <v>1</v>
      </c>
      <c r="H148" s="717"/>
      <c r="I148" s="21">
        <f t="shared" si="26"/>
        <v>1</v>
      </c>
      <c r="J148" s="717"/>
      <c r="K148" s="21">
        <f t="shared" si="27"/>
        <v>1</v>
      </c>
      <c r="L148" s="717"/>
      <c r="M148" s="21">
        <f t="shared" si="28"/>
        <v>1</v>
      </c>
      <c r="N148" s="717"/>
      <c r="O148" s="21">
        <f t="shared" si="29"/>
        <v>1</v>
      </c>
      <c r="P148" s="717"/>
      <c r="Q148" s="21">
        <f t="shared" si="30"/>
        <v>1</v>
      </c>
      <c r="R148" s="713">
        <f t="shared" si="31"/>
        <v>0</v>
      </c>
      <c r="S148" s="358">
        <f t="shared" si="32"/>
        <v>0</v>
      </c>
    </row>
    <row r="149" spans="1:19">
      <c r="A149" s="156"/>
      <c r="B149" s="56"/>
      <c r="C149" s="21">
        <f t="shared" si="23"/>
        <v>1</v>
      </c>
      <c r="D149" s="717"/>
      <c r="E149" s="21">
        <f t="shared" si="24"/>
        <v>1</v>
      </c>
      <c r="F149" s="717"/>
      <c r="G149" s="21">
        <f t="shared" si="25"/>
        <v>1</v>
      </c>
      <c r="H149" s="717"/>
      <c r="I149" s="21">
        <f t="shared" si="26"/>
        <v>1</v>
      </c>
      <c r="J149" s="717"/>
      <c r="K149" s="21">
        <f t="shared" si="27"/>
        <v>1</v>
      </c>
      <c r="L149" s="717"/>
      <c r="M149" s="21">
        <f t="shared" si="28"/>
        <v>1</v>
      </c>
      <c r="N149" s="717"/>
      <c r="O149" s="21">
        <f t="shared" si="29"/>
        <v>1</v>
      </c>
      <c r="P149" s="717"/>
      <c r="Q149" s="21">
        <f t="shared" si="30"/>
        <v>1</v>
      </c>
      <c r="R149" s="713">
        <f t="shared" si="31"/>
        <v>0</v>
      </c>
      <c r="S149" s="358">
        <f t="shared" si="32"/>
        <v>0</v>
      </c>
    </row>
    <row r="150" spans="1:19">
      <c r="A150" s="156"/>
      <c r="B150" s="56"/>
      <c r="C150" s="21">
        <f t="shared" si="23"/>
        <v>1</v>
      </c>
      <c r="D150" s="717"/>
      <c r="E150" s="21">
        <f t="shared" si="24"/>
        <v>1</v>
      </c>
      <c r="F150" s="717"/>
      <c r="G150" s="21">
        <f t="shared" si="25"/>
        <v>1</v>
      </c>
      <c r="H150" s="717"/>
      <c r="I150" s="21">
        <f t="shared" si="26"/>
        <v>1</v>
      </c>
      <c r="J150" s="717"/>
      <c r="K150" s="21">
        <f t="shared" si="27"/>
        <v>1</v>
      </c>
      <c r="L150" s="717"/>
      <c r="M150" s="21">
        <f t="shared" si="28"/>
        <v>1</v>
      </c>
      <c r="N150" s="717"/>
      <c r="O150" s="21">
        <f t="shared" si="29"/>
        <v>1</v>
      </c>
      <c r="P150" s="717"/>
      <c r="Q150" s="21">
        <f t="shared" si="30"/>
        <v>1</v>
      </c>
      <c r="R150" s="713">
        <f t="shared" si="31"/>
        <v>0</v>
      </c>
      <c r="S150" s="358">
        <f t="shared" si="32"/>
        <v>0</v>
      </c>
    </row>
    <row r="151" spans="1:19">
      <c r="A151" s="156"/>
      <c r="B151" s="56"/>
      <c r="C151" s="21">
        <f t="shared" si="23"/>
        <v>1</v>
      </c>
      <c r="D151" s="717"/>
      <c r="E151" s="21">
        <f t="shared" si="24"/>
        <v>1</v>
      </c>
      <c r="F151" s="717"/>
      <c r="G151" s="21">
        <f t="shared" si="25"/>
        <v>1</v>
      </c>
      <c r="H151" s="717"/>
      <c r="I151" s="21">
        <f t="shared" si="26"/>
        <v>1</v>
      </c>
      <c r="J151" s="717"/>
      <c r="K151" s="21">
        <f t="shared" si="27"/>
        <v>1</v>
      </c>
      <c r="L151" s="717"/>
      <c r="M151" s="21">
        <f t="shared" si="28"/>
        <v>1</v>
      </c>
      <c r="N151" s="717"/>
      <c r="O151" s="21">
        <f t="shared" si="29"/>
        <v>1</v>
      </c>
      <c r="P151" s="717"/>
      <c r="Q151" s="21">
        <f t="shared" si="30"/>
        <v>1</v>
      </c>
      <c r="R151" s="713">
        <f t="shared" si="31"/>
        <v>0</v>
      </c>
      <c r="S151" s="358">
        <f t="shared" si="32"/>
        <v>0</v>
      </c>
    </row>
    <row r="152" spans="1:19">
      <c r="A152" s="156"/>
      <c r="B152" s="56"/>
      <c r="C152" s="21">
        <f t="shared" si="23"/>
        <v>1</v>
      </c>
      <c r="D152" s="717"/>
      <c r="E152" s="21">
        <f t="shared" si="24"/>
        <v>1</v>
      </c>
      <c r="F152" s="717"/>
      <c r="G152" s="21">
        <f t="shared" si="25"/>
        <v>1</v>
      </c>
      <c r="H152" s="717"/>
      <c r="I152" s="21">
        <f t="shared" si="26"/>
        <v>1</v>
      </c>
      <c r="J152" s="717"/>
      <c r="K152" s="21">
        <f t="shared" si="27"/>
        <v>1</v>
      </c>
      <c r="L152" s="717"/>
      <c r="M152" s="21">
        <f t="shared" si="28"/>
        <v>1</v>
      </c>
      <c r="N152" s="717"/>
      <c r="O152" s="21">
        <f t="shared" si="29"/>
        <v>1</v>
      </c>
      <c r="P152" s="717"/>
      <c r="Q152" s="21">
        <f t="shared" si="30"/>
        <v>1</v>
      </c>
      <c r="R152" s="713">
        <f t="shared" si="31"/>
        <v>0</v>
      </c>
      <c r="S152" s="358">
        <f t="shared" si="32"/>
        <v>0</v>
      </c>
    </row>
    <row r="153" spans="1:19">
      <c r="A153" s="156"/>
      <c r="B153" s="56"/>
      <c r="C153" s="21">
        <f t="shared" si="23"/>
        <v>1</v>
      </c>
      <c r="D153" s="717"/>
      <c r="E153" s="21">
        <f t="shared" si="24"/>
        <v>1</v>
      </c>
      <c r="F153" s="717"/>
      <c r="G153" s="21">
        <f t="shared" si="25"/>
        <v>1</v>
      </c>
      <c r="H153" s="717"/>
      <c r="I153" s="21">
        <f t="shared" si="26"/>
        <v>1</v>
      </c>
      <c r="J153" s="717"/>
      <c r="K153" s="21">
        <f t="shared" si="27"/>
        <v>1</v>
      </c>
      <c r="L153" s="717"/>
      <c r="M153" s="21">
        <f t="shared" si="28"/>
        <v>1</v>
      </c>
      <c r="N153" s="717"/>
      <c r="O153" s="21">
        <f t="shared" si="29"/>
        <v>1</v>
      </c>
      <c r="P153" s="717"/>
      <c r="Q153" s="21">
        <f t="shared" si="30"/>
        <v>1</v>
      </c>
      <c r="R153" s="713">
        <f t="shared" si="31"/>
        <v>0</v>
      </c>
      <c r="S153" s="358">
        <f t="shared" si="32"/>
        <v>0</v>
      </c>
    </row>
    <row r="154" spans="1:19">
      <c r="A154" s="156"/>
      <c r="B154" s="56"/>
      <c r="C154" s="21">
        <f t="shared" ref="C154:C217" si="33">IF(B154="",1,(LOOKUP(B154,$3:$3,$4:$4)-LOOKUP($B$24,$3:$3,$4:$4)+100)/100)</f>
        <v>1</v>
      </c>
      <c r="D154" s="717"/>
      <c r="E154" s="21">
        <f t="shared" ref="E154:E217" si="34">(SUMIF($5:$5,D154,$6:$6)-SUMIF($5:$5,$D$24,$6:$6)+100)/100</f>
        <v>1</v>
      </c>
      <c r="F154" s="717"/>
      <c r="G154" s="21">
        <f t="shared" ref="G154:G217" si="35">(SUMIF($7:$7,F154,$8:$8)-SUMIF($7:$7,$F$24,$8:$8)+100)/100</f>
        <v>1</v>
      </c>
      <c r="H154" s="717"/>
      <c r="I154" s="21">
        <f t="shared" ref="I154:I217" si="36">(SUMIF($9:$9,H154,$10:$10)-SUMIF($9:$9,$H$24,$10:$10)+100)/100</f>
        <v>1</v>
      </c>
      <c r="J154" s="717"/>
      <c r="K154" s="21">
        <f t="shared" ref="K154:K217" si="37">(SUMIF($11:$11,J154,$12:$12)-SUMIF($11:$11,$J$24,$12:$12)+100)/100</f>
        <v>1</v>
      </c>
      <c r="L154" s="717"/>
      <c r="M154" s="21">
        <f t="shared" ref="M154:M217" si="38">(SUMIF($13:$13,L154,$14:$14)-SUMIF($13:$13,$L$24,$14:$14)+100)/100</f>
        <v>1</v>
      </c>
      <c r="N154" s="717"/>
      <c r="O154" s="21">
        <f t="shared" ref="O154:O217" si="39">(SUMIF($15:$15,N154,$16:$16)-SUMIF($15:$15,$N$24,$16:$16)+100)/100</f>
        <v>1</v>
      </c>
      <c r="P154" s="717"/>
      <c r="Q154" s="21">
        <f t="shared" ref="Q154:Q217" si="40">(SUMIF($17:$17,P154,$18:$18)-SUMIF($17:$17,$P$24,$18:$18)+100)/100</f>
        <v>1</v>
      </c>
      <c r="R154" s="713">
        <f t="shared" ref="R154:R217" si="41">IF(B154="",0,ROUND($R$24*C154*E154*G154*I154*K154*M154*O154*Q154,0))</f>
        <v>0</v>
      </c>
      <c r="S154" s="358">
        <f t="shared" si="32"/>
        <v>0</v>
      </c>
    </row>
    <row r="155" spans="1:19">
      <c r="A155" s="156"/>
      <c r="B155" s="56"/>
      <c r="C155" s="21">
        <f t="shared" si="33"/>
        <v>1</v>
      </c>
      <c r="D155" s="717"/>
      <c r="E155" s="21">
        <f t="shared" si="34"/>
        <v>1</v>
      </c>
      <c r="F155" s="717"/>
      <c r="G155" s="21">
        <f t="shared" si="35"/>
        <v>1</v>
      </c>
      <c r="H155" s="717"/>
      <c r="I155" s="21">
        <f t="shared" si="36"/>
        <v>1</v>
      </c>
      <c r="J155" s="717"/>
      <c r="K155" s="21">
        <f t="shared" si="37"/>
        <v>1</v>
      </c>
      <c r="L155" s="717"/>
      <c r="M155" s="21">
        <f t="shared" si="38"/>
        <v>1</v>
      </c>
      <c r="N155" s="717"/>
      <c r="O155" s="21">
        <f t="shared" si="39"/>
        <v>1</v>
      </c>
      <c r="P155" s="717"/>
      <c r="Q155" s="21">
        <f t="shared" si="40"/>
        <v>1</v>
      </c>
      <c r="R155" s="713">
        <f t="shared" si="41"/>
        <v>0</v>
      </c>
      <c r="S155" s="358">
        <f t="shared" si="32"/>
        <v>0</v>
      </c>
    </row>
    <row r="156" spans="1:19">
      <c r="A156" s="156"/>
      <c r="B156" s="56"/>
      <c r="C156" s="21">
        <f t="shared" si="33"/>
        <v>1</v>
      </c>
      <c r="D156" s="717"/>
      <c r="E156" s="21">
        <f t="shared" si="34"/>
        <v>1</v>
      </c>
      <c r="F156" s="717"/>
      <c r="G156" s="21">
        <f t="shared" si="35"/>
        <v>1</v>
      </c>
      <c r="H156" s="717"/>
      <c r="I156" s="21">
        <f t="shared" si="36"/>
        <v>1</v>
      </c>
      <c r="J156" s="717"/>
      <c r="K156" s="21">
        <f t="shared" si="37"/>
        <v>1</v>
      </c>
      <c r="L156" s="717"/>
      <c r="M156" s="21">
        <f t="shared" si="38"/>
        <v>1</v>
      </c>
      <c r="N156" s="717"/>
      <c r="O156" s="21">
        <f t="shared" si="39"/>
        <v>1</v>
      </c>
      <c r="P156" s="717"/>
      <c r="Q156" s="21">
        <f t="shared" si="40"/>
        <v>1</v>
      </c>
      <c r="R156" s="713">
        <f t="shared" si="41"/>
        <v>0</v>
      </c>
      <c r="S156" s="358">
        <f t="shared" si="32"/>
        <v>0</v>
      </c>
    </row>
    <row r="157" spans="1:19">
      <c r="A157" s="156"/>
      <c r="B157" s="56"/>
      <c r="C157" s="21">
        <f t="shared" si="33"/>
        <v>1</v>
      </c>
      <c r="D157" s="717"/>
      <c r="E157" s="21">
        <f t="shared" si="34"/>
        <v>1</v>
      </c>
      <c r="F157" s="717"/>
      <c r="G157" s="21">
        <f t="shared" si="35"/>
        <v>1</v>
      </c>
      <c r="H157" s="717"/>
      <c r="I157" s="21">
        <f t="shared" si="36"/>
        <v>1</v>
      </c>
      <c r="J157" s="717"/>
      <c r="K157" s="21">
        <f t="shared" si="37"/>
        <v>1</v>
      </c>
      <c r="L157" s="717"/>
      <c r="M157" s="21">
        <f t="shared" si="38"/>
        <v>1</v>
      </c>
      <c r="N157" s="717"/>
      <c r="O157" s="21">
        <f t="shared" si="39"/>
        <v>1</v>
      </c>
      <c r="P157" s="717"/>
      <c r="Q157" s="21">
        <f t="shared" si="40"/>
        <v>1</v>
      </c>
      <c r="R157" s="713">
        <f t="shared" si="41"/>
        <v>0</v>
      </c>
      <c r="S157" s="358">
        <f t="shared" si="32"/>
        <v>0</v>
      </c>
    </row>
    <row r="158" spans="1:19">
      <c r="A158" s="156"/>
      <c r="B158" s="56"/>
      <c r="C158" s="21">
        <f t="shared" si="33"/>
        <v>1</v>
      </c>
      <c r="D158" s="717"/>
      <c r="E158" s="21">
        <f t="shared" si="34"/>
        <v>1</v>
      </c>
      <c r="F158" s="717"/>
      <c r="G158" s="21">
        <f t="shared" si="35"/>
        <v>1</v>
      </c>
      <c r="H158" s="717"/>
      <c r="I158" s="21">
        <f t="shared" si="36"/>
        <v>1</v>
      </c>
      <c r="J158" s="717"/>
      <c r="K158" s="21">
        <f t="shared" si="37"/>
        <v>1</v>
      </c>
      <c r="L158" s="717"/>
      <c r="M158" s="21">
        <f t="shared" si="38"/>
        <v>1</v>
      </c>
      <c r="N158" s="717"/>
      <c r="O158" s="21">
        <f t="shared" si="39"/>
        <v>1</v>
      </c>
      <c r="P158" s="717"/>
      <c r="Q158" s="21">
        <f t="shared" si="40"/>
        <v>1</v>
      </c>
      <c r="R158" s="713">
        <f t="shared" si="41"/>
        <v>0</v>
      </c>
      <c r="S158" s="358">
        <f t="shared" si="32"/>
        <v>0</v>
      </c>
    </row>
    <row r="159" spans="1:19">
      <c r="A159" s="156"/>
      <c r="B159" s="56"/>
      <c r="C159" s="21">
        <f t="shared" si="33"/>
        <v>1</v>
      </c>
      <c r="D159" s="717"/>
      <c r="E159" s="21">
        <f t="shared" si="34"/>
        <v>1</v>
      </c>
      <c r="F159" s="717"/>
      <c r="G159" s="21">
        <f t="shared" si="35"/>
        <v>1</v>
      </c>
      <c r="H159" s="717"/>
      <c r="I159" s="21">
        <f t="shared" si="36"/>
        <v>1</v>
      </c>
      <c r="J159" s="717"/>
      <c r="K159" s="21">
        <f t="shared" si="37"/>
        <v>1</v>
      </c>
      <c r="L159" s="717"/>
      <c r="M159" s="21">
        <f t="shared" si="38"/>
        <v>1</v>
      </c>
      <c r="N159" s="717"/>
      <c r="O159" s="21">
        <f t="shared" si="39"/>
        <v>1</v>
      </c>
      <c r="P159" s="717"/>
      <c r="Q159" s="21">
        <f t="shared" si="40"/>
        <v>1</v>
      </c>
      <c r="R159" s="713">
        <f t="shared" si="41"/>
        <v>0</v>
      </c>
      <c r="S159" s="358">
        <f t="shared" si="32"/>
        <v>0</v>
      </c>
    </row>
    <row r="160" spans="1:19">
      <c r="A160" s="156"/>
      <c r="B160" s="56"/>
      <c r="C160" s="21">
        <f t="shared" si="33"/>
        <v>1</v>
      </c>
      <c r="D160" s="717"/>
      <c r="E160" s="21">
        <f t="shared" si="34"/>
        <v>1</v>
      </c>
      <c r="F160" s="717"/>
      <c r="G160" s="21">
        <f t="shared" si="35"/>
        <v>1</v>
      </c>
      <c r="H160" s="717"/>
      <c r="I160" s="21">
        <f t="shared" si="36"/>
        <v>1</v>
      </c>
      <c r="J160" s="717"/>
      <c r="K160" s="21">
        <f t="shared" si="37"/>
        <v>1</v>
      </c>
      <c r="L160" s="717"/>
      <c r="M160" s="21">
        <f t="shared" si="38"/>
        <v>1</v>
      </c>
      <c r="N160" s="717"/>
      <c r="O160" s="21">
        <f t="shared" si="39"/>
        <v>1</v>
      </c>
      <c r="P160" s="717"/>
      <c r="Q160" s="21">
        <f t="shared" si="40"/>
        <v>1</v>
      </c>
      <c r="R160" s="713">
        <f t="shared" si="41"/>
        <v>0</v>
      </c>
      <c r="S160" s="358">
        <f t="shared" si="32"/>
        <v>0</v>
      </c>
    </row>
    <row r="161" spans="1:19">
      <c r="A161" s="156"/>
      <c r="B161" s="56"/>
      <c r="C161" s="21">
        <f t="shared" si="33"/>
        <v>1</v>
      </c>
      <c r="D161" s="717"/>
      <c r="E161" s="21">
        <f t="shared" si="34"/>
        <v>1</v>
      </c>
      <c r="F161" s="717"/>
      <c r="G161" s="21">
        <f t="shared" si="35"/>
        <v>1</v>
      </c>
      <c r="H161" s="717"/>
      <c r="I161" s="21">
        <f t="shared" si="36"/>
        <v>1</v>
      </c>
      <c r="J161" s="717"/>
      <c r="K161" s="21">
        <f t="shared" si="37"/>
        <v>1</v>
      </c>
      <c r="L161" s="717"/>
      <c r="M161" s="21">
        <f t="shared" si="38"/>
        <v>1</v>
      </c>
      <c r="N161" s="717"/>
      <c r="O161" s="21">
        <f t="shared" si="39"/>
        <v>1</v>
      </c>
      <c r="P161" s="717"/>
      <c r="Q161" s="21">
        <f t="shared" si="40"/>
        <v>1</v>
      </c>
      <c r="R161" s="713">
        <f t="shared" si="41"/>
        <v>0</v>
      </c>
      <c r="S161" s="358">
        <f t="shared" si="32"/>
        <v>0</v>
      </c>
    </row>
    <row r="162" spans="1:19">
      <c r="A162" s="156"/>
      <c r="B162" s="56"/>
      <c r="C162" s="21">
        <f t="shared" si="33"/>
        <v>1</v>
      </c>
      <c r="D162" s="717"/>
      <c r="E162" s="21">
        <f t="shared" si="34"/>
        <v>1</v>
      </c>
      <c r="F162" s="717"/>
      <c r="G162" s="21">
        <f t="shared" si="35"/>
        <v>1</v>
      </c>
      <c r="H162" s="717"/>
      <c r="I162" s="21">
        <f t="shared" si="36"/>
        <v>1</v>
      </c>
      <c r="J162" s="717"/>
      <c r="K162" s="21">
        <f t="shared" si="37"/>
        <v>1</v>
      </c>
      <c r="L162" s="717"/>
      <c r="M162" s="21">
        <f t="shared" si="38"/>
        <v>1</v>
      </c>
      <c r="N162" s="717"/>
      <c r="O162" s="21">
        <f t="shared" si="39"/>
        <v>1</v>
      </c>
      <c r="P162" s="717"/>
      <c r="Q162" s="21">
        <f t="shared" si="40"/>
        <v>1</v>
      </c>
      <c r="R162" s="713">
        <f t="shared" si="41"/>
        <v>0</v>
      </c>
      <c r="S162" s="358">
        <f t="shared" si="32"/>
        <v>0</v>
      </c>
    </row>
    <row r="163" spans="1:19">
      <c r="A163" s="156"/>
      <c r="B163" s="56"/>
      <c r="C163" s="21">
        <f t="shared" si="33"/>
        <v>1</v>
      </c>
      <c r="D163" s="717"/>
      <c r="E163" s="21">
        <f t="shared" si="34"/>
        <v>1</v>
      </c>
      <c r="F163" s="717"/>
      <c r="G163" s="21">
        <f t="shared" si="35"/>
        <v>1</v>
      </c>
      <c r="H163" s="717"/>
      <c r="I163" s="21">
        <f t="shared" si="36"/>
        <v>1</v>
      </c>
      <c r="J163" s="717"/>
      <c r="K163" s="21">
        <f t="shared" si="37"/>
        <v>1</v>
      </c>
      <c r="L163" s="717"/>
      <c r="M163" s="21">
        <f t="shared" si="38"/>
        <v>1</v>
      </c>
      <c r="N163" s="717"/>
      <c r="O163" s="21">
        <f t="shared" si="39"/>
        <v>1</v>
      </c>
      <c r="P163" s="717"/>
      <c r="Q163" s="21">
        <f t="shared" si="40"/>
        <v>1</v>
      </c>
      <c r="R163" s="713">
        <f t="shared" si="41"/>
        <v>0</v>
      </c>
      <c r="S163" s="358">
        <f t="shared" si="32"/>
        <v>0</v>
      </c>
    </row>
    <row r="164" spans="1:19">
      <c r="A164" s="156"/>
      <c r="B164" s="56"/>
      <c r="C164" s="21">
        <f t="shared" si="33"/>
        <v>1</v>
      </c>
      <c r="D164" s="717"/>
      <c r="E164" s="21">
        <f t="shared" si="34"/>
        <v>1</v>
      </c>
      <c r="F164" s="717"/>
      <c r="G164" s="21">
        <f t="shared" si="35"/>
        <v>1</v>
      </c>
      <c r="H164" s="717"/>
      <c r="I164" s="21">
        <f t="shared" si="36"/>
        <v>1</v>
      </c>
      <c r="J164" s="717"/>
      <c r="K164" s="21">
        <f t="shared" si="37"/>
        <v>1</v>
      </c>
      <c r="L164" s="717"/>
      <c r="M164" s="21">
        <f t="shared" si="38"/>
        <v>1</v>
      </c>
      <c r="N164" s="717"/>
      <c r="O164" s="21">
        <f t="shared" si="39"/>
        <v>1</v>
      </c>
      <c r="P164" s="717"/>
      <c r="Q164" s="21">
        <f t="shared" si="40"/>
        <v>1</v>
      </c>
      <c r="R164" s="713">
        <f t="shared" si="41"/>
        <v>0</v>
      </c>
      <c r="S164" s="358">
        <f t="shared" si="32"/>
        <v>0</v>
      </c>
    </row>
    <row r="165" spans="1:19">
      <c r="A165" s="156"/>
      <c r="B165" s="56"/>
      <c r="C165" s="21">
        <f t="shared" si="33"/>
        <v>1</v>
      </c>
      <c r="D165" s="717"/>
      <c r="E165" s="21">
        <f t="shared" si="34"/>
        <v>1</v>
      </c>
      <c r="F165" s="717"/>
      <c r="G165" s="21">
        <f t="shared" si="35"/>
        <v>1</v>
      </c>
      <c r="H165" s="717"/>
      <c r="I165" s="21">
        <f t="shared" si="36"/>
        <v>1</v>
      </c>
      <c r="J165" s="717"/>
      <c r="K165" s="21">
        <f t="shared" si="37"/>
        <v>1</v>
      </c>
      <c r="L165" s="717"/>
      <c r="M165" s="21">
        <f t="shared" si="38"/>
        <v>1</v>
      </c>
      <c r="N165" s="717"/>
      <c r="O165" s="21">
        <f t="shared" si="39"/>
        <v>1</v>
      </c>
      <c r="P165" s="717"/>
      <c r="Q165" s="21">
        <f t="shared" si="40"/>
        <v>1</v>
      </c>
      <c r="R165" s="713">
        <f t="shared" si="41"/>
        <v>0</v>
      </c>
      <c r="S165" s="358">
        <f t="shared" si="32"/>
        <v>0</v>
      </c>
    </row>
    <row r="166" spans="1:19">
      <c r="A166" s="156"/>
      <c r="B166" s="56"/>
      <c r="C166" s="21">
        <f t="shared" si="33"/>
        <v>1</v>
      </c>
      <c r="D166" s="717"/>
      <c r="E166" s="21">
        <f t="shared" si="34"/>
        <v>1</v>
      </c>
      <c r="F166" s="717"/>
      <c r="G166" s="21">
        <f t="shared" si="35"/>
        <v>1</v>
      </c>
      <c r="H166" s="717"/>
      <c r="I166" s="21">
        <f t="shared" si="36"/>
        <v>1</v>
      </c>
      <c r="J166" s="717"/>
      <c r="K166" s="21">
        <f t="shared" si="37"/>
        <v>1</v>
      </c>
      <c r="L166" s="717"/>
      <c r="M166" s="21">
        <f t="shared" si="38"/>
        <v>1</v>
      </c>
      <c r="N166" s="717"/>
      <c r="O166" s="21">
        <f t="shared" si="39"/>
        <v>1</v>
      </c>
      <c r="P166" s="717"/>
      <c r="Q166" s="21">
        <f t="shared" si="40"/>
        <v>1</v>
      </c>
      <c r="R166" s="713">
        <f t="shared" si="41"/>
        <v>0</v>
      </c>
      <c r="S166" s="358">
        <f t="shared" si="32"/>
        <v>0</v>
      </c>
    </row>
    <row r="167" spans="1:19">
      <c r="A167" s="156"/>
      <c r="B167" s="56"/>
      <c r="C167" s="21">
        <f t="shared" si="33"/>
        <v>1</v>
      </c>
      <c r="D167" s="717"/>
      <c r="E167" s="21">
        <f t="shared" si="34"/>
        <v>1</v>
      </c>
      <c r="F167" s="717"/>
      <c r="G167" s="21">
        <f t="shared" si="35"/>
        <v>1</v>
      </c>
      <c r="H167" s="717"/>
      <c r="I167" s="21">
        <f t="shared" si="36"/>
        <v>1</v>
      </c>
      <c r="J167" s="717"/>
      <c r="K167" s="21">
        <f t="shared" si="37"/>
        <v>1</v>
      </c>
      <c r="L167" s="717"/>
      <c r="M167" s="21">
        <f t="shared" si="38"/>
        <v>1</v>
      </c>
      <c r="N167" s="717"/>
      <c r="O167" s="21">
        <f t="shared" si="39"/>
        <v>1</v>
      </c>
      <c r="P167" s="717"/>
      <c r="Q167" s="21">
        <f t="shared" si="40"/>
        <v>1</v>
      </c>
      <c r="R167" s="713">
        <f t="shared" si="41"/>
        <v>0</v>
      </c>
      <c r="S167" s="358">
        <f t="shared" si="32"/>
        <v>0</v>
      </c>
    </row>
    <row r="168" spans="1:19">
      <c r="A168" s="156"/>
      <c r="B168" s="56"/>
      <c r="C168" s="21">
        <f t="shared" si="33"/>
        <v>1</v>
      </c>
      <c r="D168" s="717"/>
      <c r="E168" s="21">
        <f t="shared" si="34"/>
        <v>1</v>
      </c>
      <c r="F168" s="717"/>
      <c r="G168" s="21">
        <f t="shared" si="35"/>
        <v>1</v>
      </c>
      <c r="H168" s="717"/>
      <c r="I168" s="21">
        <f t="shared" si="36"/>
        <v>1</v>
      </c>
      <c r="J168" s="717"/>
      <c r="K168" s="21">
        <f t="shared" si="37"/>
        <v>1</v>
      </c>
      <c r="L168" s="717"/>
      <c r="M168" s="21">
        <f t="shared" si="38"/>
        <v>1</v>
      </c>
      <c r="N168" s="717"/>
      <c r="O168" s="21">
        <f t="shared" si="39"/>
        <v>1</v>
      </c>
      <c r="P168" s="717"/>
      <c r="Q168" s="21">
        <f t="shared" si="40"/>
        <v>1</v>
      </c>
      <c r="R168" s="713">
        <f t="shared" si="41"/>
        <v>0</v>
      </c>
      <c r="S168" s="358">
        <f t="shared" si="32"/>
        <v>0</v>
      </c>
    </row>
    <row r="169" spans="1:19">
      <c r="A169" s="156"/>
      <c r="B169" s="56"/>
      <c r="C169" s="21">
        <f t="shared" si="33"/>
        <v>1</v>
      </c>
      <c r="D169" s="717"/>
      <c r="E169" s="21">
        <f t="shared" si="34"/>
        <v>1</v>
      </c>
      <c r="F169" s="717"/>
      <c r="G169" s="21">
        <f t="shared" si="35"/>
        <v>1</v>
      </c>
      <c r="H169" s="717"/>
      <c r="I169" s="21">
        <f t="shared" si="36"/>
        <v>1</v>
      </c>
      <c r="J169" s="717"/>
      <c r="K169" s="21">
        <f t="shared" si="37"/>
        <v>1</v>
      </c>
      <c r="L169" s="717"/>
      <c r="M169" s="21">
        <f t="shared" si="38"/>
        <v>1</v>
      </c>
      <c r="N169" s="717"/>
      <c r="O169" s="21">
        <f t="shared" si="39"/>
        <v>1</v>
      </c>
      <c r="P169" s="717"/>
      <c r="Q169" s="21">
        <f t="shared" si="40"/>
        <v>1</v>
      </c>
      <c r="R169" s="713">
        <f t="shared" si="41"/>
        <v>0</v>
      </c>
      <c r="S169" s="358">
        <f t="shared" si="32"/>
        <v>0</v>
      </c>
    </row>
    <row r="170" spans="1:19">
      <c r="A170" s="156"/>
      <c r="B170" s="56"/>
      <c r="C170" s="21">
        <f t="shared" si="33"/>
        <v>1</v>
      </c>
      <c r="D170" s="717"/>
      <c r="E170" s="21">
        <f t="shared" si="34"/>
        <v>1</v>
      </c>
      <c r="F170" s="717"/>
      <c r="G170" s="21">
        <f t="shared" si="35"/>
        <v>1</v>
      </c>
      <c r="H170" s="717"/>
      <c r="I170" s="21">
        <f t="shared" si="36"/>
        <v>1</v>
      </c>
      <c r="J170" s="717"/>
      <c r="K170" s="21">
        <f t="shared" si="37"/>
        <v>1</v>
      </c>
      <c r="L170" s="717"/>
      <c r="M170" s="21">
        <f t="shared" si="38"/>
        <v>1</v>
      </c>
      <c r="N170" s="717"/>
      <c r="O170" s="21">
        <f t="shared" si="39"/>
        <v>1</v>
      </c>
      <c r="P170" s="717"/>
      <c r="Q170" s="21">
        <f t="shared" si="40"/>
        <v>1</v>
      </c>
      <c r="R170" s="713">
        <f t="shared" si="41"/>
        <v>0</v>
      </c>
      <c r="S170" s="358">
        <f t="shared" si="32"/>
        <v>0</v>
      </c>
    </row>
    <row r="171" spans="1:19">
      <c r="A171" s="156"/>
      <c r="B171" s="56"/>
      <c r="C171" s="21">
        <f t="shared" si="33"/>
        <v>1</v>
      </c>
      <c r="D171" s="717"/>
      <c r="E171" s="21">
        <f t="shared" si="34"/>
        <v>1</v>
      </c>
      <c r="F171" s="717"/>
      <c r="G171" s="21">
        <f t="shared" si="35"/>
        <v>1</v>
      </c>
      <c r="H171" s="717"/>
      <c r="I171" s="21">
        <f t="shared" si="36"/>
        <v>1</v>
      </c>
      <c r="J171" s="717"/>
      <c r="K171" s="21">
        <f t="shared" si="37"/>
        <v>1</v>
      </c>
      <c r="L171" s="717"/>
      <c r="M171" s="21">
        <f t="shared" si="38"/>
        <v>1</v>
      </c>
      <c r="N171" s="717"/>
      <c r="O171" s="21">
        <f t="shared" si="39"/>
        <v>1</v>
      </c>
      <c r="P171" s="717"/>
      <c r="Q171" s="21">
        <f t="shared" si="40"/>
        <v>1</v>
      </c>
      <c r="R171" s="713">
        <f t="shared" si="41"/>
        <v>0</v>
      </c>
      <c r="S171" s="358">
        <f t="shared" si="32"/>
        <v>0</v>
      </c>
    </row>
    <row r="172" spans="1:19">
      <c r="A172" s="156"/>
      <c r="B172" s="56"/>
      <c r="C172" s="21">
        <f t="shared" si="33"/>
        <v>1</v>
      </c>
      <c r="D172" s="717"/>
      <c r="E172" s="21">
        <f t="shared" si="34"/>
        <v>1</v>
      </c>
      <c r="F172" s="717"/>
      <c r="G172" s="21">
        <f t="shared" si="35"/>
        <v>1</v>
      </c>
      <c r="H172" s="717"/>
      <c r="I172" s="21">
        <f t="shared" si="36"/>
        <v>1</v>
      </c>
      <c r="J172" s="717"/>
      <c r="K172" s="21">
        <f t="shared" si="37"/>
        <v>1</v>
      </c>
      <c r="L172" s="717"/>
      <c r="M172" s="21">
        <f t="shared" si="38"/>
        <v>1</v>
      </c>
      <c r="N172" s="717"/>
      <c r="O172" s="21">
        <f t="shared" si="39"/>
        <v>1</v>
      </c>
      <c r="P172" s="717"/>
      <c r="Q172" s="21">
        <f t="shared" si="40"/>
        <v>1</v>
      </c>
      <c r="R172" s="713">
        <f t="shared" si="41"/>
        <v>0</v>
      </c>
      <c r="S172" s="358">
        <f t="shared" si="32"/>
        <v>0</v>
      </c>
    </row>
    <row r="173" spans="1:19">
      <c r="A173" s="156"/>
      <c r="B173" s="56"/>
      <c r="C173" s="21">
        <f t="shared" si="33"/>
        <v>1</v>
      </c>
      <c r="D173" s="717"/>
      <c r="E173" s="21">
        <f t="shared" si="34"/>
        <v>1</v>
      </c>
      <c r="F173" s="717"/>
      <c r="G173" s="21">
        <f t="shared" si="35"/>
        <v>1</v>
      </c>
      <c r="H173" s="717"/>
      <c r="I173" s="21">
        <f t="shared" si="36"/>
        <v>1</v>
      </c>
      <c r="J173" s="717"/>
      <c r="K173" s="21">
        <f t="shared" si="37"/>
        <v>1</v>
      </c>
      <c r="L173" s="717"/>
      <c r="M173" s="21">
        <f t="shared" si="38"/>
        <v>1</v>
      </c>
      <c r="N173" s="717"/>
      <c r="O173" s="21">
        <f t="shared" si="39"/>
        <v>1</v>
      </c>
      <c r="P173" s="717"/>
      <c r="Q173" s="21">
        <f t="shared" si="40"/>
        <v>1</v>
      </c>
      <c r="R173" s="713">
        <f t="shared" si="41"/>
        <v>0</v>
      </c>
      <c r="S173" s="358">
        <f t="shared" si="32"/>
        <v>0</v>
      </c>
    </row>
    <row r="174" spans="1:19">
      <c r="A174" s="156"/>
      <c r="B174" s="56"/>
      <c r="C174" s="21">
        <f t="shared" si="33"/>
        <v>1</v>
      </c>
      <c r="D174" s="717"/>
      <c r="E174" s="21">
        <f t="shared" si="34"/>
        <v>1</v>
      </c>
      <c r="F174" s="717"/>
      <c r="G174" s="21">
        <f t="shared" si="35"/>
        <v>1</v>
      </c>
      <c r="H174" s="717"/>
      <c r="I174" s="21">
        <f t="shared" si="36"/>
        <v>1</v>
      </c>
      <c r="J174" s="717"/>
      <c r="K174" s="21">
        <f t="shared" si="37"/>
        <v>1</v>
      </c>
      <c r="L174" s="717"/>
      <c r="M174" s="21">
        <f t="shared" si="38"/>
        <v>1</v>
      </c>
      <c r="N174" s="717"/>
      <c r="O174" s="21">
        <f t="shared" si="39"/>
        <v>1</v>
      </c>
      <c r="P174" s="717"/>
      <c r="Q174" s="21">
        <f t="shared" si="40"/>
        <v>1</v>
      </c>
      <c r="R174" s="713">
        <f t="shared" si="41"/>
        <v>0</v>
      </c>
      <c r="S174" s="358">
        <f t="shared" si="32"/>
        <v>0</v>
      </c>
    </row>
    <row r="175" spans="1:19">
      <c r="A175" s="156"/>
      <c r="B175" s="56"/>
      <c r="C175" s="21">
        <f t="shared" si="33"/>
        <v>1</v>
      </c>
      <c r="D175" s="717"/>
      <c r="E175" s="21">
        <f t="shared" si="34"/>
        <v>1</v>
      </c>
      <c r="F175" s="717"/>
      <c r="G175" s="21">
        <f t="shared" si="35"/>
        <v>1</v>
      </c>
      <c r="H175" s="717"/>
      <c r="I175" s="21">
        <f t="shared" si="36"/>
        <v>1</v>
      </c>
      <c r="J175" s="717"/>
      <c r="K175" s="21">
        <f t="shared" si="37"/>
        <v>1</v>
      </c>
      <c r="L175" s="717"/>
      <c r="M175" s="21">
        <f t="shared" si="38"/>
        <v>1</v>
      </c>
      <c r="N175" s="717"/>
      <c r="O175" s="21">
        <f t="shared" si="39"/>
        <v>1</v>
      </c>
      <c r="P175" s="717"/>
      <c r="Q175" s="21">
        <f t="shared" si="40"/>
        <v>1</v>
      </c>
      <c r="R175" s="713">
        <f t="shared" si="41"/>
        <v>0</v>
      </c>
      <c r="S175" s="358">
        <f t="shared" si="32"/>
        <v>0</v>
      </c>
    </row>
    <row r="176" spans="1:19">
      <c r="A176" s="156"/>
      <c r="B176" s="56"/>
      <c r="C176" s="21">
        <f t="shared" si="33"/>
        <v>1</v>
      </c>
      <c r="D176" s="717"/>
      <c r="E176" s="21">
        <f t="shared" si="34"/>
        <v>1</v>
      </c>
      <c r="F176" s="717"/>
      <c r="G176" s="21">
        <f t="shared" si="35"/>
        <v>1</v>
      </c>
      <c r="H176" s="717"/>
      <c r="I176" s="21">
        <f t="shared" si="36"/>
        <v>1</v>
      </c>
      <c r="J176" s="717"/>
      <c r="K176" s="21">
        <f t="shared" si="37"/>
        <v>1</v>
      </c>
      <c r="L176" s="717"/>
      <c r="M176" s="21">
        <f t="shared" si="38"/>
        <v>1</v>
      </c>
      <c r="N176" s="717"/>
      <c r="O176" s="21">
        <f t="shared" si="39"/>
        <v>1</v>
      </c>
      <c r="P176" s="717"/>
      <c r="Q176" s="21">
        <f t="shared" si="40"/>
        <v>1</v>
      </c>
      <c r="R176" s="713">
        <f t="shared" si="41"/>
        <v>0</v>
      </c>
      <c r="S176" s="358">
        <f t="shared" si="32"/>
        <v>0</v>
      </c>
    </row>
    <row r="177" spans="1:19">
      <c r="A177" s="156"/>
      <c r="B177" s="56"/>
      <c r="C177" s="21">
        <f t="shared" si="33"/>
        <v>1</v>
      </c>
      <c r="D177" s="717"/>
      <c r="E177" s="21">
        <f t="shared" si="34"/>
        <v>1</v>
      </c>
      <c r="F177" s="717"/>
      <c r="G177" s="21">
        <f t="shared" si="35"/>
        <v>1</v>
      </c>
      <c r="H177" s="717"/>
      <c r="I177" s="21">
        <f t="shared" si="36"/>
        <v>1</v>
      </c>
      <c r="J177" s="717"/>
      <c r="K177" s="21">
        <f t="shared" si="37"/>
        <v>1</v>
      </c>
      <c r="L177" s="717"/>
      <c r="M177" s="21">
        <f t="shared" si="38"/>
        <v>1</v>
      </c>
      <c r="N177" s="717"/>
      <c r="O177" s="21">
        <f t="shared" si="39"/>
        <v>1</v>
      </c>
      <c r="P177" s="717"/>
      <c r="Q177" s="21">
        <f t="shared" si="40"/>
        <v>1</v>
      </c>
      <c r="R177" s="713">
        <f t="shared" si="41"/>
        <v>0</v>
      </c>
      <c r="S177" s="358">
        <f t="shared" si="32"/>
        <v>0</v>
      </c>
    </row>
    <row r="178" spans="1:19">
      <c r="A178" s="156"/>
      <c r="B178" s="56"/>
      <c r="C178" s="21">
        <f t="shared" si="33"/>
        <v>1</v>
      </c>
      <c r="D178" s="717"/>
      <c r="E178" s="21">
        <f t="shared" si="34"/>
        <v>1</v>
      </c>
      <c r="F178" s="717"/>
      <c r="G178" s="21">
        <f t="shared" si="35"/>
        <v>1</v>
      </c>
      <c r="H178" s="717"/>
      <c r="I178" s="21">
        <f t="shared" si="36"/>
        <v>1</v>
      </c>
      <c r="J178" s="717"/>
      <c r="K178" s="21">
        <f t="shared" si="37"/>
        <v>1</v>
      </c>
      <c r="L178" s="717"/>
      <c r="M178" s="21">
        <f t="shared" si="38"/>
        <v>1</v>
      </c>
      <c r="N178" s="717"/>
      <c r="O178" s="21">
        <f t="shared" si="39"/>
        <v>1</v>
      </c>
      <c r="P178" s="717"/>
      <c r="Q178" s="21">
        <f t="shared" si="40"/>
        <v>1</v>
      </c>
      <c r="R178" s="713">
        <f t="shared" si="41"/>
        <v>0</v>
      </c>
      <c r="S178" s="358">
        <f t="shared" si="32"/>
        <v>0</v>
      </c>
    </row>
    <row r="179" spans="1:19">
      <c r="A179" s="156"/>
      <c r="B179" s="56"/>
      <c r="C179" s="21">
        <f t="shared" si="33"/>
        <v>1</v>
      </c>
      <c r="D179" s="717"/>
      <c r="E179" s="21">
        <f t="shared" si="34"/>
        <v>1</v>
      </c>
      <c r="F179" s="717"/>
      <c r="G179" s="21">
        <f t="shared" si="35"/>
        <v>1</v>
      </c>
      <c r="H179" s="717"/>
      <c r="I179" s="21">
        <f t="shared" si="36"/>
        <v>1</v>
      </c>
      <c r="J179" s="717"/>
      <c r="K179" s="21">
        <f t="shared" si="37"/>
        <v>1</v>
      </c>
      <c r="L179" s="717"/>
      <c r="M179" s="21">
        <f t="shared" si="38"/>
        <v>1</v>
      </c>
      <c r="N179" s="717"/>
      <c r="O179" s="21">
        <f t="shared" si="39"/>
        <v>1</v>
      </c>
      <c r="P179" s="717"/>
      <c r="Q179" s="21">
        <f t="shared" si="40"/>
        <v>1</v>
      </c>
      <c r="R179" s="713">
        <f t="shared" si="41"/>
        <v>0</v>
      </c>
      <c r="S179" s="358">
        <f t="shared" si="32"/>
        <v>0</v>
      </c>
    </row>
    <row r="180" spans="1:19">
      <c r="A180" s="156"/>
      <c r="B180" s="56"/>
      <c r="C180" s="21">
        <f t="shared" si="33"/>
        <v>1</v>
      </c>
      <c r="D180" s="717"/>
      <c r="E180" s="21">
        <f t="shared" si="34"/>
        <v>1</v>
      </c>
      <c r="F180" s="717"/>
      <c r="G180" s="21">
        <f t="shared" si="35"/>
        <v>1</v>
      </c>
      <c r="H180" s="717"/>
      <c r="I180" s="21">
        <f t="shared" si="36"/>
        <v>1</v>
      </c>
      <c r="J180" s="717"/>
      <c r="K180" s="21">
        <f t="shared" si="37"/>
        <v>1</v>
      </c>
      <c r="L180" s="717"/>
      <c r="M180" s="21">
        <f t="shared" si="38"/>
        <v>1</v>
      </c>
      <c r="N180" s="717"/>
      <c r="O180" s="21">
        <f t="shared" si="39"/>
        <v>1</v>
      </c>
      <c r="P180" s="717"/>
      <c r="Q180" s="21">
        <f t="shared" si="40"/>
        <v>1</v>
      </c>
      <c r="R180" s="713">
        <f t="shared" si="41"/>
        <v>0</v>
      </c>
      <c r="S180" s="358">
        <f t="shared" si="32"/>
        <v>0</v>
      </c>
    </row>
    <row r="181" spans="1:19">
      <c r="A181" s="156"/>
      <c r="B181" s="56"/>
      <c r="C181" s="21">
        <f t="shared" si="33"/>
        <v>1</v>
      </c>
      <c r="D181" s="717"/>
      <c r="E181" s="21">
        <f t="shared" si="34"/>
        <v>1</v>
      </c>
      <c r="F181" s="717"/>
      <c r="G181" s="21">
        <f t="shared" si="35"/>
        <v>1</v>
      </c>
      <c r="H181" s="717"/>
      <c r="I181" s="21">
        <f t="shared" si="36"/>
        <v>1</v>
      </c>
      <c r="J181" s="717"/>
      <c r="K181" s="21">
        <f t="shared" si="37"/>
        <v>1</v>
      </c>
      <c r="L181" s="717"/>
      <c r="M181" s="21">
        <f t="shared" si="38"/>
        <v>1</v>
      </c>
      <c r="N181" s="717"/>
      <c r="O181" s="21">
        <f t="shared" si="39"/>
        <v>1</v>
      </c>
      <c r="P181" s="717"/>
      <c r="Q181" s="21">
        <f t="shared" si="40"/>
        <v>1</v>
      </c>
      <c r="R181" s="713">
        <f t="shared" si="41"/>
        <v>0</v>
      </c>
      <c r="S181" s="358">
        <f t="shared" si="32"/>
        <v>0</v>
      </c>
    </row>
    <row r="182" spans="1:19">
      <c r="A182" s="156"/>
      <c r="B182" s="56"/>
      <c r="C182" s="21">
        <f t="shared" si="33"/>
        <v>1</v>
      </c>
      <c r="D182" s="717"/>
      <c r="E182" s="21">
        <f t="shared" si="34"/>
        <v>1</v>
      </c>
      <c r="F182" s="717"/>
      <c r="G182" s="21">
        <f t="shared" si="35"/>
        <v>1</v>
      </c>
      <c r="H182" s="717"/>
      <c r="I182" s="21">
        <f t="shared" si="36"/>
        <v>1</v>
      </c>
      <c r="J182" s="717"/>
      <c r="K182" s="21">
        <f t="shared" si="37"/>
        <v>1</v>
      </c>
      <c r="L182" s="717"/>
      <c r="M182" s="21">
        <f t="shared" si="38"/>
        <v>1</v>
      </c>
      <c r="N182" s="717"/>
      <c r="O182" s="21">
        <f t="shared" si="39"/>
        <v>1</v>
      </c>
      <c r="P182" s="717"/>
      <c r="Q182" s="21">
        <f t="shared" si="40"/>
        <v>1</v>
      </c>
      <c r="R182" s="713">
        <f t="shared" si="41"/>
        <v>0</v>
      </c>
      <c r="S182" s="358">
        <f t="shared" si="32"/>
        <v>0</v>
      </c>
    </row>
    <row r="183" spans="1:19">
      <c r="A183" s="156"/>
      <c r="B183" s="56"/>
      <c r="C183" s="21">
        <f t="shared" si="33"/>
        <v>1</v>
      </c>
      <c r="D183" s="717"/>
      <c r="E183" s="21">
        <f t="shared" si="34"/>
        <v>1</v>
      </c>
      <c r="F183" s="717"/>
      <c r="G183" s="21">
        <f t="shared" si="35"/>
        <v>1</v>
      </c>
      <c r="H183" s="717"/>
      <c r="I183" s="21">
        <f t="shared" si="36"/>
        <v>1</v>
      </c>
      <c r="J183" s="717"/>
      <c r="K183" s="21">
        <f t="shared" si="37"/>
        <v>1</v>
      </c>
      <c r="L183" s="717"/>
      <c r="M183" s="21">
        <f t="shared" si="38"/>
        <v>1</v>
      </c>
      <c r="N183" s="717"/>
      <c r="O183" s="21">
        <f t="shared" si="39"/>
        <v>1</v>
      </c>
      <c r="P183" s="717"/>
      <c r="Q183" s="21">
        <f t="shared" si="40"/>
        <v>1</v>
      </c>
      <c r="R183" s="713">
        <f t="shared" si="41"/>
        <v>0</v>
      </c>
      <c r="S183" s="358">
        <f t="shared" si="32"/>
        <v>0</v>
      </c>
    </row>
    <row r="184" spans="1:19">
      <c r="A184" s="156"/>
      <c r="B184" s="56"/>
      <c r="C184" s="21">
        <f t="shared" si="33"/>
        <v>1</v>
      </c>
      <c r="D184" s="717"/>
      <c r="E184" s="21">
        <f t="shared" si="34"/>
        <v>1</v>
      </c>
      <c r="F184" s="717"/>
      <c r="G184" s="21">
        <f t="shared" si="35"/>
        <v>1</v>
      </c>
      <c r="H184" s="717"/>
      <c r="I184" s="21">
        <f t="shared" si="36"/>
        <v>1</v>
      </c>
      <c r="J184" s="717"/>
      <c r="K184" s="21">
        <f t="shared" si="37"/>
        <v>1</v>
      </c>
      <c r="L184" s="717"/>
      <c r="M184" s="21">
        <f t="shared" si="38"/>
        <v>1</v>
      </c>
      <c r="N184" s="717"/>
      <c r="O184" s="21">
        <f t="shared" si="39"/>
        <v>1</v>
      </c>
      <c r="P184" s="717"/>
      <c r="Q184" s="21">
        <f t="shared" si="40"/>
        <v>1</v>
      </c>
      <c r="R184" s="713">
        <f t="shared" si="41"/>
        <v>0</v>
      </c>
      <c r="S184" s="358">
        <f t="shared" si="32"/>
        <v>0</v>
      </c>
    </row>
    <row r="185" spans="1:19">
      <c r="A185" s="156"/>
      <c r="B185" s="56"/>
      <c r="C185" s="21">
        <f t="shared" si="33"/>
        <v>1</v>
      </c>
      <c r="D185" s="717"/>
      <c r="E185" s="21">
        <f t="shared" si="34"/>
        <v>1</v>
      </c>
      <c r="F185" s="717"/>
      <c r="G185" s="21">
        <f t="shared" si="35"/>
        <v>1</v>
      </c>
      <c r="H185" s="717"/>
      <c r="I185" s="21">
        <f t="shared" si="36"/>
        <v>1</v>
      </c>
      <c r="J185" s="717"/>
      <c r="K185" s="21">
        <f t="shared" si="37"/>
        <v>1</v>
      </c>
      <c r="L185" s="717"/>
      <c r="M185" s="21">
        <f t="shared" si="38"/>
        <v>1</v>
      </c>
      <c r="N185" s="717"/>
      <c r="O185" s="21">
        <f t="shared" si="39"/>
        <v>1</v>
      </c>
      <c r="P185" s="717"/>
      <c r="Q185" s="21">
        <f t="shared" si="40"/>
        <v>1</v>
      </c>
      <c r="R185" s="713">
        <f t="shared" si="41"/>
        <v>0</v>
      </c>
      <c r="S185" s="358">
        <f t="shared" si="32"/>
        <v>0</v>
      </c>
    </row>
    <row r="186" spans="1:19">
      <c r="A186" s="156"/>
      <c r="B186" s="56"/>
      <c r="C186" s="21">
        <f t="shared" si="33"/>
        <v>1</v>
      </c>
      <c r="D186" s="717"/>
      <c r="E186" s="21">
        <f t="shared" si="34"/>
        <v>1</v>
      </c>
      <c r="F186" s="717"/>
      <c r="G186" s="21">
        <f t="shared" si="35"/>
        <v>1</v>
      </c>
      <c r="H186" s="717"/>
      <c r="I186" s="21">
        <f t="shared" si="36"/>
        <v>1</v>
      </c>
      <c r="J186" s="717"/>
      <c r="K186" s="21">
        <f t="shared" si="37"/>
        <v>1</v>
      </c>
      <c r="L186" s="717"/>
      <c r="M186" s="21">
        <f t="shared" si="38"/>
        <v>1</v>
      </c>
      <c r="N186" s="717"/>
      <c r="O186" s="21">
        <f t="shared" si="39"/>
        <v>1</v>
      </c>
      <c r="P186" s="717"/>
      <c r="Q186" s="21">
        <f t="shared" si="40"/>
        <v>1</v>
      </c>
      <c r="R186" s="713">
        <f t="shared" si="41"/>
        <v>0</v>
      </c>
      <c r="S186" s="358">
        <f t="shared" si="32"/>
        <v>0</v>
      </c>
    </row>
    <row r="187" spans="1:19">
      <c r="A187" s="156"/>
      <c r="B187" s="56"/>
      <c r="C187" s="21">
        <f t="shared" si="33"/>
        <v>1</v>
      </c>
      <c r="D187" s="717"/>
      <c r="E187" s="21">
        <f t="shared" si="34"/>
        <v>1</v>
      </c>
      <c r="F187" s="717"/>
      <c r="G187" s="21">
        <f t="shared" si="35"/>
        <v>1</v>
      </c>
      <c r="H187" s="717"/>
      <c r="I187" s="21">
        <f t="shared" si="36"/>
        <v>1</v>
      </c>
      <c r="J187" s="717"/>
      <c r="K187" s="21">
        <f t="shared" si="37"/>
        <v>1</v>
      </c>
      <c r="L187" s="717"/>
      <c r="M187" s="21">
        <f t="shared" si="38"/>
        <v>1</v>
      </c>
      <c r="N187" s="717"/>
      <c r="O187" s="21">
        <f t="shared" si="39"/>
        <v>1</v>
      </c>
      <c r="P187" s="717"/>
      <c r="Q187" s="21">
        <f t="shared" si="40"/>
        <v>1</v>
      </c>
      <c r="R187" s="713">
        <f t="shared" si="41"/>
        <v>0</v>
      </c>
      <c r="S187" s="358">
        <f t="shared" ref="S187:S222" si="42">ROUND(R187*B187/10000,0)</f>
        <v>0</v>
      </c>
    </row>
    <row r="188" spans="1:19">
      <c r="A188" s="156"/>
      <c r="B188" s="56"/>
      <c r="C188" s="21">
        <f t="shared" si="33"/>
        <v>1</v>
      </c>
      <c r="D188" s="717"/>
      <c r="E188" s="21">
        <f t="shared" si="34"/>
        <v>1</v>
      </c>
      <c r="F188" s="717"/>
      <c r="G188" s="21">
        <f t="shared" si="35"/>
        <v>1</v>
      </c>
      <c r="H188" s="717"/>
      <c r="I188" s="21">
        <f t="shared" si="36"/>
        <v>1</v>
      </c>
      <c r="J188" s="717"/>
      <c r="K188" s="21">
        <f t="shared" si="37"/>
        <v>1</v>
      </c>
      <c r="L188" s="717"/>
      <c r="M188" s="21">
        <f t="shared" si="38"/>
        <v>1</v>
      </c>
      <c r="N188" s="717"/>
      <c r="O188" s="21">
        <f t="shared" si="39"/>
        <v>1</v>
      </c>
      <c r="P188" s="717"/>
      <c r="Q188" s="21">
        <f t="shared" si="40"/>
        <v>1</v>
      </c>
      <c r="R188" s="713">
        <f t="shared" si="41"/>
        <v>0</v>
      </c>
      <c r="S188" s="358">
        <f t="shared" si="42"/>
        <v>0</v>
      </c>
    </row>
    <row r="189" spans="1:19">
      <c r="A189" s="156"/>
      <c r="B189" s="56"/>
      <c r="C189" s="21">
        <f t="shared" si="33"/>
        <v>1</v>
      </c>
      <c r="D189" s="717"/>
      <c r="E189" s="21">
        <f t="shared" si="34"/>
        <v>1</v>
      </c>
      <c r="F189" s="717"/>
      <c r="G189" s="21">
        <f t="shared" si="35"/>
        <v>1</v>
      </c>
      <c r="H189" s="717"/>
      <c r="I189" s="21">
        <f t="shared" si="36"/>
        <v>1</v>
      </c>
      <c r="J189" s="717"/>
      <c r="K189" s="21">
        <f t="shared" si="37"/>
        <v>1</v>
      </c>
      <c r="L189" s="717"/>
      <c r="M189" s="21">
        <f t="shared" si="38"/>
        <v>1</v>
      </c>
      <c r="N189" s="717"/>
      <c r="O189" s="21">
        <f t="shared" si="39"/>
        <v>1</v>
      </c>
      <c r="P189" s="717"/>
      <c r="Q189" s="21">
        <f t="shared" si="40"/>
        <v>1</v>
      </c>
      <c r="R189" s="713">
        <f t="shared" si="41"/>
        <v>0</v>
      </c>
      <c r="S189" s="358">
        <f t="shared" si="42"/>
        <v>0</v>
      </c>
    </row>
    <row r="190" spans="1:19">
      <c r="A190" s="156"/>
      <c r="B190" s="56"/>
      <c r="C190" s="21">
        <f t="shared" si="33"/>
        <v>1</v>
      </c>
      <c r="D190" s="717"/>
      <c r="E190" s="21">
        <f t="shared" si="34"/>
        <v>1</v>
      </c>
      <c r="F190" s="717"/>
      <c r="G190" s="21">
        <f t="shared" si="35"/>
        <v>1</v>
      </c>
      <c r="H190" s="717"/>
      <c r="I190" s="21">
        <f t="shared" si="36"/>
        <v>1</v>
      </c>
      <c r="J190" s="717"/>
      <c r="K190" s="21">
        <f t="shared" si="37"/>
        <v>1</v>
      </c>
      <c r="L190" s="717"/>
      <c r="M190" s="21">
        <f t="shared" si="38"/>
        <v>1</v>
      </c>
      <c r="N190" s="717"/>
      <c r="O190" s="21">
        <f t="shared" si="39"/>
        <v>1</v>
      </c>
      <c r="P190" s="717"/>
      <c r="Q190" s="21">
        <f t="shared" si="40"/>
        <v>1</v>
      </c>
      <c r="R190" s="713">
        <f t="shared" si="41"/>
        <v>0</v>
      </c>
      <c r="S190" s="358">
        <f t="shared" si="42"/>
        <v>0</v>
      </c>
    </row>
    <row r="191" spans="1:19">
      <c r="A191" s="156"/>
      <c r="B191" s="56"/>
      <c r="C191" s="21">
        <f t="shared" si="33"/>
        <v>1</v>
      </c>
      <c r="D191" s="717"/>
      <c r="E191" s="21">
        <f t="shared" si="34"/>
        <v>1</v>
      </c>
      <c r="F191" s="717"/>
      <c r="G191" s="21">
        <f t="shared" si="35"/>
        <v>1</v>
      </c>
      <c r="H191" s="717"/>
      <c r="I191" s="21">
        <f t="shared" si="36"/>
        <v>1</v>
      </c>
      <c r="J191" s="717"/>
      <c r="K191" s="21">
        <f t="shared" si="37"/>
        <v>1</v>
      </c>
      <c r="L191" s="717"/>
      <c r="M191" s="21">
        <f t="shared" si="38"/>
        <v>1</v>
      </c>
      <c r="N191" s="717"/>
      <c r="O191" s="21">
        <f t="shared" si="39"/>
        <v>1</v>
      </c>
      <c r="P191" s="717"/>
      <c r="Q191" s="21">
        <f t="shared" si="40"/>
        <v>1</v>
      </c>
      <c r="R191" s="713">
        <f t="shared" si="41"/>
        <v>0</v>
      </c>
      <c r="S191" s="358">
        <f t="shared" si="42"/>
        <v>0</v>
      </c>
    </row>
    <row r="192" spans="1:19">
      <c r="A192" s="156"/>
      <c r="B192" s="56"/>
      <c r="C192" s="21">
        <f t="shared" si="33"/>
        <v>1</v>
      </c>
      <c r="D192" s="717"/>
      <c r="E192" s="21">
        <f t="shared" si="34"/>
        <v>1</v>
      </c>
      <c r="F192" s="717"/>
      <c r="G192" s="21">
        <f t="shared" si="35"/>
        <v>1</v>
      </c>
      <c r="H192" s="717"/>
      <c r="I192" s="21">
        <f t="shared" si="36"/>
        <v>1</v>
      </c>
      <c r="J192" s="717"/>
      <c r="K192" s="21">
        <f t="shared" si="37"/>
        <v>1</v>
      </c>
      <c r="L192" s="717"/>
      <c r="M192" s="21">
        <f t="shared" si="38"/>
        <v>1</v>
      </c>
      <c r="N192" s="717"/>
      <c r="O192" s="21">
        <f t="shared" si="39"/>
        <v>1</v>
      </c>
      <c r="P192" s="717"/>
      <c r="Q192" s="21">
        <f t="shared" si="40"/>
        <v>1</v>
      </c>
      <c r="R192" s="713">
        <f t="shared" si="41"/>
        <v>0</v>
      </c>
      <c r="S192" s="358">
        <f t="shared" si="42"/>
        <v>0</v>
      </c>
    </row>
    <row r="193" spans="1:19">
      <c r="A193" s="156"/>
      <c r="B193" s="56"/>
      <c r="C193" s="21">
        <f t="shared" si="33"/>
        <v>1</v>
      </c>
      <c r="D193" s="717"/>
      <c r="E193" s="21">
        <f t="shared" si="34"/>
        <v>1</v>
      </c>
      <c r="F193" s="717"/>
      <c r="G193" s="21">
        <f t="shared" si="35"/>
        <v>1</v>
      </c>
      <c r="H193" s="717"/>
      <c r="I193" s="21">
        <f t="shared" si="36"/>
        <v>1</v>
      </c>
      <c r="J193" s="717"/>
      <c r="K193" s="21">
        <f t="shared" si="37"/>
        <v>1</v>
      </c>
      <c r="L193" s="717"/>
      <c r="M193" s="21">
        <f t="shared" si="38"/>
        <v>1</v>
      </c>
      <c r="N193" s="717"/>
      <c r="O193" s="21">
        <f t="shared" si="39"/>
        <v>1</v>
      </c>
      <c r="P193" s="717"/>
      <c r="Q193" s="21">
        <f t="shared" si="40"/>
        <v>1</v>
      </c>
      <c r="R193" s="713">
        <f t="shared" si="41"/>
        <v>0</v>
      </c>
      <c r="S193" s="358">
        <f t="shared" si="42"/>
        <v>0</v>
      </c>
    </row>
    <row r="194" spans="1:19">
      <c r="A194" s="156"/>
      <c r="B194" s="56"/>
      <c r="C194" s="21">
        <f t="shared" si="33"/>
        <v>1</v>
      </c>
      <c r="D194" s="717"/>
      <c r="E194" s="21">
        <f t="shared" si="34"/>
        <v>1</v>
      </c>
      <c r="F194" s="717"/>
      <c r="G194" s="21">
        <f t="shared" si="35"/>
        <v>1</v>
      </c>
      <c r="H194" s="717"/>
      <c r="I194" s="21">
        <f t="shared" si="36"/>
        <v>1</v>
      </c>
      <c r="J194" s="717"/>
      <c r="K194" s="21">
        <f t="shared" si="37"/>
        <v>1</v>
      </c>
      <c r="L194" s="717"/>
      <c r="M194" s="21">
        <f t="shared" si="38"/>
        <v>1</v>
      </c>
      <c r="N194" s="717"/>
      <c r="O194" s="21">
        <f t="shared" si="39"/>
        <v>1</v>
      </c>
      <c r="P194" s="717"/>
      <c r="Q194" s="21">
        <f t="shared" si="40"/>
        <v>1</v>
      </c>
      <c r="R194" s="713">
        <f t="shared" si="41"/>
        <v>0</v>
      </c>
      <c r="S194" s="358">
        <f t="shared" si="42"/>
        <v>0</v>
      </c>
    </row>
    <row r="195" spans="1:19">
      <c r="A195" s="156"/>
      <c r="B195" s="56"/>
      <c r="C195" s="21">
        <f t="shared" si="33"/>
        <v>1</v>
      </c>
      <c r="D195" s="717"/>
      <c r="E195" s="21">
        <f t="shared" si="34"/>
        <v>1</v>
      </c>
      <c r="F195" s="717"/>
      <c r="G195" s="21">
        <f t="shared" si="35"/>
        <v>1</v>
      </c>
      <c r="H195" s="717"/>
      <c r="I195" s="21">
        <f t="shared" si="36"/>
        <v>1</v>
      </c>
      <c r="J195" s="717"/>
      <c r="K195" s="21">
        <f t="shared" si="37"/>
        <v>1</v>
      </c>
      <c r="L195" s="717"/>
      <c r="M195" s="21">
        <f t="shared" si="38"/>
        <v>1</v>
      </c>
      <c r="N195" s="717"/>
      <c r="O195" s="21">
        <f t="shared" si="39"/>
        <v>1</v>
      </c>
      <c r="P195" s="717"/>
      <c r="Q195" s="21">
        <f t="shared" si="40"/>
        <v>1</v>
      </c>
      <c r="R195" s="713">
        <f t="shared" si="41"/>
        <v>0</v>
      </c>
      <c r="S195" s="358">
        <f t="shared" si="42"/>
        <v>0</v>
      </c>
    </row>
    <row r="196" spans="1:19">
      <c r="A196" s="156"/>
      <c r="B196" s="56"/>
      <c r="C196" s="21">
        <f t="shared" si="33"/>
        <v>1</v>
      </c>
      <c r="D196" s="717"/>
      <c r="E196" s="21">
        <f t="shared" si="34"/>
        <v>1</v>
      </c>
      <c r="F196" s="717"/>
      <c r="G196" s="21">
        <f t="shared" si="35"/>
        <v>1</v>
      </c>
      <c r="H196" s="717"/>
      <c r="I196" s="21">
        <f t="shared" si="36"/>
        <v>1</v>
      </c>
      <c r="J196" s="717"/>
      <c r="K196" s="21">
        <f t="shared" si="37"/>
        <v>1</v>
      </c>
      <c r="L196" s="717"/>
      <c r="M196" s="21">
        <f t="shared" si="38"/>
        <v>1</v>
      </c>
      <c r="N196" s="717"/>
      <c r="O196" s="21">
        <f t="shared" si="39"/>
        <v>1</v>
      </c>
      <c r="P196" s="717"/>
      <c r="Q196" s="21">
        <f t="shared" si="40"/>
        <v>1</v>
      </c>
      <c r="R196" s="713">
        <f t="shared" si="41"/>
        <v>0</v>
      </c>
      <c r="S196" s="358">
        <f t="shared" si="42"/>
        <v>0</v>
      </c>
    </row>
    <row r="197" spans="1:19">
      <c r="A197" s="156"/>
      <c r="B197" s="56"/>
      <c r="C197" s="21">
        <f t="shared" si="33"/>
        <v>1</v>
      </c>
      <c r="D197" s="717"/>
      <c r="E197" s="21">
        <f t="shared" si="34"/>
        <v>1</v>
      </c>
      <c r="F197" s="717"/>
      <c r="G197" s="21">
        <f t="shared" si="35"/>
        <v>1</v>
      </c>
      <c r="H197" s="717"/>
      <c r="I197" s="21">
        <f t="shared" si="36"/>
        <v>1</v>
      </c>
      <c r="J197" s="717"/>
      <c r="K197" s="21">
        <f t="shared" si="37"/>
        <v>1</v>
      </c>
      <c r="L197" s="717"/>
      <c r="M197" s="21">
        <f t="shared" si="38"/>
        <v>1</v>
      </c>
      <c r="N197" s="717"/>
      <c r="O197" s="21">
        <f t="shared" si="39"/>
        <v>1</v>
      </c>
      <c r="P197" s="717"/>
      <c r="Q197" s="21">
        <f t="shared" si="40"/>
        <v>1</v>
      </c>
      <c r="R197" s="713">
        <f t="shared" si="41"/>
        <v>0</v>
      </c>
      <c r="S197" s="358">
        <f t="shared" si="42"/>
        <v>0</v>
      </c>
    </row>
    <row r="198" spans="1:19">
      <c r="A198" s="156"/>
      <c r="B198" s="56"/>
      <c r="C198" s="21">
        <f t="shared" si="33"/>
        <v>1</v>
      </c>
      <c r="D198" s="717"/>
      <c r="E198" s="21">
        <f t="shared" si="34"/>
        <v>1</v>
      </c>
      <c r="F198" s="717"/>
      <c r="G198" s="21">
        <f t="shared" si="35"/>
        <v>1</v>
      </c>
      <c r="H198" s="717"/>
      <c r="I198" s="21">
        <f t="shared" si="36"/>
        <v>1</v>
      </c>
      <c r="J198" s="717"/>
      <c r="K198" s="21">
        <f t="shared" si="37"/>
        <v>1</v>
      </c>
      <c r="L198" s="717"/>
      <c r="M198" s="21">
        <f t="shared" si="38"/>
        <v>1</v>
      </c>
      <c r="N198" s="717"/>
      <c r="O198" s="21">
        <f t="shared" si="39"/>
        <v>1</v>
      </c>
      <c r="P198" s="717"/>
      <c r="Q198" s="21">
        <f t="shared" si="40"/>
        <v>1</v>
      </c>
      <c r="R198" s="713">
        <f t="shared" si="41"/>
        <v>0</v>
      </c>
      <c r="S198" s="358">
        <f t="shared" si="42"/>
        <v>0</v>
      </c>
    </row>
    <row r="199" spans="1:19">
      <c r="A199" s="156"/>
      <c r="B199" s="56"/>
      <c r="C199" s="21">
        <f t="shared" si="33"/>
        <v>1</v>
      </c>
      <c r="D199" s="717"/>
      <c r="E199" s="21">
        <f t="shared" si="34"/>
        <v>1</v>
      </c>
      <c r="F199" s="717"/>
      <c r="G199" s="21">
        <f t="shared" si="35"/>
        <v>1</v>
      </c>
      <c r="H199" s="717"/>
      <c r="I199" s="21">
        <f t="shared" si="36"/>
        <v>1</v>
      </c>
      <c r="J199" s="717"/>
      <c r="K199" s="21">
        <f t="shared" si="37"/>
        <v>1</v>
      </c>
      <c r="L199" s="717"/>
      <c r="M199" s="21">
        <f t="shared" si="38"/>
        <v>1</v>
      </c>
      <c r="N199" s="717"/>
      <c r="O199" s="21">
        <f t="shared" si="39"/>
        <v>1</v>
      </c>
      <c r="P199" s="717"/>
      <c r="Q199" s="21">
        <f t="shared" si="40"/>
        <v>1</v>
      </c>
      <c r="R199" s="713">
        <f t="shared" si="41"/>
        <v>0</v>
      </c>
      <c r="S199" s="358">
        <f t="shared" si="42"/>
        <v>0</v>
      </c>
    </row>
    <row r="200" spans="1:19">
      <c r="A200" s="156"/>
      <c r="B200" s="56"/>
      <c r="C200" s="21">
        <f t="shared" si="33"/>
        <v>1</v>
      </c>
      <c r="D200" s="717"/>
      <c r="E200" s="21">
        <f t="shared" si="34"/>
        <v>1</v>
      </c>
      <c r="F200" s="717"/>
      <c r="G200" s="21">
        <f t="shared" si="35"/>
        <v>1</v>
      </c>
      <c r="H200" s="717"/>
      <c r="I200" s="21">
        <f t="shared" si="36"/>
        <v>1</v>
      </c>
      <c r="J200" s="717"/>
      <c r="K200" s="21">
        <f t="shared" si="37"/>
        <v>1</v>
      </c>
      <c r="L200" s="717"/>
      <c r="M200" s="21">
        <f t="shared" si="38"/>
        <v>1</v>
      </c>
      <c r="N200" s="717"/>
      <c r="O200" s="21">
        <f t="shared" si="39"/>
        <v>1</v>
      </c>
      <c r="P200" s="717"/>
      <c r="Q200" s="21">
        <f t="shared" si="40"/>
        <v>1</v>
      </c>
      <c r="R200" s="713">
        <f t="shared" si="41"/>
        <v>0</v>
      </c>
      <c r="S200" s="358">
        <f t="shared" si="42"/>
        <v>0</v>
      </c>
    </row>
    <row r="201" spans="1:19">
      <c r="A201" s="156"/>
      <c r="B201" s="56"/>
      <c r="C201" s="21">
        <f t="shared" si="33"/>
        <v>1</v>
      </c>
      <c r="D201" s="717"/>
      <c r="E201" s="21">
        <f t="shared" si="34"/>
        <v>1</v>
      </c>
      <c r="F201" s="717"/>
      <c r="G201" s="21">
        <f t="shared" si="35"/>
        <v>1</v>
      </c>
      <c r="H201" s="717"/>
      <c r="I201" s="21">
        <f t="shared" si="36"/>
        <v>1</v>
      </c>
      <c r="J201" s="717"/>
      <c r="K201" s="21">
        <f t="shared" si="37"/>
        <v>1</v>
      </c>
      <c r="L201" s="717"/>
      <c r="M201" s="21">
        <f t="shared" si="38"/>
        <v>1</v>
      </c>
      <c r="N201" s="717"/>
      <c r="O201" s="21">
        <f t="shared" si="39"/>
        <v>1</v>
      </c>
      <c r="P201" s="717"/>
      <c r="Q201" s="21">
        <f t="shared" si="40"/>
        <v>1</v>
      </c>
      <c r="R201" s="713">
        <f t="shared" si="41"/>
        <v>0</v>
      </c>
      <c r="S201" s="358">
        <f t="shared" si="42"/>
        <v>0</v>
      </c>
    </row>
    <row r="202" spans="1:19">
      <c r="A202" s="156"/>
      <c r="B202" s="56"/>
      <c r="C202" s="21">
        <f t="shared" si="33"/>
        <v>1</v>
      </c>
      <c r="D202" s="717"/>
      <c r="E202" s="21">
        <f t="shared" si="34"/>
        <v>1</v>
      </c>
      <c r="F202" s="717"/>
      <c r="G202" s="21">
        <f t="shared" si="35"/>
        <v>1</v>
      </c>
      <c r="H202" s="717"/>
      <c r="I202" s="21">
        <f t="shared" si="36"/>
        <v>1</v>
      </c>
      <c r="J202" s="717"/>
      <c r="K202" s="21">
        <f t="shared" si="37"/>
        <v>1</v>
      </c>
      <c r="L202" s="717"/>
      <c r="M202" s="21">
        <f t="shared" si="38"/>
        <v>1</v>
      </c>
      <c r="N202" s="717"/>
      <c r="O202" s="21">
        <f t="shared" si="39"/>
        <v>1</v>
      </c>
      <c r="P202" s="717"/>
      <c r="Q202" s="21">
        <f t="shared" si="40"/>
        <v>1</v>
      </c>
      <c r="R202" s="713">
        <f t="shared" si="41"/>
        <v>0</v>
      </c>
      <c r="S202" s="358">
        <f t="shared" si="42"/>
        <v>0</v>
      </c>
    </row>
    <row r="203" spans="1:19">
      <c r="A203" s="156"/>
      <c r="B203" s="56"/>
      <c r="C203" s="21">
        <f t="shared" si="33"/>
        <v>1</v>
      </c>
      <c r="D203" s="717"/>
      <c r="E203" s="21">
        <f t="shared" si="34"/>
        <v>1</v>
      </c>
      <c r="F203" s="717"/>
      <c r="G203" s="21">
        <f t="shared" si="35"/>
        <v>1</v>
      </c>
      <c r="H203" s="717"/>
      <c r="I203" s="21">
        <f t="shared" si="36"/>
        <v>1</v>
      </c>
      <c r="J203" s="717"/>
      <c r="K203" s="21">
        <f t="shared" si="37"/>
        <v>1</v>
      </c>
      <c r="L203" s="717"/>
      <c r="M203" s="21">
        <f t="shared" si="38"/>
        <v>1</v>
      </c>
      <c r="N203" s="717"/>
      <c r="O203" s="21">
        <f t="shared" si="39"/>
        <v>1</v>
      </c>
      <c r="P203" s="717"/>
      <c r="Q203" s="21">
        <f t="shared" si="40"/>
        <v>1</v>
      </c>
      <c r="R203" s="713">
        <f t="shared" si="41"/>
        <v>0</v>
      </c>
      <c r="S203" s="358">
        <f t="shared" si="42"/>
        <v>0</v>
      </c>
    </row>
    <row r="204" spans="1:19">
      <c r="A204" s="156"/>
      <c r="B204" s="56"/>
      <c r="C204" s="21">
        <f t="shared" si="33"/>
        <v>1</v>
      </c>
      <c r="D204" s="717"/>
      <c r="E204" s="21">
        <f t="shared" si="34"/>
        <v>1</v>
      </c>
      <c r="F204" s="717"/>
      <c r="G204" s="21">
        <f t="shared" si="35"/>
        <v>1</v>
      </c>
      <c r="H204" s="717"/>
      <c r="I204" s="21">
        <f t="shared" si="36"/>
        <v>1</v>
      </c>
      <c r="J204" s="717"/>
      <c r="K204" s="21">
        <f t="shared" si="37"/>
        <v>1</v>
      </c>
      <c r="L204" s="717"/>
      <c r="M204" s="21">
        <f t="shared" si="38"/>
        <v>1</v>
      </c>
      <c r="N204" s="717"/>
      <c r="O204" s="21">
        <f t="shared" si="39"/>
        <v>1</v>
      </c>
      <c r="P204" s="717"/>
      <c r="Q204" s="21">
        <f t="shared" si="40"/>
        <v>1</v>
      </c>
      <c r="R204" s="713">
        <f t="shared" si="41"/>
        <v>0</v>
      </c>
      <c r="S204" s="358">
        <f t="shared" si="42"/>
        <v>0</v>
      </c>
    </row>
    <row r="205" spans="1:19">
      <c r="A205" s="156"/>
      <c r="B205" s="56"/>
      <c r="C205" s="21">
        <f t="shared" si="33"/>
        <v>1</v>
      </c>
      <c r="D205" s="717"/>
      <c r="E205" s="21">
        <f t="shared" si="34"/>
        <v>1</v>
      </c>
      <c r="F205" s="717"/>
      <c r="G205" s="21">
        <f t="shared" si="35"/>
        <v>1</v>
      </c>
      <c r="H205" s="717"/>
      <c r="I205" s="21">
        <f t="shared" si="36"/>
        <v>1</v>
      </c>
      <c r="J205" s="717"/>
      <c r="K205" s="21">
        <f t="shared" si="37"/>
        <v>1</v>
      </c>
      <c r="L205" s="717"/>
      <c r="M205" s="21">
        <f t="shared" si="38"/>
        <v>1</v>
      </c>
      <c r="N205" s="717"/>
      <c r="O205" s="21">
        <f t="shared" si="39"/>
        <v>1</v>
      </c>
      <c r="P205" s="717"/>
      <c r="Q205" s="21">
        <f t="shared" si="40"/>
        <v>1</v>
      </c>
      <c r="R205" s="713">
        <f t="shared" si="41"/>
        <v>0</v>
      </c>
      <c r="S205" s="358">
        <f t="shared" si="42"/>
        <v>0</v>
      </c>
    </row>
    <row r="206" spans="1:19">
      <c r="A206" s="156"/>
      <c r="B206" s="56"/>
      <c r="C206" s="21">
        <f t="shared" si="33"/>
        <v>1</v>
      </c>
      <c r="D206" s="717"/>
      <c r="E206" s="21">
        <f t="shared" si="34"/>
        <v>1</v>
      </c>
      <c r="F206" s="717"/>
      <c r="G206" s="21">
        <f t="shared" si="35"/>
        <v>1</v>
      </c>
      <c r="H206" s="717"/>
      <c r="I206" s="21">
        <f t="shared" si="36"/>
        <v>1</v>
      </c>
      <c r="J206" s="717"/>
      <c r="K206" s="21">
        <f t="shared" si="37"/>
        <v>1</v>
      </c>
      <c r="L206" s="717"/>
      <c r="M206" s="21">
        <f t="shared" si="38"/>
        <v>1</v>
      </c>
      <c r="N206" s="717"/>
      <c r="O206" s="21">
        <f t="shared" si="39"/>
        <v>1</v>
      </c>
      <c r="P206" s="717"/>
      <c r="Q206" s="21">
        <f t="shared" si="40"/>
        <v>1</v>
      </c>
      <c r="R206" s="713">
        <f t="shared" si="41"/>
        <v>0</v>
      </c>
      <c r="S206" s="358">
        <f t="shared" si="42"/>
        <v>0</v>
      </c>
    </row>
    <row r="207" spans="1:19">
      <c r="A207" s="156"/>
      <c r="B207" s="56"/>
      <c r="C207" s="21">
        <f t="shared" si="33"/>
        <v>1</v>
      </c>
      <c r="D207" s="717"/>
      <c r="E207" s="21">
        <f t="shared" si="34"/>
        <v>1</v>
      </c>
      <c r="F207" s="717"/>
      <c r="G207" s="21">
        <f t="shared" si="35"/>
        <v>1</v>
      </c>
      <c r="H207" s="717"/>
      <c r="I207" s="21">
        <f t="shared" si="36"/>
        <v>1</v>
      </c>
      <c r="J207" s="717"/>
      <c r="K207" s="21">
        <f t="shared" si="37"/>
        <v>1</v>
      </c>
      <c r="L207" s="717"/>
      <c r="M207" s="21">
        <f t="shared" si="38"/>
        <v>1</v>
      </c>
      <c r="N207" s="717"/>
      <c r="O207" s="21">
        <f t="shared" si="39"/>
        <v>1</v>
      </c>
      <c r="P207" s="717"/>
      <c r="Q207" s="21">
        <f t="shared" si="40"/>
        <v>1</v>
      </c>
      <c r="R207" s="713">
        <f t="shared" si="41"/>
        <v>0</v>
      </c>
      <c r="S207" s="358">
        <f t="shared" si="42"/>
        <v>0</v>
      </c>
    </row>
    <row r="208" spans="1:19">
      <c r="A208" s="156"/>
      <c r="B208" s="56"/>
      <c r="C208" s="21">
        <f t="shared" si="33"/>
        <v>1</v>
      </c>
      <c r="D208" s="717"/>
      <c r="E208" s="21">
        <f t="shared" si="34"/>
        <v>1</v>
      </c>
      <c r="F208" s="717"/>
      <c r="G208" s="21">
        <f t="shared" si="35"/>
        <v>1</v>
      </c>
      <c r="H208" s="717"/>
      <c r="I208" s="21">
        <f t="shared" si="36"/>
        <v>1</v>
      </c>
      <c r="J208" s="717"/>
      <c r="K208" s="21">
        <f t="shared" si="37"/>
        <v>1</v>
      </c>
      <c r="L208" s="717"/>
      <c r="M208" s="21">
        <f t="shared" si="38"/>
        <v>1</v>
      </c>
      <c r="N208" s="717"/>
      <c r="O208" s="21">
        <f t="shared" si="39"/>
        <v>1</v>
      </c>
      <c r="P208" s="717"/>
      <c r="Q208" s="21">
        <f t="shared" si="40"/>
        <v>1</v>
      </c>
      <c r="R208" s="713">
        <f t="shared" si="41"/>
        <v>0</v>
      </c>
      <c r="S208" s="358">
        <f t="shared" si="42"/>
        <v>0</v>
      </c>
    </row>
    <row r="209" spans="1:19">
      <c r="A209" s="156"/>
      <c r="B209" s="56"/>
      <c r="C209" s="21">
        <f t="shared" si="33"/>
        <v>1</v>
      </c>
      <c r="D209" s="717"/>
      <c r="E209" s="21">
        <f t="shared" si="34"/>
        <v>1</v>
      </c>
      <c r="F209" s="717"/>
      <c r="G209" s="21">
        <f t="shared" si="35"/>
        <v>1</v>
      </c>
      <c r="H209" s="717"/>
      <c r="I209" s="21">
        <f t="shared" si="36"/>
        <v>1</v>
      </c>
      <c r="J209" s="717"/>
      <c r="K209" s="21">
        <f t="shared" si="37"/>
        <v>1</v>
      </c>
      <c r="L209" s="717"/>
      <c r="M209" s="21">
        <f t="shared" si="38"/>
        <v>1</v>
      </c>
      <c r="N209" s="717"/>
      <c r="O209" s="21">
        <f t="shared" si="39"/>
        <v>1</v>
      </c>
      <c r="P209" s="717"/>
      <c r="Q209" s="21">
        <f t="shared" si="40"/>
        <v>1</v>
      </c>
      <c r="R209" s="713">
        <f t="shared" si="41"/>
        <v>0</v>
      </c>
      <c r="S209" s="358">
        <f t="shared" si="42"/>
        <v>0</v>
      </c>
    </row>
    <row r="210" spans="1:19">
      <c r="A210" s="156"/>
      <c r="B210" s="56"/>
      <c r="C210" s="21">
        <f t="shared" si="33"/>
        <v>1</v>
      </c>
      <c r="D210" s="717"/>
      <c r="E210" s="21">
        <f t="shared" si="34"/>
        <v>1</v>
      </c>
      <c r="F210" s="717"/>
      <c r="G210" s="21">
        <f t="shared" si="35"/>
        <v>1</v>
      </c>
      <c r="H210" s="717"/>
      <c r="I210" s="21">
        <f t="shared" si="36"/>
        <v>1</v>
      </c>
      <c r="J210" s="717"/>
      <c r="K210" s="21">
        <f t="shared" si="37"/>
        <v>1</v>
      </c>
      <c r="L210" s="717"/>
      <c r="M210" s="21">
        <f t="shared" si="38"/>
        <v>1</v>
      </c>
      <c r="N210" s="717"/>
      <c r="O210" s="21">
        <f t="shared" si="39"/>
        <v>1</v>
      </c>
      <c r="P210" s="717"/>
      <c r="Q210" s="21">
        <f t="shared" si="40"/>
        <v>1</v>
      </c>
      <c r="R210" s="713">
        <f t="shared" si="41"/>
        <v>0</v>
      </c>
      <c r="S210" s="358">
        <f t="shared" si="42"/>
        <v>0</v>
      </c>
    </row>
    <row r="211" spans="1:19">
      <c r="A211" s="156"/>
      <c r="B211" s="56"/>
      <c r="C211" s="21">
        <f t="shared" si="33"/>
        <v>1</v>
      </c>
      <c r="D211" s="717"/>
      <c r="E211" s="21">
        <f t="shared" si="34"/>
        <v>1</v>
      </c>
      <c r="F211" s="717"/>
      <c r="G211" s="21">
        <f t="shared" si="35"/>
        <v>1</v>
      </c>
      <c r="H211" s="717"/>
      <c r="I211" s="21">
        <f t="shared" si="36"/>
        <v>1</v>
      </c>
      <c r="J211" s="717"/>
      <c r="K211" s="21">
        <f t="shared" si="37"/>
        <v>1</v>
      </c>
      <c r="L211" s="717"/>
      <c r="M211" s="21">
        <f t="shared" si="38"/>
        <v>1</v>
      </c>
      <c r="N211" s="717"/>
      <c r="O211" s="21">
        <f t="shared" si="39"/>
        <v>1</v>
      </c>
      <c r="P211" s="717"/>
      <c r="Q211" s="21">
        <f t="shared" si="40"/>
        <v>1</v>
      </c>
      <c r="R211" s="713">
        <f t="shared" si="41"/>
        <v>0</v>
      </c>
      <c r="S211" s="358">
        <f t="shared" si="42"/>
        <v>0</v>
      </c>
    </row>
    <row r="212" spans="1:19">
      <c r="A212" s="156"/>
      <c r="B212" s="56"/>
      <c r="C212" s="21">
        <f t="shared" si="33"/>
        <v>1</v>
      </c>
      <c r="D212" s="717"/>
      <c r="E212" s="21">
        <f t="shared" si="34"/>
        <v>1</v>
      </c>
      <c r="F212" s="717"/>
      <c r="G212" s="21">
        <f t="shared" si="35"/>
        <v>1</v>
      </c>
      <c r="H212" s="717"/>
      <c r="I212" s="21">
        <f t="shared" si="36"/>
        <v>1</v>
      </c>
      <c r="J212" s="717"/>
      <c r="K212" s="21">
        <f t="shared" si="37"/>
        <v>1</v>
      </c>
      <c r="L212" s="717"/>
      <c r="M212" s="21">
        <f t="shared" si="38"/>
        <v>1</v>
      </c>
      <c r="N212" s="717"/>
      <c r="O212" s="21">
        <f t="shared" si="39"/>
        <v>1</v>
      </c>
      <c r="P212" s="717"/>
      <c r="Q212" s="21">
        <f t="shared" si="40"/>
        <v>1</v>
      </c>
      <c r="R212" s="713">
        <f t="shared" si="41"/>
        <v>0</v>
      </c>
      <c r="S212" s="358">
        <f t="shared" si="42"/>
        <v>0</v>
      </c>
    </row>
    <row r="213" spans="1:19">
      <c r="A213" s="156"/>
      <c r="B213" s="56"/>
      <c r="C213" s="21">
        <f t="shared" si="33"/>
        <v>1</v>
      </c>
      <c r="D213" s="717"/>
      <c r="E213" s="21">
        <f t="shared" si="34"/>
        <v>1</v>
      </c>
      <c r="F213" s="717"/>
      <c r="G213" s="21">
        <f t="shared" si="35"/>
        <v>1</v>
      </c>
      <c r="H213" s="717"/>
      <c r="I213" s="21">
        <f t="shared" si="36"/>
        <v>1</v>
      </c>
      <c r="J213" s="717"/>
      <c r="K213" s="21">
        <f t="shared" si="37"/>
        <v>1</v>
      </c>
      <c r="L213" s="717"/>
      <c r="M213" s="21">
        <f t="shared" si="38"/>
        <v>1</v>
      </c>
      <c r="N213" s="717"/>
      <c r="O213" s="21">
        <f t="shared" si="39"/>
        <v>1</v>
      </c>
      <c r="P213" s="717"/>
      <c r="Q213" s="21">
        <f t="shared" si="40"/>
        <v>1</v>
      </c>
      <c r="R213" s="713">
        <f t="shared" si="41"/>
        <v>0</v>
      </c>
      <c r="S213" s="358">
        <f t="shared" si="42"/>
        <v>0</v>
      </c>
    </row>
    <row r="214" spans="1:19">
      <c r="A214" s="156"/>
      <c r="B214" s="56"/>
      <c r="C214" s="21">
        <f t="shared" si="33"/>
        <v>1</v>
      </c>
      <c r="D214" s="717"/>
      <c r="E214" s="21">
        <f t="shared" si="34"/>
        <v>1</v>
      </c>
      <c r="F214" s="717"/>
      <c r="G214" s="21">
        <f t="shared" si="35"/>
        <v>1</v>
      </c>
      <c r="H214" s="717"/>
      <c r="I214" s="21">
        <f t="shared" si="36"/>
        <v>1</v>
      </c>
      <c r="J214" s="717"/>
      <c r="K214" s="21">
        <f t="shared" si="37"/>
        <v>1</v>
      </c>
      <c r="L214" s="717"/>
      <c r="M214" s="21">
        <f t="shared" si="38"/>
        <v>1</v>
      </c>
      <c r="N214" s="717"/>
      <c r="O214" s="21">
        <f t="shared" si="39"/>
        <v>1</v>
      </c>
      <c r="P214" s="717"/>
      <c r="Q214" s="21">
        <f t="shared" si="40"/>
        <v>1</v>
      </c>
      <c r="R214" s="713">
        <f t="shared" si="41"/>
        <v>0</v>
      </c>
      <c r="S214" s="358">
        <f t="shared" si="42"/>
        <v>0</v>
      </c>
    </row>
    <row r="215" spans="1:19">
      <c r="A215" s="156"/>
      <c r="B215" s="56"/>
      <c r="C215" s="21">
        <f t="shared" si="33"/>
        <v>1</v>
      </c>
      <c r="D215" s="717"/>
      <c r="E215" s="21">
        <f t="shared" si="34"/>
        <v>1</v>
      </c>
      <c r="F215" s="717"/>
      <c r="G215" s="21">
        <f t="shared" si="35"/>
        <v>1</v>
      </c>
      <c r="H215" s="717"/>
      <c r="I215" s="21">
        <f t="shared" si="36"/>
        <v>1</v>
      </c>
      <c r="J215" s="717"/>
      <c r="K215" s="21">
        <f t="shared" si="37"/>
        <v>1</v>
      </c>
      <c r="L215" s="717"/>
      <c r="M215" s="21">
        <f t="shared" si="38"/>
        <v>1</v>
      </c>
      <c r="N215" s="717"/>
      <c r="O215" s="21">
        <f t="shared" si="39"/>
        <v>1</v>
      </c>
      <c r="P215" s="717"/>
      <c r="Q215" s="21">
        <f t="shared" si="40"/>
        <v>1</v>
      </c>
      <c r="R215" s="713">
        <f t="shared" si="41"/>
        <v>0</v>
      </c>
      <c r="S215" s="358">
        <f t="shared" si="42"/>
        <v>0</v>
      </c>
    </row>
    <row r="216" spans="1:19">
      <c r="A216" s="156"/>
      <c r="B216" s="56"/>
      <c r="C216" s="21">
        <f t="shared" si="33"/>
        <v>1</v>
      </c>
      <c r="D216" s="717"/>
      <c r="E216" s="21">
        <f t="shared" si="34"/>
        <v>1</v>
      </c>
      <c r="F216" s="717"/>
      <c r="G216" s="21">
        <f t="shared" si="35"/>
        <v>1</v>
      </c>
      <c r="H216" s="717"/>
      <c r="I216" s="21">
        <f t="shared" si="36"/>
        <v>1</v>
      </c>
      <c r="J216" s="717"/>
      <c r="K216" s="21">
        <f t="shared" si="37"/>
        <v>1</v>
      </c>
      <c r="L216" s="717"/>
      <c r="M216" s="21">
        <f t="shared" si="38"/>
        <v>1</v>
      </c>
      <c r="N216" s="717"/>
      <c r="O216" s="21">
        <f t="shared" si="39"/>
        <v>1</v>
      </c>
      <c r="P216" s="717"/>
      <c r="Q216" s="21">
        <f t="shared" si="40"/>
        <v>1</v>
      </c>
      <c r="R216" s="713">
        <f t="shared" si="41"/>
        <v>0</v>
      </c>
      <c r="S216" s="358">
        <f t="shared" si="42"/>
        <v>0</v>
      </c>
    </row>
    <row r="217" spans="1:19">
      <c r="A217" s="156"/>
      <c r="B217" s="56"/>
      <c r="C217" s="21">
        <f t="shared" si="33"/>
        <v>1</v>
      </c>
      <c r="D217" s="717"/>
      <c r="E217" s="21">
        <f t="shared" si="34"/>
        <v>1</v>
      </c>
      <c r="F217" s="717"/>
      <c r="G217" s="21">
        <f t="shared" si="35"/>
        <v>1</v>
      </c>
      <c r="H217" s="717"/>
      <c r="I217" s="21">
        <f t="shared" si="36"/>
        <v>1</v>
      </c>
      <c r="J217" s="717"/>
      <c r="K217" s="21">
        <f t="shared" si="37"/>
        <v>1</v>
      </c>
      <c r="L217" s="717"/>
      <c r="M217" s="21">
        <f t="shared" si="38"/>
        <v>1</v>
      </c>
      <c r="N217" s="717"/>
      <c r="O217" s="21">
        <f t="shared" si="39"/>
        <v>1</v>
      </c>
      <c r="P217" s="717"/>
      <c r="Q217" s="21">
        <f t="shared" si="40"/>
        <v>1</v>
      </c>
      <c r="R217" s="713">
        <f t="shared" si="41"/>
        <v>0</v>
      </c>
      <c r="S217" s="358">
        <f t="shared" si="42"/>
        <v>0</v>
      </c>
    </row>
    <row r="218" spans="1:19">
      <c r="A218" s="156"/>
      <c r="B218" s="56"/>
      <c r="C218" s="21">
        <f t="shared" ref="C218:C281" si="43">IF(B218="",1,(LOOKUP(B218,$3:$3,$4:$4)-LOOKUP($B$24,$3:$3,$4:$4)+100)/100)</f>
        <v>1</v>
      </c>
      <c r="D218" s="717"/>
      <c r="E218" s="21">
        <f t="shared" ref="E218:E281" si="44">(SUMIF($5:$5,D218,$6:$6)-SUMIF($5:$5,$D$24,$6:$6)+100)/100</f>
        <v>1</v>
      </c>
      <c r="F218" s="717"/>
      <c r="G218" s="21">
        <f t="shared" ref="G218:G281" si="45">(SUMIF($7:$7,F218,$8:$8)-SUMIF($7:$7,$F$24,$8:$8)+100)/100</f>
        <v>1</v>
      </c>
      <c r="H218" s="717"/>
      <c r="I218" s="21">
        <f t="shared" ref="I218:I281" si="46">(SUMIF($9:$9,H218,$10:$10)-SUMIF($9:$9,$H$24,$10:$10)+100)/100</f>
        <v>1</v>
      </c>
      <c r="J218" s="717"/>
      <c r="K218" s="21">
        <f t="shared" ref="K218:K281" si="47">(SUMIF($11:$11,J218,$12:$12)-SUMIF($11:$11,$J$24,$12:$12)+100)/100</f>
        <v>1</v>
      </c>
      <c r="L218" s="717"/>
      <c r="M218" s="21">
        <f t="shared" ref="M218:M281" si="48">(SUMIF($13:$13,L218,$14:$14)-SUMIF($13:$13,$L$24,$14:$14)+100)/100</f>
        <v>1</v>
      </c>
      <c r="N218" s="717"/>
      <c r="O218" s="21">
        <f t="shared" ref="O218:O281" si="49">(SUMIF($15:$15,N218,$16:$16)-SUMIF($15:$15,$N$24,$16:$16)+100)/100</f>
        <v>1</v>
      </c>
      <c r="P218" s="717"/>
      <c r="Q218" s="21">
        <f t="shared" ref="Q218:Q281" si="50">(SUMIF($17:$17,P218,$18:$18)-SUMIF($17:$17,$P$24,$18:$18)+100)/100</f>
        <v>1</v>
      </c>
      <c r="R218" s="713">
        <f t="shared" ref="R218:R281" si="51">IF(B218="",0,ROUND($R$24*C218*E218*G218*I218*K218*M218*O218*Q218,0))</f>
        <v>0</v>
      </c>
      <c r="S218" s="358">
        <f t="shared" si="42"/>
        <v>0</v>
      </c>
    </row>
    <row r="219" spans="1:19">
      <c r="A219" s="156"/>
      <c r="B219" s="56"/>
      <c r="C219" s="21">
        <f t="shared" si="43"/>
        <v>1</v>
      </c>
      <c r="D219" s="717"/>
      <c r="E219" s="21">
        <f t="shared" si="44"/>
        <v>1</v>
      </c>
      <c r="F219" s="717"/>
      <c r="G219" s="21">
        <f t="shared" si="45"/>
        <v>1</v>
      </c>
      <c r="H219" s="717"/>
      <c r="I219" s="21">
        <f t="shared" si="46"/>
        <v>1</v>
      </c>
      <c r="J219" s="717"/>
      <c r="K219" s="21">
        <f t="shared" si="47"/>
        <v>1</v>
      </c>
      <c r="L219" s="717"/>
      <c r="M219" s="21">
        <f t="shared" si="48"/>
        <v>1</v>
      </c>
      <c r="N219" s="717"/>
      <c r="O219" s="21">
        <f t="shared" si="49"/>
        <v>1</v>
      </c>
      <c r="P219" s="717"/>
      <c r="Q219" s="21">
        <f t="shared" si="50"/>
        <v>1</v>
      </c>
      <c r="R219" s="713">
        <f t="shared" si="51"/>
        <v>0</v>
      </c>
      <c r="S219" s="358">
        <f t="shared" si="42"/>
        <v>0</v>
      </c>
    </row>
    <row r="220" spans="1:19">
      <c r="A220" s="156"/>
      <c r="B220" s="56"/>
      <c r="C220" s="21">
        <f t="shared" si="43"/>
        <v>1</v>
      </c>
      <c r="D220" s="717"/>
      <c r="E220" s="21">
        <f t="shared" si="44"/>
        <v>1</v>
      </c>
      <c r="F220" s="717"/>
      <c r="G220" s="21">
        <f t="shared" si="45"/>
        <v>1</v>
      </c>
      <c r="H220" s="717"/>
      <c r="I220" s="21">
        <f t="shared" si="46"/>
        <v>1</v>
      </c>
      <c r="J220" s="717"/>
      <c r="K220" s="21">
        <f t="shared" si="47"/>
        <v>1</v>
      </c>
      <c r="L220" s="717"/>
      <c r="M220" s="21">
        <f t="shared" si="48"/>
        <v>1</v>
      </c>
      <c r="N220" s="717"/>
      <c r="O220" s="21">
        <f t="shared" si="49"/>
        <v>1</v>
      </c>
      <c r="P220" s="717"/>
      <c r="Q220" s="21">
        <f t="shared" si="50"/>
        <v>1</v>
      </c>
      <c r="R220" s="713">
        <f t="shared" si="51"/>
        <v>0</v>
      </c>
      <c r="S220" s="358">
        <f t="shared" si="42"/>
        <v>0</v>
      </c>
    </row>
    <row r="221" spans="1:19">
      <c r="A221" s="156"/>
      <c r="B221" s="56"/>
      <c r="C221" s="21">
        <f t="shared" si="43"/>
        <v>1</v>
      </c>
      <c r="D221" s="717"/>
      <c r="E221" s="21">
        <f t="shared" si="44"/>
        <v>1</v>
      </c>
      <c r="F221" s="717"/>
      <c r="G221" s="21">
        <f t="shared" si="45"/>
        <v>1</v>
      </c>
      <c r="H221" s="717"/>
      <c r="I221" s="21">
        <f t="shared" si="46"/>
        <v>1</v>
      </c>
      <c r="J221" s="717"/>
      <c r="K221" s="21">
        <f t="shared" si="47"/>
        <v>1</v>
      </c>
      <c r="L221" s="717"/>
      <c r="M221" s="21">
        <f t="shared" si="48"/>
        <v>1</v>
      </c>
      <c r="N221" s="717"/>
      <c r="O221" s="21">
        <f t="shared" si="49"/>
        <v>1</v>
      </c>
      <c r="P221" s="717"/>
      <c r="Q221" s="21">
        <f t="shared" si="50"/>
        <v>1</v>
      </c>
      <c r="R221" s="713">
        <f t="shared" si="51"/>
        <v>0</v>
      </c>
      <c r="S221" s="358">
        <f t="shared" si="42"/>
        <v>0</v>
      </c>
    </row>
    <row r="222" spans="1:19">
      <c r="A222" s="156"/>
      <c r="B222" s="56"/>
      <c r="C222" s="21">
        <f t="shared" si="43"/>
        <v>1</v>
      </c>
      <c r="D222" s="717"/>
      <c r="E222" s="21">
        <f t="shared" si="44"/>
        <v>1</v>
      </c>
      <c r="F222" s="717"/>
      <c r="G222" s="21">
        <f t="shared" si="45"/>
        <v>1</v>
      </c>
      <c r="H222" s="717"/>
      <c r="I222" s="21">
        <f t="shared" si="46"/>
        <v>1</v>
      </c>
      <c r="J222" s="717"/>
      <c r="K222" s="21">
        <f t="shared" si="47"/>
        <v>1</v>
      </c>
      <c r="L222" s="717"/>
      <c r="M222" s="21">
        <f t="shared" si="48"/>
        <v>1</v>
      </c>
      <c r="N222" s="717"/>
      <c r="O222" s="21">
        <f t="shared" si="49"/>
        <v>1</v>
      </c>
      <c r="P222" s="717"/>
      <c r="Q222" s="21">
        <f t="shared" si="50"/>
        <v>1</v>
      </c>
      <c r="R222" s="713">
        <f t="shared" si="51"/>
        <v>0</v>
      </c>
      <c r="S222" s="358">
        <f t="shared" si="42"/>
        <v>0</v>
      </c>
    </row>
    <row r="223" spans="1:19">
      <c r="A223" s="156"/>
      <c r="B223" s="56"/>
      <c r="C223" s="21">
        <f t="shared" si="43"/>
        <v>1</v>
      </c>
      <c r="D223" s="717"/>
      <c r="E223" s="21">
        <f t="shared" si="44"/>
        <v>1</v>
      </c>
      <c r="F223" s="717"/>
      <c r="G223" s="21">
        <f t="shared" si="45"/>
        <v>1</v>
      </c>
      <c r="H223" s="717"/>
      <c r="I223" s="21">
        <f t="shared" si="46"/>
        <v>1</v>
      </c>
      <c r="J223" s="717"/>
      <c r="K223" s="21">
        <f t="shared" si="47"/>
        <v>1</v>
      </c>
      <c r="L223" s="717"/>
      <c r="M223" s="21">
        <f t="shared" si="48"/>
        <v>1</v>
      </c>
      <c r="N223" s="717"/>
      <c r="O223" s="21">
        <f t="shared" si="49"/>
        <v>1</v>
      </c>
      <c r="P223" s="717"/>
      <c r="Q223" s="21">
        <f t="shared" si="50"/>
        <v>1</v>
      </c>
      <c r="R223" s="713">
        <f t="shared" si="51"/>
        <v>0</v>
      </c>
      <c r="S223" s="358">
        <f t="shared" ref="S223:S286" si="52">ROUND(R223*B223/10000,0)</f>
        <v>0</v>
      </c>
    </row>
    <row r="224" spans="1:19">
      <c r="A224" s="156"/>
      <c r="B224" s="56"/>
      <c r="C224" s="21">
        <f t="shared" si="43"/>
        <v>1</v>
      </c>
      <c r="D224" s="717"/>
      <c r="E224" s="21">
        <f t="shared" si="44"/>
        <v>1</v>
      </c>
      <c r="F224" s="717"/>
      <c r="G224" s="21">
        <f t="shared" si="45"/>
        <v>1</v>
      </c>
      <c r="H224" s="717"/>
      <c r="I224" s="21">
        <f t="shared" si="46"/>
        <v>1</v>
      </c>
      <c r="J224" s="717"/>
      <c r="K224" s="21">
        <f t="shared" si="47"/>
        <v>1</v>
      </c>
      <c r="L224" s="717"/>
      <c r="M224" s="21">
        <f t="shared" si="48"/>
        <v>1</v>
      </c>
      <c r="N224" s="717"/>
      <c r="O224" s="21">
        <f t="shared" si="49"/>
        <v>1</v>
      </c>
      <c r="P224" s="717"/>
      <c r="Q224" s="21">
        <f t="shared" si="50"/>
        <v>1</v>
      </c>
      <c r="R224" s="713">
        <f t="shared" si="51"/>
        <v>0</v>
      </c>
      <c r="S224" s="358">
        <f t="shared" si="52"/>
        <v>0</v>
      </c>
    </row>
    <row r="225" spans="1:19">
      <c r="A225" s="156"/>
      <c r="B225" s="56"/>
      <c r="C225" s="21">
        <f t="shared" si="43"/>
        <v>1</v>
      </c>
      <c r="D225" s="717"/>
      <c r="E225" s="21">
        <f t="shared" si="44"/>
        <v>1</v>
      </c>
      <c r="F225" s="717"/>
      <c r="G225" s="21">
        <f t="shared" si="45"/>
        <v>1</v>
      </c>
      <c r="H225" s="717"/>
      <c r="I225" s="21">
        <f t="shared" si="46"/>
        <v>1</v>
      </c>
      <c r="J225" s="717"/>
      <c r="K225" s="21">
        <f t="shared" si="47"/>
        <v>1</v>
      </c>
      <c r="L225" s="717"/>
      <c r="M225" s="21">
        <f t="shared" si="48"/>
        <v>1</v>
      </c>
      <c r="N225" s="717"/>
      <c r="O225" s="21">
        <f t="shared" si="49"/>
        <v>1</v>
      </c>
      <c r="P225" s="717"/>
      <c r="Q225" s="21">
        <f t="shared" si="50"/>
        <v>1</v>
      </c>
      <c r="R225" s="713">
        <f t="shared" si="51"/>
        <v>0</v>
      </c>
      <c r="S225" s="358">
        <f t="shared" si="52"/>
        <v>0</v>
      </c>
    </row>
    <row r="226" spans="1:19">
      <c r="A226" s="156"/>
      <c r="B226" s="56"/>
      <c r="C226" s="21">
        <f t="shared" si="43"/>
        <v>1</v>
      </c>
      <c r="D226" s="717"/>
      <c r="E226" s="21">
        <f t="shared" si="44"/>
        <v>1</v>
      </c>
      <c r="F226" s="717"/>
      <c r="G226" s="21">
        <f t="shared" si="45"/>
        <v>1</v>
      </c>
      <c r="H226" s="717"/>
      <c r="I226" s="21">
        <f t="shared" si="46"/>
        <v>1</v>
      </c>
      <c r="J226" s="717"/>
      <c r="K226" s="21">
        <f t="shared" si="47"/>
        <v>1</v>
      </c>
      <c r="L226" s="717"/>
      <c r="M226" s="21">
        <f t="shared" si="48"/>
        <v>1</v>
      </c>
      <c r="N226" s="717"/>
      <c r="O226" s="21">
        <f t="shared" si="49"/>
        <v>1</v>
      </c>
      <c r="P226" s="717"/>
      <c r="Q226" s="21">
        <f t="shared" si="50"/>
        <v>1</v>
      </c>
      <c r="R226" s="713">
        <f t="shared" si="51"/>
        <v>0</v>
      </c>
      <c r="S226" s="358">
        <f t="shared" si="52"/>
        <v>0</v>
      </c>
    </row>
    <row r="227" spans="1:19">
      <c r="A227" s="156"/>
      <c r="B227" s="56"/>
      <c r="C227" s="21">
        <f t="shared" si="43"/>
        <v>1</v>
      </c>
      <c r="D227" s="717"/>
      <c r="E227" s="21">
        <f t="shared" si="44"/>
        <v>1</v>
      </c>
      <c r="F227" s="717"/>
      <c r="G227" s="21">
        <f t="shared" si="45"/>
        <v>1</v>
      </c>
      <c r="H227" s="717"/>
      <c r="I227" s="21">
        <f t="shared" si="46"/>
        <v>1</v>
      </c>
      <c r="J227" s="717"/>
      <c r="K227" s="21">
        <f t="shared" si="47"/>
        <v>1</v>
      </c>
      <c r="L227" s="717"/>
      <c r="M227" s="21">
        <f t="shared" si="48"/>
        <v>1</v>
      </c>
      <c r="N227" s="717"/>
      <c r="O227" s="21">
        <f t="shared" si="49"/>
        <v>1</v>
      </c>
      <c r="P227" s="717"/>
      <c r="Q227" s="21">
        <f t="shared" si="50"/>
        <v>1</v>
      </c>
      <c r="R227" s="713">
        <f t="shared" si="51"/>
        <v>0</v>
      </c>
      <c r="S227" s="358">
        <f t="shared" si="52"/>
        <v>0</v>
      </c>
    </row>
    <row r="228" spans="1:19">
      <c r="A228" s="156"/>
      <c r="B228" s="56"/>
      <c r="C228" s="21">
        <f t="shared" si="43"/>
        <v>1</v>
      </c>
      <c r="D228" s="717"/>
      <c r="E228" s="21">
        <f t="shared" si="44"/>
        <v>1</v>
      </c>
      <c r="F228" s="717"/>
      <c r="G228" s="21">
        <f t="shared" si="45"/>
        <v>1</v>
      </c>
      <c r="H228" s="717"/>
      <c r="I228" s="21">
        <f t="shared" si="46"/>
        <v>1</v>
      </c>
      <c r="J228" s="717"/>
      <c r="K228" s="21">
        <f t="shared" si="47"/>
        <v>1</v>
      </c>
      <c r="L228" s="717"/>
      <c r="M228" s="21">
        <f t="shared" si="48"/>
        <v>1</v>
      </c>
      <c r="N228" s="717"/>
      <c r="O228" s="21">
        <f t="shared" si="49"/>
        <v>1</v>
      </c>
      <c r="P228" s="717"/>
      <c r="Q228" s="21">
        <f t="shared" si="50"/>
        <v>1</v>
      </c>
      <c r="R228" s="713">
        <f t="shared" si="51"/>
        <v>0</v>
      </c>
      <c r="S228" s="358">
        <f t="shared" si="52"/>
        <v>0</v>
      </c>
    </row>
    <row r="229" spans="1:19">
      <c r="A229" s="156"/>
      <c r="B229" s="56"/>
      <c r="C229" s="21">
        <f t="shared" si="43"/>
        <v>1</v>
      </c>
      <c r="D229" s="717"/>
      <c r="E229" s="21">
        <f t="shared" si="44"/>
        <v>1</v>
      </c>
      <c r="F229" s="717"/>
      <c r="G229" s="21">
        <f t="shared" si="45"/>
        <v>1</v>
      </c>
      <c r="H229" s="717"/>
      <c r="I229" s="21">
        <f t="shared" si="46"/>
        <v>1</v>
      </c>
      <c r="J229" s="717"/>
      <c r="K229" s="21">
        <f t="shared" si="47"/>
        <v>1</v>
      </c>
      <c r="L229" s="717"/>
      <c r="M229" s="21">
        <f t="shared" si="48"/>
        <v>1</v>
      </c>
      <c r="N229" s="717"/>
      <c r="O229" s="21">
        <f t="shared" si="49"/>
        <v>1</v>
      </c>
      <c r="P229" s="717"/>
      <c r="Q229" s="21">
        <f t="shared" si="50"/>
        <v>1</v>
      </c>
      <c r="R229" s="713">
        <f t="shared" si="51"/>
        <v>0</v>
      </c>
      <c r="S229" s="358">
        <f t="shared" si="52"/>
        <v>0</v>
      </c>
    </row>
    <row r="230" spans="1:19">
      <c r="A230" s="156"/>
      <c r="B230" s="56"/>
      <c r="C230" s="21">
        <f t="shared" si="43"/>
        <v>1</v>
      </c>
      <c r="D230" s="717"/>
      <c r="E230" s="21">
        <f t="shared" si="44"/>
        <v>1</v>
      </c>
      <c r="F230" s="717"/>
      <c r="G230" s="21">
        <f t="shared" si="45"/>
        <v>1</v>
      </c>
      <c r="H230" s="717"/>
      <c r="I230" s="21">
        <f t="shared" si="46"/>
        <v>1</v>
      </c>
      <c r="J230" s="717"/>
      <c r="K230" s="21">
        <f t="shared" si="47"/>
        <v>1</v>
      </c>
      <c r="L230" s="717"/>
      <c r="M230" s="21">
        <f t="shared" si="48"/>
        <v>1</v>
      </c>
      <c r="N230" s="717"/>
      <c r="O230" s="21">
        <f t="shared" si="49"/>
        <v>1</v>
      </c>
      <c r="P230" s="717"/>
      <c r="Q230" s="21">
        <f t="shared" si="50"/>
        <v>1</v>
      </c>
      <c r="R230" s="713">
        <f t="shared" si="51"/>
        <v>0</v>
      </c>
      <c r="S230" s="358">
        <f t="shared" si="52"/>
        <v>0</v>
      </c>
    </row>
    <row r="231" spans="1:19">
      <c r="A231" s="156"/>
      <c r="B231" s="56"/>
      <c r="C231" s="21">
        <f t="shared" si="43"/>
        <v>1</v>
      </c>
      <c r="D231" s="717"/>
      <c r="E231" s="21">
        <f t="shared" si="44"/>
        <v>1</v>
      </c>
      <c r="F231" s="717"/>
      <c r="G231" s="21">
        <f t="shared" si="45"/>
        <v>1</v>
      </c>
      <c r="H231" s="717"/>
      <c r="I231" s="21">
        <f t="shared" si="46"/>
        <v>1</v>
      </c>
      <c r="J231" s="717"/>
      <c r="K231" s="21">
        <f t="shared" si="47"/>
        <v>1</v>
      </c>
      <c r="L231" s="717"/>
      <c r="M231" s="21">
        <f t="shared" si="48"/>
        <v>1</v>
      </c>
      <c r="N231" s="717"/>
      <c r="O231" s="21">
        <f t="shared" si="49"/>
        <v>1</v>
      </c>
      <c r="P231" s="717"/>
      <c r="Q231" s="21">
        <f t="shared" si="50"/>
        <v>1</v>
      </c>
      <c r="R231" s="713">
        <f t="shared" si="51"/>
        <v>0</v>
      </c>
      <c r="S231" s="358">
        <f t="shared" si="52"/>
        <v>0</v>
      </c>
    </row>
    <row r="232" spans="1:19">
      <c r="A232" s="156"/>
      <c r="B232" s="56"/>
      <c r="C232" s="21">
        <f t="shared" si="43"/>
        <v>1</v>
      </c>
      <c r="D232" s="717"/>
      <c r="E232" s="21">
        <f t="shared" si="44"/>
        <v>1</v>
      </c>
      <c r="F232" s="717"/>
      <c r="G232" s="21">
        <f t="shared" si="45"/>
        <v>1</v>
      </c>
      <c r="H232" s="717"/>
      <c r="I232" s="21">
        <f t="shared" si="46"/>
        <v>1</v>
      </c>
      <c r="J232" s="717"/>
      <c r="K232" s="21">
        <f t="shared" si="47"/>
        <v>1</v>
      </c>
      <c r="L232" s="717"/>
      <c r="M232" s="21">
        <f t="shared" si="48"/>
        <v>1</v>
      </c>
      <c r="N232" s="717"/>
      <c r="O232" s="21">
        <f t="shared" si="49"/>
        <v>1</v>
      </c>
      <c r="P232" s="717"/>
      <c r="Q232" s="21">
        <f t="shared" si="50"/>
        <v>1</v>
      </c>
      <c r="R232" s="713">
        <f t="shared" si="51"/>
        <v>0</v>
      </c>
      <c r="S232" s="358">
        <f t="shared" si="52"/>
        <v>0</v>
      </c>
    </row>
    <row r="233" spans="1:19">
      <c r="A233" s="156"/>
      <c r="B233" s="56"/>
      <c r="C233" s="21">
        <f t="shared" si="43"/>
        <v>1</v>
      </c>
      <c r="D233" s="717"/>
      <c r="E233" s="21">
        <f t="shared" si="44"/>
        <v>1</v>
      </c>
      <c r="F233" s="717"/>
      <c r="G233" s="21">
        <f t="shared" si="45"/>
        <v>1</v>
      </c>
      <c r="H233" s="717"/>
      <c r="I233" s="21">
        <f t="shared" si="46"/>
        <v>1</v>
      </c>
      <c r="J233" s="717"/>
      <c r="K233" s="21">
        <f t="shared" si="47"/>
        <v>1</v>
      </c>
      <c r="L233" s="717"/>
      <c r="M233" s="21">
        <f t="shared" si="48"/>
        <v>1</v>
      </c>
      <c r="N233" s="717"/>
      <c r="O233" s="21">
        <f t="shared" si="49"/>
        <v>1</v>
      </c>
      <c r="P233" s="717"/>
      <c r="Q233" s="21">
        <f t="shared" si="50"/>
        <v>1</v>
      </c>
      <c r="R233" s="713">
        <f t="shared" si="51"/>
        <v>0</v>
      </c>
      <c r="S233" s="358">
        <f t="shared" si="52"/>
        <v>0</v>
      </c>
    </row>
    <row r="234" spans="1:19">
      <c r="A234" s="156"/>
      <c r="B234" s="56"/>
      <c r="C234" s="21">
        <f t="shared" si="43"/>
        <v>1</v>
      </c>
      <c r="D234" s="717"/>
      <c r="E234" s="21">
        <f t="shared" si="44"/>
        <v>1</v>
      </c>
      <c r="F234" s="717"/>
      <c r="G234" s="21">
        <f t="shared" si="45"/>
        <v>1</v>
      </c>
      <c r="H234" s="717"/>
      <c r="I234" s="21">
        <f t="shared" si="46"/>
        <v>1</v>
      </c>
      <c r="J234" s="717"/>
      <c r="K234" s="21">
        <f t="shared" si="47"/>
        <v>1</v>
      </c>
      <c r="L234" s="717"/>
      <c r="M234" s="21">
        <f t="shared" si="48"/>
        <v>1</v>
      </c>
      <c r="N234" s="717"/>
      <c r="O234" s="21">
        <f t="shared" si="49"/>
        <v>1</v>
      </c>
      <c r="P234" s="717"/>
      <c r="Q234" s="21">
        <f t="shared" si="50"/>
        <v>1</v>
      </c>
      <c r="R234" s="713">
        <f t="shared" si="51"/>
        <v>0</v>
      </c>
      <c r="S234" s="358">
        <f t="shared" si="52"/>
        <v>0</v>
      </c>
    </row>
    <row r="235" spans="1:19">
      <c r="A235" s="156"/>
      <c r="B235" s="56"/>
      <c r="C235" s="21">
        <f t="shared" si="43"/>
        <v>1</v>
      </c>
      <c r="D235" s="717"/>
      <c r="E235" s="21">
        <f t="shared" si="44"/>
        <v>1</v>
      </c>
      <c r="F235" s="717"/>
      <c r="G235" s="21">
        <f t="shared" si="45"/>
        <v>1</v>
      </c>
      <c r="H235" s="717"/>
      <c r="I235" s="21">
        <f t="shared" si="46"/>
        <v>1</v>
      </c>
      <c r="J235" s="717"/>
      <c r="K235" s="21">
        <f t="shared" si="47"/>
        <v>1</v>
      </c>
      <c r="L235" s="717"/>
      <c r="M235" s="21">
        <f t="shared" si="48"/>
        <v>1</v>
      </c>
      <c r="N235" s="717"/>
      <c r="O235" s="21">
        <f t="shared" si="49"/>
        <v>1</v>
      </c>
      <c r="P235" s="717"/>
      <c r="Q235" s="21">
        <f t="shared" si="50"/>
        <v>1</v>
      </c>
      <c r="R235" s="713">
        <f t="shared" si="51"/>
        <v>0</v>
      </c>
      <c r="S235" s="358">
        <f t="shared" si="52"/>
        <v>0</v>
      </c>
    </row>
    <row r="236" spans="1:19">
      <c r="A236" s="156"/>
      <c r="B236" s="56"/>
      <c r="C236" s="21">
        <f t="shared" si="43"/>
        <v>1</v>
      </c>
      <c r="D236" s="717"/>
      <c r="E236" s="21">
        <f t="shared" si="44"/>
        <v>1</v>
      </c>
      <c r="F236" s="717"/>
      <c r="G236" s="21">
        <f t="shared" si="45"/>
        <v>1</v>
      </c>
      <c r="H236" s="717"/>
      <c r="I236" s="21">
        <f t="shared" si="46"/>
        <v>1</v>
      </c>
      <c r="J236" s="717"/>
      <c r="K236" s="21">
        <f t="shared" si="47"/>
        <v>1</v>
      </c>
      <c r="L236" s="717"/>
      <c r="M236" s="21">
        <f t="shared" si="48"/>
        <v>1</v>
      </c>
      <c r="N236" s="717"/>
      <c r="O236" s="21">
        <f t="shared" si="49"/>
        <v>1</v>
      </c>
      <c r="P236" s="717"/>
      <c r="Q236" s="21">
        <f t="shared" si="50"/>
        <v>1</v>
      </c>
      <c r="R236" s="713">
        <f t="shared" si="51"/>
        <v>0</v>
      </c>
      <c r="S236" s="358">
        <f t="shared" si="52"/>
        <v>0</v>
      </c>
    </row>
    <row r="237" spans="1:19">
      <c r="A237" s="156"/>
      <c r="B237" s="56"/>
      <c r="C237" s="21">
        <f t="shared" si="43"/>
        <v>1</v>
      </c>
      <c r="D237" s="717"/>
      <c r="E237" s="21">
        <f t="shared" si="44"/>
        <v>1</v>
      </c>
      <c r="F237" s="717"/>
      <c r="G237" s="21">
        <f t="shared" si="45"/>
        <v>1</v>
      </c>
      <c r="H237" s="717"/>
      <c r="I237" s="21">
        <f t="shared" si="46"/>
        <v>1</v>
      </c>
      <c r="J237" s="717"/>
      <c r="K237" s="21">
        <f t="shared" si="47"/>
        <v>1</v>
      </c>
      <c r="L237" s="717"/>
      <c r="M237" s="21">
        <f t="shared" si="48"/>
        <v>1</v>
      </c>
      <c r="N237" s="717"/>
      <c r="O237" s="21">
        <f t="shared" si="49"/>
        <v>1</v>
      </c>
      <c r="P237" s="717"/>
      <c r="Q237" s="21">
        <f t="shared" si="50"/>
        <v>1</v>
      </c>
      <c r="R237" s="713">
        <f t="shared" si="51"/>
        <v>0</v>
      </c>
      <c r="S237" s="358">
        <f t="shared" si="52"/>
        <v>0</v>
      </c>
    </row>
    <row r="238" spans="1:19">
      <c r="A238" s="156"/>
      <c r="B238" s="56"/>
      <c r="C238" s="21">
        <f t="shared" si="43"/>
        <v>1</v>
      </c>
      <c r="D238" s="717"/>
      <c r="E238" s="21">
        <f t="shared" si="44"/>
        <v>1</v>
      </c>
      <c r="F238" s="717"/>
      <c r="G238" s="21">
        <f t="shared" si="45"/>
        <v>1</v>
      </c>
      <c r="H238" s="717"/>
      <c r="I238" s="21">
        <f t="shared" si="46"/>
        <v>1</v>
      </c>
      <c r="J238" s="717"/>
      <c r="K238" s="21">
        <f t="shared" si="47"/>
        <v>1</v>
      </c>
      <c r="L238" s="717"/>
      <c r="M238" s="21">
        <f t="shared" si="48"/>
        <v>1</v>
      </c>
      <c r="N238" s="717"/>
      <c r="O238" s="21">
        <f t="shared" si="49"/>
        <v>1</v>
      </c>
      <c r="P238" s="717"/>
      <c r="Q238" s="21">
        <f t="shared" si="50"/>
        <v>1</v>
      </c>
      <c r="R238" s="713">
        <f t="shared" si="51"/>
        <v>0</v>
      </c>
      <c r="S238" s="358">
        <f t="shared" si="52"/>
        <v>0</v>
      </c>
    </row>
    <row r="239" spans="1:19">
      <c r="A239" s="156"/>
      <c r="B239" s="56"/>
      <c r="C239" s="21">
        <f t="shared" si="43"/>
        <v>1</v>
      </c>
      <c r="D239" s="717"/>
      <c r="E239" s="21">
        <f t="shared" si="44"/>
        <v>1</v>
      </c>
      <c r="F239" s="717"/>
      <c r="G239" s="21">
        <f t="shared" si="45"/>
        <v>1</v>
      </c>
      <c r="H239" s="717"/>
      <c r="I239" s="21">
        <f t="shared" si="46"/>
        <v>1</v>
      </c>
      <c r="J239" s="717"/>
      <c r="K239" s="21">
        <f t="shared" si="47"/>
        <v>1</v>
      </c>
      <c r="L239" s="717"/>
      <c r="M239" s="21">
        <f t="shared" si="48"/>
        <v>1</v>
      </c>
      <c r="N239" s="717"/>
      <c r="O239" s="21">
        <f t="shared" si="49"/>
        <v>1</v>
      </c>
      <c r="P239" s="717"/>
      <c r="Q239" s="21">
        <f t="shared" si="50"/>
        <v>1</v>
      </c>
      <c r="R239" s="713">
        <f t="shared" si="51"/>
        <v>0</v>
      </c>
      <c r="S239" s="358">
        <f t="shared" si="52"/>
        <v>0</v>
      </c>
    </row>
    <row r="240" spans="1:19">
      <c r="A240" s="156"/>
      <c r="B240" s="56"/>
      <c r="C240" s="21">
        <f t="shared" si="43"/>
        <v>1</v>
      </c>
      <c r="D240" s="717"/>
      <c r="E240" s="21">
        <f t="shared" si="44"/>
        <v>1</v>
      </c>
      <c r="F240" s="717"/>
      <c r="G240" s="21">
        <f t="shared" si="45"/>
        <v>1</v>
      </c>
      <c r="H240" s="717"/>
      <c r="I240" s="21">
        <f t="shared" si="46"/>
        <v>1</v>
      </c>
      <c r="J240" s="717"/>
      <c r="K240" s="21">
        <f t="shared" si="47"/>
        <v>1</v>
      </c>
      <c r="L240" s="717"/>
      <c r="M240" s="21">
        <f t="shared" si="48"/>
        <v>1</v>
      </c>
      <c r="N240" s="717"/>
      <c r="O240" s="21">
        <f t="shared" si="49"/>
        <v>1</v>
      </c>
      <c r="P240" s="717"/>
      <c r="Q240" s="21">
        <f t="shared" si="50"/>
        <v>1</v>
      </c>
      <c r="R240" s="713">
        <f t="shared" si="51"/>
        <v>0</v>
      </c>
      <c r="S240" s="358">
        <f t="shared" si="52"/>
        <v>0</v>
      </c>
    </row>
    <row r="241" spans="1:19">
      <c r="A241" s="156"/>
      <c r="B241" s="56"/>
      <c r="C241" s="21">
        <f t="shared" si="43"/>
        <v>1</v>
      </c>
      <c r="D241" s="717"/>
      <c r="E241" s="21">
        <f t="shared" si="44"/>
        <v>1</v>
      </c>
      <c r="F241" s="717"/>
      <c r="G241" s="21">
        <f t="shared" si="45"/>
        <v>1</v>
      </c>
      <c r="H241" s="717"/>
      <c r="I241" s="21">
        <f t="shared" si="46"/>
        <v>1</v>
      </c>
      <c r="J241" s="717"/>
      <c r="K241" s="21">
        <f t="shared" si="47"/>
        <v>1</v>
      </c>
      <c r="L241" s="717"/>
      <c r="M241" s="21">
        <f t="shared" si="48"/>
        <v>1</v>
      </c>
      <c r="N241" s="717"/>
      <c r="O241" s="21">
        <f t="shared" si="49"/>
        <v>1</v>
      </c>
      <c r="P241" s="717"/>
      <c r="Q241" s="21">
        <f t="shared" si="50"/>
        <v>1</v>
      </c>
      <c r="R241" s="713">
        <f t="shared" si="51"/>
        <v>0</v>
      </c>
      <c r="S241" s="358">
        <f t="shared" si="52"/>
        <v>0</v>
      </c>
    </row>
    <row r="242" spans="1:19">
      <c r="A242" s="156"/>
      <c r="B242" s="56"/>
      <c r="C242" s="21">
        <f t="shared" si="43"/>
        <v>1</v>
      </c>
      <c r="D242" s="717"/>
      <c r="E242" s="21">
        <f t="shared" si="44"/>
        <v>1</v>
      </c>
      <c r="F242" s="717"/>
      <c r="G242" s="21">
        <f t="shared" si="45"/>
        <v>1</v>
      </c>
      <c r="H242" s="717"/>
      <c r="I242" s="21">
        <f t="shared" si="46"/>
        <v>1</v>
      </c>
      <c r="J242" s="717"/>
      <c r="K242" s="21">
        <f t="shared" si="47"/>
        <v>1</v>
      </c>
      <c r="L242" s="717"/>
      <c r="M242" s="21">
        <f t="shared" si="48"/>
        <v>1</v>
      </c>
      <c r="N242" s="717"/>
      <c r="O242" s="21">
        <f t="shared" si="49"/>
        <v>1</v>
      </c>
      <c r="P242" s="717"/>
      <c r="Q242" s="21">
        <f t="shared" si="50"/>
        <v>1</v>
      </c>
      <c r="R242" s="713">
        <f t="shared" si="51"/>
        <v>0</v>
      </c>
      <c r="S242" s="358">
        <f t="shared" si="52"/>
        <v>0</v>
      </c>
    </row>
    <row r="243" spans="1:19">
      <c r="A243" s="156"/>
      <c r="B243" s="56"/>
      <c r="C243" s="21">
        <f t="shared" si="43"/>
        <v>1</v>
      </c>
      <c r="D243" s="717"/>
      <c r="E243" s="21">
        <f t="shared" si="44"/>
        <v>1</v>
      </c>
      <c r="F243" s="717"/>
      <c r="G243" s="21">
        <f t="shared" si="45"/>
        <v>1</v>
      </c>
      <c r="H243" s="717"/>
      <c r="I243" s="21">
        <f t="shared" si="46"/>
        <v>1</v>
      </c>
      <c r="J243" s="717"/>
      <c r="K243" s="21">
        <f t="shared" si="47"/>
        <v>1</v>
      </c>
      <c r="L243" s="717"/>
      <c r="M243" s="21">
        <f t="shared" si="48"/>
        <v>1</v>
      </c>
      <c r="N243" s="717"/>
      <c r="O243" s="21">
        <f t="shared" si="49"/>
        <v>1</v>
      </c>
      <c r="P243" s="717"/>
      <c r="Q243" s="21">
        <f t="shared" si="50"/>
        <v>1</v>
      </c>
      <c r="R243" s="713">
        <f t="shared" si="51"/>
        <v>0</v>
      </c>
      <c r="S243" s="358">
        <f t="shared" si="52"/>
        <v>0</v>
      </c>
    </row>
    <row r="244" spans="1:19">
      <c r="A244" s="156"/>
      <c r="B244" s="56"/>
      <c r="C244" s="21">
        <f t="shared" si="43"/>
        <v>1</v>
      </c>
      <c r="D244" s="717"/>
      <c r="E244" s="21">
        <f t="shared" si="44"/>
        <v>1</v>
      </c>
      <c r="F244" s="717"/>
      <c r="G244" s="21">
        <f t="shared" si="45"/>
        <v>1</v>
      </c>
      <c r="H244" s="717"/>
      <c r="I244" s="21">
        <f t="shared" si="46"/>
        <v>1</v>
      </c>
      <c r="J244" s="717"/>
      <c r="K244" s="21">
        <f t="shared" si="47"/>
        <v>1</v>
      </c>
      <c r="L244" s="717"/>
      <c r="M244" s="21">
        <f t="shared" si="48"/>
        <v>1</v>
      </c>
      <c r="N244" s="717"/>
      <c r="O244" s="21">
        <f t="shared" si="49"/>
        <v>1</v>
      </c>
      <c r="P244" s="717"/>
      <c r="Q244" s="21">
        <f t="shared" si="50"/>
        <v>1</v>
      </c>
      <c r="R244" s="713">
        <f t="shared" si="51"/>
        <v>0</v>
      </c>
      <c r="S244" s="358">
        <f t="shared" si="52"/>
        <v>0</v>
      </c>
    </row>
    <row r="245" spans="1:19">
      <c r="A245" s="156"/>
      <c r="B245" s="56"/>
      <c r="C245" s="21">
        <f t="shared" si="43"/>
        <v>1</v>
      </c>
      <c r="D245" s="717"/>
      <c r="E245" s="21">
        <f t="shared" si="44"/>
        <v>1</v>
      </c>
      <c r="F245" s="717"/>
      <c r="G245" s="21">
        <f t="shared" si="45"/>
        <v>1</v>
      </c>
      <c r="H245" s="717"/>
      <c r="I245" s="21">
        <f t="shared" si="46"/>
        <v>1</v>
      </c>
      <c r="J245" s="717"/>
      <c r="K245" s="21">
        <f t="shared" si="47"/>
        <v>1</v>
      </c>
      <c r="L245" s="717"/>
      <c r="M245" s="21">
        <f t="shared" si="48"/>
        <v>1</v>
      </c>
      <c r="N245" s="717"/>
      <c r="O245" s="21">
        <f t="shared" si="49"/>
        <v>1</v>
      </c>
      <c r="P245" s="717"/>
      <c r="Q245" s="21">
        <f t="shared" si="50"/>
        <v>1</v>
      </c>
      <c r="R245" s="713">
        <f t="shared" si="51"/>
        <v>0</v>
      </c>
      <c r="S245" s="358">
        <f t="shared" si="52"/>
        <v>0</v>
      </c>
    </row>
    <row r="246" spans="1:19">
      <c r="A246" s="156"/>
      <c r="B246" s="56"/>
      <c r="C246" s="21">
        <f t="shared" si="43"/>
        <v>1</v>
      </c>
      <c r="D246" s="717"/>
      <c r="E246" s="21">
        <f t="shared" si="44"/>
        <v>1</v>
      </c>
      <c r="F246" s="717"/>
      <c r="G246" s="21">
        <f t="shared" si="45"/>
        <v>1</v>
      </c>
      <c r="H246" s="717"/>
      <c r="I246" s="21">
        <f t="shared" si="46"/>
        <v>1</v>
      </c>
      <c r="J246" s="717"/>
      <c r="K246" s="21">
        <f t="shared" si="47"/>
        <v>1</v>
      </c>
      <c r="L246" s="717"/>
      <c r="M246" s="21">
        <f t="shared" si="48"/>
        <v>1</v>
      </c>
      <c r="N246" s="717"/>
      <c r="O246" s="21">
        <f t="shared" si="49"/>
        <v>1</v>
      </c>
      <c r="P246" s="717"/>
      <c r="Q246" s="21">
        <f t="shared" si="50"/>
        <v>1</v>
      </c>
      <c r="R246" s="713">
        <f t="shared" si="51"/>
        <v>0</v>
      </c>
      <c r="S246" s="358">
        <f t="shared" si="52"/>
        <v>0</v>
      </c>
    </row>
    <row r="247" spans="1:19">
      <c r="A247" s="156"/>
      <c r="B247" s="56"/>
      <c r="C247" s="21">
        <f t="shared" si="43"/>
        <v>1</v>
      </c>
      <c r="D247" s="717"/>
      <c r="E247" s="21">
        <f t="shared" si="44"/>
        <v>1</v>
      </c>
      <c r="F247" s="717"/>
      <c r="G247" s="21">
        <f t="shared" si="45"/>
        <v>1</v>
      </c>
      <c r="H247" s="717"/>
      <c r="I247" s="21">
        <f t="shared" si="46"/>
        <v>1</v>
      </c>
      <c r="J247" s="717"/>
      <c r="K247" s="21">
        <f t="shared" si="47"/>
        <v>1</v>
      </c>
      <c r="L247" s="717"/>
      <c r="M247" s="21">
        <f t="shared" si="48"/>
        <v>1</v>
      </c>
      <c r="N247" s="717"/>
      <c r="O247" s="21">
        <f t="shared" si="49"/>
        <v>1</v>
      </c>
      <c r="P247" s="717"/>
      <c r="Q247" s="21">
        <f t="shared" si="50"/>
        <v>1</v>
      </c>
      <c r="R247" s="713">
        <f t="shared" si="51"/>
        <v>0</v>
      </c>
      <c r="S247" s="358">
        <f t="shared" si="52"/>
        <v>0</v>
      </c>
    </row>
    <row r="248" spans="1:19">
      <c r="A248" s="156"/>
      <c r="B248" s="56"/>
      <c r="C248" s="21">
        <f t="shared" si="43"/>
        <v>1</v>
      </c>
      <c r="D248" s="717"/>
      <c r="E248" s="21">
        <f t="shared" si="44"/>
        <v>1</v>
      </c>
      <c r="F248" s="717"/>
      <c r="G248" s="21">
        <f t="shared" si="45"/>
        <v>1</v>
      </c>
      <c r="H248" s="717"/>
      <c r="I248" s="21">
        <f t="shared" si="46"/>
        <v>1</v>
      </c>
      <c r="J248" s="717"/>
      <c r="K248" s="21">
        <f t="shared" si="47"/>
        <v>1</v>
      </c>
      <c r="L248" s="717"/>
      <c r="M248" s="21">
        <f t="shared" si="48"/>
        <v>1</v>
      </c>
      <c r="N248" s="717"/>
      <c r="O248" s="21">
        <f t="shared" si="49"/>
        <v>1</v>
      </c>
      <c r="P248" s="717"/>
      <c r="Q248" s="21">
        <f t="shared" si="50"/>
        <v>1</v>
      </c>
      <c r="R248" s="713">
        <f t="shared" si="51"/>
        <v>0</v>
      </c>
      <c r="S248" s="358">
        <f t="shared" si="52"/>
        <v>0</v>
      </c>
    </row>
    <row r="249" spans="1:19">
      <c r="A249" s="156"/>
      <c r="B249" s="56"/>
      <c r="C249" s="21">
        <f t="shared" si="43"/>
        <v>1</v>
      </c>
      <c r="D249" s="717"/>
      <c r="E249" s="21">
        <f t="shared" si="44"/>
        <v>1</v>
      </c>
      <c r="F249" s="717"/>
      <c r="G249" s="21">
        <f t="shared" si="45"/>
        <v>1</v>
      </c>
      <c r="H249" s="717"/>
      <c r="I249" s="21">
        <f t="shared" si="46"/>
        <v>1</v>
      </c>
      <c r="J249" s="717"/>
      <c r="K249" s="21">
        <f t="shared" si="47"/>
        <v>1</v>
      </c>
      <c r="L249" s="717"/>
      <c r="M249" s="21">
        <f t="shared" si="48"/>
        <v>1</v>
      </c>
      <c r="N249" s="717"/>
      <c r="O249" s="21">
        <f t="shared" si="49"/>
        <v>1</v>
      </c>
      <c r="P249" s="717"/>
      <c r="Q249" s="21">
        <f t="shared" si="50"/>
        <v>1</v>
      </c>
      <c r="R249" s="713">
        <f t="shared" si="51"/>
        <v>0</v>
      </c>
      <c r="S249" s="358">
        <f t="shared" si="52"/>
        <v>0</v>
      </c>
    </row>
    <row r="250" spans="1:19">
      <c r="A250" s="156"/>
      <c r="B250" s="56"/>
      <c r="C250" s="21">
        <f t="shared" si="43"/>
        <v>1</v>
      </c>
      <c r="D250" s="717"/>
      <c r="E250" s="21">
        <f t="shared" si="44"/>
        <v>1</v>
      </c>
      <c r="F250" s="717"/>
      <c r="G250" s="21">
        <f t="shared" si="45"/>
        <v>1</v>
      </c>
      <c r="H250" s="717"/>
      <c r="I250" s="21">
        <f t="shared" si="46"/>
        <v>1</v>
      </c>
      <c r="J250" s="717"/>
      <c r="K250" s="21">
        <f t="shared" si="47"/>
        <v>1</v>
      </c>
      <c r="L250" s="717"/>
      <c r="M250" s="21">
        <f t="shared" si="48"/>
        <v>1</v>
      </c>
      <c r="N250" s="717"/>
      <c r="O250" s="21">
        <f t="shared" si="49"/>
        <v>1</v>
      </c>
      <c r="P250" s="717"/>
      <c r="Q250" s="21">
        <f t="shared" si="50"/>
        <v>1</v>
      </c>
      <c r="R250" s="713">
        <f t="shared" si="51"/>
        <v>0</v>
      </c>
      <c r="S250" s="358">
        <f t="shared" si="52"/>
        <v>0</v>
      </c>
    </row>
    <row r="251" spans="1:19">
      <c r="A251" s="156"/>
      <c r="B251" s="56"/>
      <c r="C251" s="21">
        <f t="shared" si="43"/>
        <v>1</v>
      </c>
      <c r="D251" s="717"/>
      <c r="E251" s="21">
        <f t="shared" si="44"/>
        <v>1</v>
      </c>
      <c r="F251" s="717"/>
      <c r="G251" s="21">
        <f t="shared" si="45"/>
        <v>1</v>
      </c>
      <c r="H251" s="717"/>
      <c r="I251" s="21">
        <f t="shared" si="46"/>
        <v>1</v>
      </c>
      <c r="J251" s="717"/>
      <c r="K251" s="21">
        <f t="shared" si="47"/>
        <v>1</v>
      </c>
      <c r="L251" s="717"/>
      <c r="M251" s="21">
        <f t="shared" si="48"/>
        <v>1</v>
      </c>
      <c r="N251" s="717"/>
      <c r="O251" s="21">
        <f t="shared" si="49"/>
        <v>1</v>
      </c>
      <c r="P251" s="717"/>
      <c r="Q251" s="21">
        <f t="shared" si="50"/>
        <v>1</v>
      </c>
      <c r="R251" s="713">
        <f t="shared" si="51"/>
        <v>0</v>
      </c>
      <c r="S251" s="358">
        <f t="shared" si="52"/>
        <v>0</v>
      </c>
    </row>
    <row r="252" spans="1:19">
      <c r="A252" s="156"/>
      <c r="B252" s="56"/>
      <c r="C252" s="21">
        <f t="shared" si="43"/>
        <v>1</v>
      </c>
      <c r="D252" s="717"/>
      <c r="E252" s="21">
        <f t="shared" si="44"/>
        <v>1</v>
      </c>
      <c r="F252" s="717"/>
      <c r="G252" s="21">
        <f t="shared" si="45"/>
        <v>1</v>
      </c>
      <c r="H252" s="717"/>
      <c r="I252" s="21">
        <f t="shared" si="46"/>
        <v>1</v>
      </c>
      <c r="J252" s="717"/>
      <c r="K252" s="21">
        <f t="shared" si="47"/>
        <v>1</v>
      </c>
      <c r="L252" s="717"/>
      <c r="M252" s="21">
        <f t="shared" si="48"/>
        <v>1</v>
      </c>
      <c r="N252" s="717"/>
      <c r="O252" s="21">
        <f t="shared" si="49"/>
        <v>1</v>
      </c>
      <c r="P252" s="717"/>
      <c r="Q252" s="21">
        <f t="shared" si="50"/>
        <v>1</v>
      </c>
      <c r="R252" s="713">
        <f t="shared" si="51"/>
        <v>0</v>
      </c>
      <c r="S252" s="358">
        <f t="shared" si="52"/>
        <v>0</v>
      </c>
    </row>
    <row r="253" spans="1:19">
      <c r="A253" s="156"/>
      <c r="B253" s="56"/>
      <c r="C253" s="21">
        <f t="shared" si="43"/>
        <v>1</v>
      </c>
      <c r="D253" s="717"/>
      <c r="E253" s="21">
        <f t="shared" si="44"/>
        <v>1</v>
      </c>
      <c r="F253" s="717"/>
      <c r="G253" s="21">
        <f t="shared" si="45"/>
        <v>1</v>
      </c>
      <c r="H253" s="717"/>
      <c r="I253" s="21">
        <f t="shared" si="46"/>
        <v>1</v>
      </c>
      <c r="J253" s="717"/>
      <c r="K253" s="21">
        <f t="shared" si="47"/>
        <v>1</v>
      </c>
      <c r="L253" s="717"/>
      <c r="M253" s="21">
        <f t="shared" si="48"/>
        <v>1</v>
      </c>
      <c r="N253" s="717"/>
      <c r="O253" s="21">
        <f t="shared" si="49"/>
        <v>1</v>
      </c>
      <c r="P253" s="717"/>
      <c r="Q253" s="21">
        <f t="shared" si="50"/>
        <v>1</v>
      </c>
      <c r="R253" s="713">
        <f t="shared" si="51"/>
        <v>0</v>
      </c>
      <c r="S253" s="358">
        <f t="shared" si="52"/>
        <v>0</v>
      </c>
    </row>
    <row r="254" spans="1:19">
      <c r="A254" s="156"/>
      <c r="B254" s="56"/>
      <c r="C254" s="21">
        <f t="shared" si="43"/>
        <v>1</v>
      </c>
      <c r="D254" s="717"/>
      <c r="E254" s="21">
        <f t="shared" si="44"/>
        <v>1</v>
      </c>
      <c r="F254" s="717"/>
      <c r="G254" s="21">
        <f t="shared" si="45"/>
        <v>1</v>
      </c>
      <c r="H254" s="717"/>
      <c r="I254" s="21">
        <f t="shared" si="46"/>
        <v>1</v>
      </c>
      <c r="J254" s="717"/>
      <c r="K254" s="21">
        <f t="shared" si="47"/>
        <v>1</v>
      </c>
      <c r="L254" s="717"/>
      <c r="M254" s="21">
        <f t="shared" si="48"/>
        <v>1</v>
      </c>
      <c r="N254" s="717"/>
      <c r="O254" s="21">
        <f t="shared" si="49"/>
        <v>1</v>
      </c>
      <c r="P254" s="717"/>
      <c r="Q254" s="21">
        <f t="shared" si="50"/>
        <v>1</v>
      </c>
      <c r="R254" s="713">
        <f t="shared" si="51"/>
        <v>0</v>
      </c>
      <c r="S254" s="358">
        <f t="shared" si="52"/>
        <v>0</v>
      </c>
    </row>
    <row r="255" spans="1:19">
      <c r="A255" s="156"/>
      <c r="B255" s="56"/>
      <c r="C255" s="21">
        <f t="shared" si="43"/>
        <v>1</v>
      </c>
      <c r="D255" s="717"/>
      <c r="E255" s="21">
        <f t="shared" si="44"/>
        <v>1</v>
      </c>
      <c r="F255" s="717"/>
      <c r="G255" s="21">
        <f t="shared" si="45"/>
        <v>1</v>
      </c>
      <c r="H255" s="717"/>
      <c r="I255" s="21">
        <f t="shared" si="46"/>
        <v>1</v>
      </c>
      <c r="J255" s="717"/>
      <c r="K255" s="21">
        <f t="shared" si="47"/>
        <v>1</v>
      </c>
      <c r="L255" s="717"/>
      <c r="M255" s="21">
        <f t="shared" si="48"/>
        <v>1</v>
      </c>
      <c r="N255" s="717"/>
      <c r="O255" s="21">
        <f t="shared" si="49"/>
        <v>1</v>
      </c>
      <c r="P255" s="717"/>
      <c r="Q255" s="21">
        <f t="shared" si="50"/>
        <v>1</v>
      </c>
      <c r="R255" s="713">
        <f t="shared" si="51"/>
        <v>0</v>
      </c>
      <c r="S255" s="358">
        <f t="shared" si="52"/>
        <v>0</v>
      </c>
    </row>
    <row r="256" spans="1:19">
      <c r="A256" s="156"/>
      <c r="B256" s="56"/>
      <c r="C256" s="21">
        <f t="shared" si="43"/>
        <v>1</v>
      </c>
      <c r="D256" s="717"/>
      <c r="E256" s="21">
        <f t="shared" si="44"/>
        <v>1</v>
      </c>
      <c r="F256" s="717"/>
      <c r="G256" s="21">
        <f t="shared" si="45"/>
        <v>1</v>
      </c>
      <c r="H256" s="717"/>
      <c r="I256" s="21">
        <f t="shared" si="46"/>
        <v>1</v>
      </c>
      <c r="J256" s="717"/>
      <c r="K256" s="21">
        <f t="shared" si="47"/>
        <v>1</v>
      </c>
      <c r="L256" s="717"/>
      <c r="M256" s="21">
        <f t="shared" si="48"/>
        <v>1</v>
      </c>
      <c r="N256" s="717"/>
      <c r="O256" s="21">
        <f t="shared" si="49"/>
        <v>1</v>
      </c>
      <c r="P256" s="717"/>
      <c r="Q256" s="21">
        <f t="shared" si="50"/>
        <v>1</v>
      </c>
      <c r="R256" s="713">
        <f t="shared" si="51"/>
        <v>0</v>
      </c>
      <c r="S256" s="358">
        <f t="shared" si="52"/>
        <v>0</v>
      </c>
    </row>
    <row r="257" spans="1:19">
      <c r="A257" s="156"/>
      <c r="B257" s="56"/>
      <c r="C257" s="21">
        <f t="shared" si="43"/>
        <v>1</v>
      </c>
      <c r="D257" s="717"/>
      <c r="E257" s="21">
        <f t="shared" si="44"/>
        <v>1</v>
      </c>
      <c r="F257" s="717"/>
      <c r="G257" s="21">
        <f t="shared" si="45"/>
        <v>1</v>
      </c>
      <c r="H257" s="717"/>
      <c r="I257" s="21">
        <f t="shared" si="46"/>
        <v>1</v>
      </c>
      <c r="J257" s="717"/>
      <c r="K257" s="21">
        <f t="shared" si="47"/>
        <v>1</v>
      </c>
      <c r="L257" s="717"/>
      <c r="M257" s="21">
        <f t="shared" si="48"/>
        <v>1</v>
      </c>
      <c r="N257" s="717"/>
      <c r="O257" s="21">
        <f t="shared" si="49"/>
        <v>1</v>
      </c>
      <c r="P257" s="717"/>
      <c r="Q257" s="21">
        <f t="shared" si="50"/>
        <v>1</v>
      </c>
      <c r="R257" s="713">
        <f t="shared" si="51"/>
        <v>0</v>
      </c>
      <c r="S257" s="358">
        <f t="shared" si="52"/>
        <v>0</v>
      </c>
    </row>
    <row r="258" spans="1:19">
      <c r="A258" s="156"/>
      <c r="B258" s="56"/>
      <c r="C258" s="21">
        <f t="shared" si="43"/>
        <v>1</v>
      </c>
      <c r="D258" s="717"/>
      <c r="E258" s="21">
        <f t="shared" si="44"/>
        <v>1</v>
      </c>
      <c r="F258" s="717"/>
      <c r="G258" s="21">
        <f t="shared" si="45"/>
        <v>1</v>
      </c>
      <c r="H258" s="717"/>
      <c r="I258" s="21">
        <f t="shared" si="46"/>
        <v>1</v>
      </c>
      <c r="J258" s="717"/>
      <c r="K258" s="21">
        <f t="shared" si="47"/>
        <v>1</v>
      </c>
      <c r="L258" s="717"/>
      <c r="M258" s="21">
        <f t="shared" si="48"/>
        <v>1</v>
      </c>
      <c r="N258" s="717"/>
      <c r="O258" s="21">
        <f t="shared" si="49"/>
        <v>1</v>
      </c>
      <c r="P258" s="717"/>
      <c r="Q258" s="21">
        <f t="shared" si="50"/>
        <v>1</v>
      </c>
      <c r="R258" s="713">
        <f t="shared" si="51"/>
        <v>0</v>
      </c>
      <c r="S258" s="358">
        <f t="shared" si="52"/>
        <v>0</v>
      </c>
    </row>
    <row r="259" spans="1:19">
      <c r="A259" s="156"/>
      <c r="B259" s="56"/>
      <c r="C259" s="21">
        <f t="shared" si="43"/>
        <v>1</v>
      </c>
      <c r="D259" s="717"/>
      <c r="E259" s="21">
        <f t="shared" si="44"/>
        <v>1</v>
      </c>
      <c r="F259" s="717"/>
      <c r="G259" s="21">
        <f t="shared" si="45"/>
        <v>1</v>
      </c>
      <c r="H259" s="717"/>
      <c r="I259" s="21">
        <f t="shared" si="46"/>
        <v>1</v>
      </c>
      <c r="J259" s="717"/>
      <c r="K259" s="21">
        <f t="shared" si="47"/>
        <v>1</v>
      </c>
      <c r="L259" s="717"/>
      <c r="M259" s="21">
        <f t="shared" si="48"/>
        <v>1</v>
      </c>
      <c r="N259" s="717"/>
      <c r="O259" s="21">
        <f t="shared" si="49"/>
        <v>1</v>
      </c>
      <c r="P259" s="717"/>
      <c r="Q259" s="21">
        <f t="shared" si="50"/>
        <v>1</v>
      </c>
      <c r="R259" s="713">
        <f t="shared" si="51"/>
        <v>0</v>
      </c>
      <c r="S259" s="358">
        <f t="shared" si="52"/>
        <v>0</v>
      </c>
    </row>
    <row r="260" spans="1:19">
      <c r="A260" s="156"/>
      <c r="B260" s="56"/>
      <c r="C260" s="21">
        <f t="shared" si="43"/>
        <v>1</v>
      </c>
      <c r="D260" s="717"/>
      <c r="E260" s="21">
        <f t="shared" si="44"/>
        <v>1</v>
      </c>
      <c r="F260" s="717"/>
      <c r="G260" s="21">
        <f t="shared" si="45"/>
        <v>1</v>
      </c>
      <c r="H260" s="717"/>
      <c r="I260" s="21">
        <f t="shared" si="46"/>
        <v>1</v>
      </c>
      <c r="J260" s="717"/>
      <c r="K260" s="21">
        <f t="shared" si="47"/>
        <v>1</v>
      </c>
      <c r="L260" s="717"/>
      <c r="M260" s="21">
        <f t="shared" si="48"/>
        <v>1</v>
      </c>
      <c r="N260" s="717"/>
      <c r="O260" s="21">
        <f t="shared" si="49"/>
        <v>1</v>
      </c>
      <c r="P260" s="717"/>
      <c r="Q260" s="21">
        <f t="shared" si="50"/>
        <v>1</v>
      </c>
      <c r="R260" s="713">
        <f t="shared" si="51"/>
        <v>0</v>
      </c>
      <c r="S260" s="358">
        <f t="shared" si="52"/>
        <v>0</v>
      </c>
    </row>
    <row r="261" spans="1:19">
      <c r="A261" s="156"/>
      <c r="B261" s="56"/>
      <c r="C261" s="21">
        <f t="shared" si="43"/>
        <v>1</v>
      </c>
      <c r="D261" s="717"/>
      <c r="E261" s="21">
        <f t="shared" si="44"/>
        <v>1</v>
      </c>
      <c r="F261" s="717"/>
      <c r="G261" s="21">
        <f t="shared" si="45"/>
        <v>1</v>
      </c>
      <c r="H261" s="717"/>
      <c r="I261" s="21">
        <f t="shared" si="46"/>
        <v>1</v>
      </c>
      <c r="J261" s="717"/>
      <c r="K261" s="21">
        <f t="shared" si="47"/>
        <v>1</v>
      </c>
      <c r="L261" s="717"/>
      <c r="M261" s="21">
        <f t="shared" si="48"/>
        <v>1</v>
      </c>
      <c r="N261" s="717"/>
      <c r="O261" s="21">
        <f t="shared" si="49"/>
        <v>1</v>
      </c>
      <c r="P261" s="717"/>
      <c r="Q261" s="21">
        <f t="shared" si="50"/>
        <v>1</v>
      </c>
      <c r="R261" s="713">
        <f t="shared" si="51"/>
        <v>0</v>
      </c>
      <c r="S261" s="358">
        <f t="shared" si="52"/>
        <v>0</v>
      </c>
    </row>
    <row r="262" spans="1:19">
      <c r="A262" s="156"/>
      <c r="B262" s="56"/>
      <c r="C262" s="21">
        <f t="shared" si="43"/>
        <v>1</v>
      </c>
      <c r="D262" s="717"/>
      <c r="E262" s="21">
        <f t="shared" si="44"/>
        <v>1</v>
      </c>
      <c r="F262" s="717"/>
      <c r="G262" s="21">
        <f t="shared" si="45"/>
        <v>1</v>
      </c>
      <c r="H262" s="717"/>
      <c r="I262" s="21">
        <f t="shared" si="46"/>
        <v>1</v>
      </c>
      <c r="J262" s="717"/>
      <c r="K262" s="21">
        <f t="shared" si="47"/>
        <v>1</v>
      </c>
      <c r="L262" s="717"/>
      <c r="M262" s="21">
        <f t="shared" si="48"/>
        <v>1</v>
      </c>
      <c r="N262" s="717"/>
      <c r="O262" s="21">
        <f t="shared" si="49"/>
        <v>1</v>
      </c>
      <c r="P262" s="717"/>
      <c r="Q262" s="21">
        <f t="shared" si="50"/>
        <v>1</v>
      </c>
      <c r="R262" s="713">
        <f t="shared" si="51"/>
        <v>0</v>
      </c>
      <c r="S262" s="358">
        <f t="shared" si="52"/>
        <v>0</v>
      </c>
    </row>
    <row r="263" spans="1:19">
      <c r="A263" s="156"/>
      <c r="B263" s="56"/>
      <c r="C263" s="21">
        <f t="shared" si="43"/>
        <v>1</v>
      </c>
      <c r="D263" s="717"/>
      <c r="E263" s="21">
        <f t="shared" si="44"/>
        <v>1</v>
      </c>
      <c r="F263" s="717"/>
      <c r="G263" s="21">
        <f t="shared" si="45"/>
        <v>1</v>
      </c>
      <c r="H263" s="717"/>
      <c r="I263" s="21">
        <f t="shared" si="46"/>
        <v>1</v>
      </c>
      <c r="J263" s="717"/>
      <c r="K263" s="21">
        <f t="shared" si="47"/>
        <v>1</v>
      </c>
      <c r="L263" s="717"/>
      <c r="M263" s="21">
        <f t="shared" si="48"/>
        <v>1</v>
      </c>
      <c r="N263" s="717"/>
      <c r="O263" s="21">
        <f t="shared" si="49"/>
        <v>1</v>
      </c>
      <c r="P263" s="717"/>
      <c r="Q263" s="21">
        <f t="shared" si="50"/>
        <v>1</v>
      </c>
      <c r="R263" s="713">
        <f t="shared" si="51"/>
        <v>0</v>
      </c>
      <c r="S263" s="358">
        <f t="shared" si="52"/>
        <v>0</v>
      </c>
    </row>
    <row r="264" spans="1:19">
      <c r="A264" s="156"/>
      <c r="B264" s="56"/>
      <c r="C264" s="21">
        <f t="shared" si="43"/>
        <v>1</v>
      </c>
      <c r="D264" s="717"/>
      <c r="E264" s="21">
        <f t="shared" si="44"/>
        <v>1</v>
      </c>
      <c r="F264" s="717"/>
      <c r="G264" s="21">
        <f t="shared" si="45"/>
        <v>1</v>
      </c>
      <c r="H264" s="717"/>
      <c r="I264" s="21">
        <f t="shared" si="46"/>
        <v>1</v>
      </c>
      <c r="J264" s="717"/>
      <c r="K264" s="21">
        <f t="shared" si="47"/>
        <v>1</v>
      </c>
      <c r="L264" s="717"/>
      <c r="M264" s="21">
        <f t="shared" si="48"/>
        <v>1</v>
      </c>
      <c r="N264" s="717"/>
      <c r="O264" s="21">
        <f t="shared" si="49"/>
        <v>1</v>
      </c>
      <c r="P264" s="717"/>
      <c r="Q264" s="21">
        <f t="shared" si="50"/>
        <v>1</v>
      </c>
      <c r="R264" s="713">
        <f t="shared" si="51"/>
        <v>0</v>
      </c>
      <c r="S264" s="358">
        <f t="shared" si="52"/>
        <v>0</v>
      </c>
    </row>
    <row r="265" spans="1:19">
      <c r="A265" s="156"/>
      <c r="B265" s="56"/>
      <c r="C265" s="21">
        <f t="shared" si="43"/>
        <v>1</v>
      </c>
      <c r="D265" s="717"/>
      <c r="E265" s="21">
        <f t="shared" si="44"/>
        <v>1</v>
      </c>
      <c r="F265" s="717"/>
      <c r="G265" s="21">
        <f t="shared" si="45"/>
        <v>1</v>
      </c>
      <c r="H265" s="717"/>
      <c r="I265" s="21">
        <f t="shared" si="46"/>
        <v>1</v>
      </c>
      <c r="J265" s="717"/>
      <c r="K265" s="21">
        <f t="shared" si="47"/>
        <v>1</v>
      </c>
      <c r="L265" s="717"/>
      <c r="M265" s="21">
        <f t="shared" si="48"/>
        <v>1</v>
      </c>
      <c r="N265" s="717"/>
      <c r="O265" s="21">
        <f t="shared" si="49"/>
        <v>1</v>
      </c>
      <c r="P265" s="717"/>
      <c r="Q265" s="21">
        <f t="shared" si="50"/>
        <v>1</v>
      </c>
      <c r="R265" s="713">
        <f t="shared" si="51"/>
        <v>0</v>
      </c>
      <c r="S265" s="358">
        <f t="shared" si="52"/>
        <v>0</v>
      </c>
    </row>
    <row r="266" spans="1:19">
      <c r="A266" s="156"/>
      <c r="B266" s="56"/>
      <c r="C266" s="21">
        <f t="shared" si="43"/>
        <v>1</v>
      </c>
      <c r="D266" s="717"/>
      <c r="E266" s="21">
        <f t="shared" si="44"/>
        <v>1</v>
      </c>
      <c r="F266" s="717"/>
      <c r="G266" s="21">
        <f t="shared" si="45"/>
        <v>1</v>
      </c>
      <c r="H266" s="717"/>
      <c r="I266" s="21">
        <f t="shared" si="46"/>
        <v>1</v>
      </c>
      <c r="J266" s="717"/>
      <c r="K266" s="21">
        <f t="shared" si="47"/>
        <v>1</v>
      </c>
      <c r="L266" s="717"/>
      <c r="M266" s="21">
        <f t="shared" si="48"/>
        <v>1</v>
      </c>
      <c r="N266" s="717"/>
      <c r="O266" s="21">
        <f t="shared" si="49"/>
        <v>1</v>
      </c>
      <c r="P266" s="717"/>
      <c r="Q266" s="21">
        <f t="shared" si="50"/>
        <v>1</v>
      </c>
      <c r="R266" s="713">
        <f t="shared" si="51"/>
        <v>0</v>
      </c>
      <c r="S266" s="358">
        <f t="shared" si="52"/>
        <v>0</v>
      </c>
    </row>
    <row r="267" spans="1:19">
      <c r="A267" s="156"/>
      <c r="B267" s="56"/>
      <c r="C267" s="21">
        <f t="shared" si="43"/>
        <v>1</v>
      </c>
      <c r="D267" s="717"/>
      <c r="E267" s="21">
        <f t="shared" si="44"/>
        <v>1</v>
      </c>
      <c r="F267" s="717"/>
      <c r="G267" s="21">
        <f t="shared" si="45"/>
        <v>1</v>
      </c>
      <c r="H267" s="717"/>
      <c r="I267" s="21">
        <f t="shared" si="46"/>
        <v>1</v>
      </c>
      <c r="J267" s="717"/>
      <c r="K267" s="21">
        <f t="shared" si="47"/>
        <v>1</v>
      </c>
      <c r="L267" s="717"/>
      <c r="M267" s="21">
        <f t="shared" si="48"/>
        <v>1</v>
      </c>
      <c r="N267" s="717"/>
      <c r="O267" s="21">
        <f t="shared" si="49"/>
        <v>1</v>
      </c>
      <c r="P267" s="717"/>
      <c r="Q267" s="21">
        <f t="shared" si="50"/>
        <v>1</v>
      </c>
      <c r="R267" s="713">
        <f t="shared" si="51"/>
        <v>0</v>
      </c>
      <c r="S267" s="358">
        <f t="shared" si="52"/>
        <v>0</v>
      </c>
    </row>
    <row r="268" spans="1:19">
      <c r="A268" s="156"/>
      <c r="B268" s="56"/>
      <c r="C268" s="21">
        <f t="shared" si="43"/>
        <v>1</v>
      </c>
      <c r="D268" s="717"/>
      <c r="E268" s="21">
        <f t="shared" si="44"/>
        <v>1</v>
      </c>
      <c r="F268" s="717"/>
      <c r="G268" s="21">
        <f t="shared" si="45"/>
        <v>1</v>
      </c>
      <c r="H268" s="717"/>
      <c r="I268" s="21">
        <f t="shared" si="46"/>
        <v>1</v>
      </c>
      <c r="J268" s="717"/>
      <c r="K268" s="21">
        <f t="shared" si="47"/>
        <v>1</v>
      </c>
      <c r="L268" s="717"/>
      <c r="M268" s="21">
        <f t="shared" si="48"/>
        <v>1</v>
      </c>
      <c r="N268" s="717"/>
      <c r="O268" s="21">
        <f t="shared" si="49"/>
        <v>1</v>
      </c>
      <c r="P268" s="717"/>
      <c r="Q268" s="21">
        <f t="shared" si="50"/>
        <v>1</v>
      </c>
      <c r="R268" s="713">
        <f t="shared" si="51"/>
        <v>0</v>
      </c>
      <c r="S268" s="358">
        <f t="shared" si="52"/>
        <v>0</v>
      </c>
    </row>
    <row r="269" spans="1:19">
      <c r="A269" s="156"/>
      <c r="B269" s="56"/>
      <c r="C269" s="21">
        <f t="shared" si="43"/>
        <v>1</v>
      </c>
      <c r="D269" s="717"/>
      <c r="E269" s="21">
        <f t="shared" si="44"/>
        <v>1</v>
      </c>
      <c r="F269" s="717"/>
      <c r="G269" s="21">
        <f t="shared" si="45"/>
        <v>1</v>
      </c>
      <c r="H269" s="717"/>
      <c r="I269" s="21">
        <f t="shared" si="46"/>
        <v>1</v>
      </c>
      <c r="J269" s="717"/>
      <c r="K269" s="21">
        <f t="shared" si="47"/>
        <v>1</v>
      </c>
      <c r="L269" s="717"/>
      <c r="M269" s="21">
        <f t="shared" si="48"/>
        <v>1</v>
      </c>
      <c r="N269" s="717"/>
      <c r="O269" s="21">
        <f t="shared" si="49"/>
        <v>1</v>
      </c>
      <c r="P269" s="717"/>
      <c r="Q269" s="21">
        <f t="shared" si="50"/>
        <v>1</v>
      </c>
      <c r="R269" s="713">
        <f t="shared" si="51"/>
        <v>0</v>
      </c>
      <c r="S269" s="358">
        <f t="shared" si="52"/>
        <v>0</v>
      </c>
    </row>
    <row r="270" spans="1:19">
      <c r="A270" s="156"/>
      <c r="B270" s="56"/>
      <c r="C270" s="21">
        <f t="shared" si="43"/>
        <v>1</v>
      </c>
      <c r="D270" s="717"/>
      <c r="E270" s="21">
        <f t="shared" si="44"/>
        <v>1</v>
      </c>
      <c r="F270" s="717"/>
      <c r="G270" s="21">
        <f t="shared" si="45"/>
        <v>1</v>
      </c>
      <c r="H270" s="717"/>
      <c r="I270" s="21">
        <f t="shared" si="46"/>
        <v>1</v>
      </c>
      <c r="J270" s="717"/>
      <c r="K270" s="21">
        <f t="shared" si="47"/>
        <v>1</v>
      </c>
      <c r="L270" s="717"/>
      <c r="M270" s="21">
        <f t="shared" si="48"/>
        <v>1</v>
      </c>
      <c r="N270" s="717"/>
      <c r="O270" s="21">
        <f t="shared" si="49"/>
        <v>1</v>
      </c>
      <c r="P270" s="717"/>
      <c r="Q270" s="21">
        <f t="shared" si="50"/>
        <v>1</v>
      </c>
      <c r="R270" s="713">
        <f t="shared" si="51"/>
        <v>0</v>
      </c>
      <c r="S270" s="358">
        <f t="shared" si="52"/>
        <v>0</v>
      </c>
    </row>
    <row r="271" spans="1:19">
      <c r="A271" s="156"/>
      <c r="B271" s="56"/>
      <c r="C271" s="21">
        <f t="shared" si="43"/>
        <v>1</v>
      </c>
      <c r="D271" s="717"/>
      <c r="E271" s="21">
        <f t="shared" si="44"/>
        <v>1</v>
      </c>
      <c r="F271" s="717"/>
      <c r="G271" s="21">
        <f t="shared" si="45"/>
        <v>1</v>
      </c>
      <c r="H271" s="717"/>
      <c r="I271" s="21">
        <f t="shared" si="46"/>
        <v>1</v>
      </c>
      <c r="J271" s="717"/>
      <c r="K271" s="21">
        <f t="shared" si="47"/>
        <v>1</v>
      </c>
      <c r="L271" s="717"/>
      <c r="M271" s="21">
        <f t="shared" si="48"/>
        <v>1</v>
      </c>
      <c r="N271" s="717"/>
      <c r="O271" s="21">
        <f t="shared" si="49"/>
        <v>1</v>
      </c>
      <c r="P271" s="717"/>
      <c r="Q271" s="21">
        <f t="shared" si="50"/>
        <v>1</v>
      </c>
      <c r="R271" s="713">
        <f t="shared" si="51"/>
        <v>0</v>
      </c>
      <c r="S271" s="358">
        <f t="shared" si="52"/>
        <v>0</v>
      </c>
    </row>
    <row r="272" spans="1:19">
      <c r="A272" s="156"/>
      <c r="B272" s="56"/>
      <c r="C272" s="21">
        <f t="shared" si="43"/>
        <v>1</v>
      </c>
      <c r="D272" s="717"/>
      <c r="E272" s="21">
        <f t="shared" si="44"/>
        <v>1</v>
      </c>
      <c r="F272" s="717"/>
      <c r="G272" s="21">
        <f t="shared" si="45"/>
        <v>1</v>
      </c>
      <c r="H272" s="717"/>
      <c r="I272" s="21">
        <f t="shared" si="46"/>
        <v>1</v>
      </c>
      <c r="J272" s="717"/>
      <c r="K272" s="21">
        <f t="shared" si="47"/>
        <v>1</v>
      </c>
      <c r="L272" s="717"/>
      <c r="M272" s="21">
        <f t="shared" si="48"/>
        <v>1</v>
      </c>
      <c r="N272" s="717"/>
      <c r="O272" s="21">
        <f t="shared" si="49"/>
        <v>1</v>
      </c>
      <c r="P272" s="717"/>
      <c r="Q272" s="21">
        <f t="shared" si="50"/>
        <v>1</v>
      </c>
      <c r="R272" s="713">
        <f t="shared" si="51"/>
        <v>0</v>
      </c>
      <c r="S272" s="358">
        <f t="shared" si="52"/>
        <v>0</v>
      </c>
    </row>
    <row r="273" spans="1:19">
      <c r="A273" s="156"/>
      <c r="B273" s="56"/>
      <c r="C273" s="21">
        <f t="shared" si="43"/>
        <v>1</v>
      </c>
      <c r="D273" s="717"/>
      <c r="E273" s="21">
        <f t="shared" si="44"/>
        <v>1</v>
      </c>
      <c r="F273" s="717"/>
      <c r="G273" s="21">
        <f t="shared" si="45"/>
        <v>1</v>
      </c>
      <c r="H273" s="717"/>
      <c r="I273" s="21">
        <f t="shared" si="46"/>
        <v>1</v>
      </c>
      <c r="J273" s="717"/>
      <c r="K273" s="21">
        <f t="shared" si="47"/>
        <v>1</v>
      </c>
      <c r="L273" s="717"/>
      <c r="M273" s="21">
        <f t="shared" si="48"/>
        <v>1</v>
      </c>
      <c r="N273" s="717"/>
      <c r="O273" s="21">
        <f t="shared" si="49"/>
        <v>1</v>
      </c>
      <c r="P273" s="717"/>
      <c r="Q273" s="21">
        <f t="shared" si="50"/>
        <v>1</v>
      </c>
      <c r="R273" s="713">
        <f t="shared" si="51"/>
        <v>0</v>
      </c>
      <c r="S273" s="358">
        <f t="shared" si="52"/>
        <v>0</v>
      </c>
    </row>
    <row r="274" spans="1:19">
      <c r="A274" s="156"/>
      <c r="B274" s="56"/>
      <c r="C274" s="21">
        <f t="shared" si="43"/>
        <v>1</v>
      </c>
      <c r="D274" s="717"/>
      <c r="E274" s="21">
        <f t="shared" si="44"/>
        <v>1</v>
      </c>
      <c r="F274" s="717"/>
      <c r="G274" s="21">
        <f t="shared" si="45"/>
        <v>1</v>
      </c>
      <c r="H274" s="717"/>
      <c r="I274" s="21">
        <f t="shared" si="46"/>
        <v>1</v>
      </c>
      <c r="J274" s="717"/>
      <c r="K274" s="21">
        <f t="shared" si="47"/>
        <v>1</v>
      </c>
      <c r="L274" s="717"/>
      <c r="M274" s="21">
        <f t="shared" si="48"/>
        <v>1</v>
      </c>
      <c r="N274" s="717"/>
      <c r="O274" s="21">
        <f t="shared" si="49"/>
        <v>1</v>
      </c>
      <c r="P274" s="717"/>
      <c r="Q274" s="21">
        <f t="shared" si="50"/>
        <v>1</v>
      </c>
      <c r="R274" s="713">
        <f t="shared" si="51"/>
        <v>0</v>
      </c>
      <c r="S274" s="358">
        <f t="shared" si="52"/>
        <v>0</v>
      </c>
    </row>
    <row r="275" spans="1:19">
      <c r="A275" s="156"/>
      <c r="B275" s="56"/>
      <c r="C275" s="21">
        <f t="shared" si="43"/>
        <v>1</v>
      </c>
      <c r="D275" s="717"/>
      <c r="E275" s="21">
        <f t="shared" si="44"/>
        <v>1</v>
      </c>
      <c r="F275" s="717"/>
      <c r="G275" s="21">
        <f t="shared" si="45"/>
        <v>1</v>
      </c>
      <c r="H275" s="717"/>
      <c r="I275" s="21">
        <f t="shared" si="46"/>
        <v>1</v>
      </c>
      <c r="J275" s="717"/>
      <c r="K275" s="21">
        <f t="shared" si="47"/>
        <v>1</v>
      </c>
      <c r="L275" s="717"/>
      <c r="M275" s="21">
        <f t="shared" si="48"/>
        <v>1</v>
      </c>
      <c r="N275" s="717"/>
      <c r="O275" s="21">
        <f t="shared" si="49"/>
        <v>1</v>
      </c>
      <c r="P275" s="717"/>
      <c r="Q275" s="21">
        <f t="shared" si="50"/>
        <v>1</v>
      </c>
      <c r="R275" s="713">
        <f t="shared" si="51"/>
        <v>0</v>
      </c>
      <c r="S275" s="358">
        <f t="shared" si="52"/>
        <v>0</v>
      </c>
    </row>
    <row r="276" spans="1:19">
      <c r="A276" s="156"/>
      <c r="B276" s="56"/>
      <c r="C276" s="21">
        <f t="shared" si="43"/>
        <v>1</v>
      </c>
      <c r="D276" s="717"/>
      <c r="E276" s="21">
        <f t="shared" si="44"/>
        <v>1</v>
      </c>
      <c r="F276" s="717"/>
      <c r="G276" s="21">
        <f t="shared" si="45"/>
        <v>1</v>
      </c>
      <c r="H276" s="717"/>
      <c r="I276" s="21">
        <f t="shared" si="46"/>
        <v>1</v>
      </c>
      <c r="J276" s="717"/>
      <c r="K276" s="21">
        <f t="shared" si="47"/>
        <v>1</v>
      </c>
      <c r="L276" s="717"/>
      <c r="M276" s="21">
        <f t="shared" si="48"/>
        <v>1</v>
      </c>
      <c r="N276" s="717"/>
      <c r="O276" s="21">
        <f t="shared" si="49"/>
        <v>1</v>
      </c>
      <c r="P276" s="717"/>
      <c r="Q276" s="21">
        <f t="shared" si="50"/>
        <v>1</v>
      </c>
      <c r="R276" s="713">
        <f t="shared" si="51"/>
        <v>0</v>
      </c>
      <c r="S276" s="358">
        <f t="shared" si="52"/>
        <v>0</v>
      </c>
    </row>
    <row r="277" spans="1:19">
      <c r="A277" s="156"/>
      <c r="B277" s="56"/>
      <c r="C277" s="21">
        <f t="shared" si="43"/>
        <v>1</v>
      </c>
      <c r="D277" s="717"/>
      <c r="E277" s="21">
        <f t="shared" si="44"/>
        <v>1</v>
      </c>
      <c r="F277" s="717"/>
      <c r="G277" s="21">
        <f t="shared" si="45"/>
        <v>1</v>
      </c>
      <c r="H277" s="717"/>
      <c r="I277" s="21">
        <f t="shared" si="46"/>
        <v>1</v>
      </c>
      <c r="J277" s="717"/>
      <c r="K277" s="21">
        <f t="shared" si="47"/>
        <v>1</v>
      </c>
      <c r="L277" s="717"/>
      <c r="M277" s="21">
        <f t="shared" si="48"/>
        <v>1</v>
      </c>
      <c r="N277" s="717"/>
      <c r="O277" s="21">
        <f t="shared" si="49"/>
        <v>1</v>
      </c>
      <c r="P277" s="717"/>
      <c r="Q277" s="21">
        <f t="shared" si="50"/>
        <v>1</v>
      </c>
      <c r="R277" s="713">
        <f t="shared" si="51"/>
        <v>0</v>
      </c>
      <c r="S277" s="358">
        <f t="shared" si="52"/>
        <v>0</v>
      </c>
    </row>
    <row r="278" spans="1:19">
      <c r="A278" s="156"/>
      <c r="B278" s="56"/>
      <c r="C278" s="21">
        <f t="shared" si="43"/>
        <v>1</v>
      </c>
      <c r="D278" s="717"/>
      <c r="E278" s="21">
        <f t="shared" si="44"/>
        <v>1</v>
      </c>
      <c r="F278" s="717"/>
      <c r="G278" s="21">
        <f t="shared" si="45"/>
        <v>1</v>
      </c>
      <c r="H278" s="717"/>
      <c r="I278" s="21">
        <f t="shared" si="46"/>
        <v>1</v>
      </c>
      <c r="J278" s="717"/>
      <c r="K278" s="21">
        <f t="shared" si="47"/>
        <v>1</v>
      </c>
      <c r="L278" s="717"/>
      <c r="M278" s="21">
        <f t="shared" si="48"/>
        <v>1</v>
      </c>
      <c r="N278" s="717"/>
      <c r="O278" s="21">
        <f t="shared" si="49"/>
        <v>1</v>
      </c>
      <c r="P278" s="717"/>
      <c r="Q278" s="21">
        <f t="shared" si="50"/>
        <v>1</v>
      </c>
      <c r="R278" s="713">
        <f t="shared" si="51"/>
        <v>0</v>
      </c>
      <c r="S278" s="358">
        <f t="shared" si="52"/>
        <v>0</v>
      </c>
    </row>
    <row r="279" spans="1:19">
      <c r="A279" s="156"/>
      <c r="B279" s="56"/>
      <c r="C279" s="21">
        <f t="shared" si="43"/>
        <v>1</v>
      </c>
      <c r="D279" s="717"/>
      <c r="E279" s="21">
        <f t="shared" si="44"/>
        <v>1</v>
      </c>
      <c r="F279" s="717"/>
      <c r="G279" s="21">
        <f t="shared" si="45"/>
        <v>1</v>
      </c>
      <c r="H279" s="717"/>
      <c r="I279" s="21">
        <f t="shared" si="46"/>
        <v>1</v>
      </c>
      <c r="J279" s="717"/>
      <c r="K279" s="21">
        <f t="shared" si="47"/>
        <v>1</v>
      </c>
      <c r="L279" s="717"/>
      <c r="M279" s="21">
        <f t="shared" si="48"/>
        <v>1</v>
      </c>
      <c r="N279" s="717"/>
      <c r="O279" s="21">
        <f t="shared" si="49"/>
        <v>1</v>
      </c>
      <c r="P279" s="717"/>
      <c r="Q279" s="21">
        <f t="shared" si="50"/>
        <v>1</v>
      </c>
      <c r="R279" s="713">
        <f t="shared" si="51"/>
        <v>0</v>
      </c>
      <c r="S279" s="358">
        <f t="shared" si="52"/>
        <v>0</v>
      </c>
    </row>
    <row r="280" spans="1:19">
      <c r="A280" s="156"/>
      <c r="B280" s="56"/>
      <c r="C280" s="21">
        <f t="shared" si="43"/>
        <v>1</v>
      </c>
      <c r="D280" s="717"/>
      <c r="E280" s="21">
        <f t="shared" si="44"/>
        <v>1</v>
      </c>
      <c r="F280" s="717"/>
      <c r="G280" s="21">
        <f t="shared" si="45"/>
        <v>1</v>
      </c>
      <c r="H280" s="717"/>
      <c r="I280" s="21">
        <f t="shared" si="46"/>
        <v>1</v>
      </c>
      <c r="J280" s="717"/>
      <c r="K280" s="21">
        <f t="shared" si="47"/>
        <v>1</v>
      </c>
      <c r="L280" s="717"/>
      <c r="M280" s="21">
        <f t="shared" si="48"/>
        <v>1</v>
      </c>
      <c r="N280" s="717"/>
      <c r="O280" s="21">
        <f t="shared" si="49"/>
        <v>1</v>
      </c>
      <c r="P280" s="717"/>
      <c r="Q280" s="21">
        <f t="shared" si="50"/>
        <v>1</v>
      </c>
      <c r="R280" s="713">
        <f t="shared" si="51"/>
        <v>0</v>
      </c>
      <c r="S280" s="358">
        <f t="shared" si="52"/>
        <v>0</v>
      </c>
    </row>
    <row r="281" spans="1:19">
      <c r="A281" s="156"/>
      <c r="B281" s="56"/>
      <c r="C281" s="21">
        <f t="shared" si="43"/>
        <v>1</v>
      </c>
      <c r="D281" s="717"/>
      <c r="E281" s="21">
        <f t="shared" si="44"/>
        <v>1</v>
      </c>
      <c r="F281" s="717"/>
      <c r="G281" s="21">
        <f t="shared" si="45"/>
        <v>1</v>
      </c>
      <c r="H281" s="717"/>
      <c r="I281" s="21">
        <f t="shared" si="46"/>
        <v>1</v>
      </c>
      <c r="J281" s="717"/>
      <c r="K281" s="21">
        <f t="shared" si="47"/>
        <v>1</v>
      </c>
      <c r="L281" s="717"/>
      <c r="M281" s="21">
        <f t="shared" si="48"/>
        <v>1</v>
      </c>
      <c r="N281" s="717"/>
      <c r="O281" s="21">
        <f t="shared" si="49"/>
        <v>1</v>
      </c>
      <c r="P281" s="717"/>
      <c r="Q281" s="21">
        <f t="shared" si="50"/>
        <v>1</v>
      </c>
      <c r="R281" s="713">
        <f t="shared" si="51"/>
        <v>0</v>
      </c>
      <c r="S281" s="358">
        <f t="shared" si="52"/>
        <v>0</v>
      </c>
    </row>
    <row r="282" spans="1:19">
      <c r="A282" s="156"/>
      <c r="B282" s="56"/>
      <c r="C282" s="21">
        <f t="shared" ref="C282:C345" si="53">IF(B282="",1,(LOOKUP(B282,$3:$3,$4:$4)-LOOKUP($B$24,$3:$3,$4:$4)+100)/100)</f>
        <v>1</v>
      </c>
      <c r="D282" s="717"/>
      <c r="E282" s="21">
        <f t="shared" ref="E282:E345" si="54">(SUMIF($5:$5,D282,$6:$6)-SUMIF($5:$5,$D$24,$6:$6)+100)/100</f>
        <v>1</v>
      </c>
      <c r="F282" s="717"/>
      <c r="G282" s="21">
        <f t="shared" ref="G282:G345" si="55">(SUMIF($7:$7,F282,$8:$8)-SUMIF($7:$7,$F$24,$8:$8)+100)/100</f>
        <v>1</v>
      </c>
      <c r="H282" s="717"/>
      <c r="I282" s="21">
        <f t="shared" ref="I282:I345" si="56">(SUMIF($9:$9,H282,$10:$10)-SUMIF($9:$9,$H$24,$10:$10)+100)/100</f>
        <v>1</v>
      </c>
      <c r="J282" s="717"/>
      <c r="K282" s="21">
        <f t="shared" ref="K282:K345" si="57">(SUMIF($11:$11,J282,$12:$12)-SUMIF($11:$11,$J$24,$12:$12)+100)/100</f>
        <v>1</v>
      </c>
      <c r="L282" s="717"/>
      <c r="M282" s="21">
        <f t="shared" ref="M282:M345" si="58">(SUMIF($13:$13,L282,$14:$14)-SUMIF($13:$13,$L$24,$14:$14)+100)/100</f>
        <v>1</v>
      </c>
      <c r="N282" s="717"/>
      <c r="O282" s="21">
        <f t="shared" ref="O282:O345" si="59">(SUMIF($15:$15,N282,$16:$16)-SUMIF($15:$15,$N$24,$16:$16)+100)/100</f>
        <v>1</v>
      </c>
      <c r="P282" s="717"/>
      <c r="Q282" s="21">
        <f t="shared" ref="Q282:Q345" si="60">(SUMIF($17:$17,P282,$18:$18)-SUMIF($17:$17,$P$24,$18:$18)+100)/100</f>
        <v>1</v>
      </c>
      <c r="R282" s="713">
        <f t="shared" ref="R282:R345" si="61">IF(B282="",0,ROUND($R$24*C282*E282*G282*I282*K282*M282*O282*Q282,0))</f>
        <v>0</v>
      </c>
      <c r="S282" s="358">
        <f t="shared" si="52"/>
        <v>0</v>
      </c>
    </row>
    <row r="283" spans="1:19">
      <c r="A283" s="156"/>
      <c r="B283" s="56"/>
      <c r="C283" s="21">
        <f t="shared" si="53"/>
        <v>1</v>
      </c>
      <c r="D283" s="717"/>
      <c r="E283" s="21">
        <f t="shared" si="54"/>
        <v>1</v>
      </c>
      <c r="F283" s="717"/>
      <c r="G283" s="21">
        <f t="shared" si="55"/>
        <v>1</v>
      </c>
      <c r="H283" s="717"/>
      <c r="I283" s="21">
        <f t="shared" si="56"/>
        <v>1</v>
      </c>
      <c r="J283" s="717"/>
      <c r="K283" s="21">
        <f t="shared" si="57"/>
        <v>1</v>
      </c>
      <c r="L283" s="717"/>
      <c r="M283" s="21">
        <f t="shared" si="58"/>
        <v>1</v>
      </c>
      <c r="N283" s="717"/>
      <c r="O283" s="21">
        <f t="shared" si="59"/>
        <v>1</v>
      </c>
      <c r="P283" s="717"/>
      <c r="Q283" s="21">
        <f t="shared" si="60"/>
        <v>1</v>
      </c>
      <c r="R283" s="713">
        <f t="shared" si="61"/>
        <v>0</v>
      </c>
      <c r="S283" s="358">
        <f t="shared" si="52"/>
        <v>0</v>
      </c>
    </row>
    <row r="284" spans="1:19">
      <c r="A284" s="156"/>
      <c r="B284" s="56"/>
      <c r="C284" s="21">
        <f t="shared" si="53"/>
        <v>1</v>
      </c>
      <c r="D284" s="717"/>
      <c r="E284" s="21">
        <f t="shared" si="54"/>
        <v>1</v>
      </c>
      <c r="F284" s="717"/>
      <c r="G284" s="21">
        <f t="shared" si="55"/>
        <v>1</v>
      </c>
      <c r="H284" s="717"/>
      <c r="I284" s="21">
        <f t="shared" si="56"/>
        <v>1</v>
      </c>
      <c r="J284" s="717"/>
      <c r="K284" s="21">
        <f t="shared" si="57"/>
        <v>1</v>
      </c>
      <c r="L284" s="717"/>
      <c r="M284" s="21">
        <f t="shared" si="58"/>
        <v>1</v>
      </c>
      <c r="N284" s="717"/>
      <c r="O284" s="21">
        <f t="shared" si="59"/>
        <v>1</v>
      </c>
      <c r="P284" s="717"/>
      <c r="Q284" s="21">
        <f t="shared" si="60"/>
        <v>1</v>
      </c>
      <c r="R284" s="713">
        <f t="shared" si="61"/>
        <v>0</v>
      </c>
      <c r="S284" s="358">
        <f t="shared" si="52"/>
        <v>0</v>
      </c>
    </row>
    <row r="285" spans="1:19">
      <c r="A285" s="156"/>
      <c r="B285" s="56"/>
      <c r="C285" s="21">
        <f t="shared" si="53"/>
        <v>1</v>
      </c>
      <c r="D285" s="717"/>
      <c r="E285" s="21">
        <f t="shared" si="54"/>
        <v>1</v>
      </c>
      <c r="F285" s="717"/>
      <c r="G285" s="21">
        <f t="shared" si="55"/>
        <v>1</v>
      </c>
      <c r="H285" s="717"/>
      <c r="I285" s="21">
        <f t="shared" si="56"/>
        <v>1</v>
      </c>
      <c r="J285" s="717"/>
      <c r="K285" s="21">
        <f t="shared" si="57"/>
        <v>1</v>
      </c>
      <c r="L285" s="717"/>
      <c r="M285" s="21">
        <f t="shared" si="58"/>
        <v>1</v>
      </c>
      <c r="N285" s="717"/>
      <c r="O285" s="21">
        <f t="shared" si="59"/>
        <v>1</v>
      </c>
      <c r="P285" s="717"/>
      <c r="Q285" s="21">
        <f t="shared" si="60"/>
        <v>1</v>
      </c>
      <c r="R285" s="713">
        <f t="shared" si="61"/>
        <v>0</v>
      </c>
      <c r="S285" s="358">
        <f t="shared" si="52"/>
        <v>0</v>
      </c>
    </row>
    <row r="286" spans="1:19">
      <c r="A286" s="156"/>
      <c r="B286" s="56"/>
      <c r="C286" s="21">
        <f t="shared" si="53"/>
        <v>1</v>
      </c>
      <c r="D286" s="717"/>
      <c r="E286" s="21">
        <f t="shared" si="54"/>
        <v>1</v>
      </c>
      <c r="F286" s="717"/>
      <c r="G286" s="21">
        <f t="shared" si="55"/>
        <v>1</v>
      </c>
      <c r="H286" s="717"/>
      <c r="I286" s="21">
        <f t="shared" si="56"/>
        <v>1</v>
      </c>
      <c r="J286" s="717"/>
      <c r="K286" s="21">
        <f t="shared" si="57"/>
        <v>1</v>
      </c>
      <c r="L286" s="717"/>
      <c r="M286" s="21">
        <f t="shared" si="58"/>
        <v>1</v>
      </c>
      <c r="N286" s="717"/>
      <c r="O286" s="21">
        <f t="shared" si="59"/>
        <v>1</v>
      </c>
      <c r="P286" s="717"/>
      <c r="Q286" s="21">
        <f t="shared" si="60"/>
        <v>1</v>
      </c>
      <c r="R286" s="713">
        <f t="shared" si="61"/>
        <v>0</v>
      </c>
      <c r="S286" s="358">
        <f t="shared" si="52"/>
        <v>0</v>
      </c>
    </row>
    <row r="287" spans="1:19">
      <c r="A287" s="156"/>
      <c r="B287" s="56"/>
      <c r="C287" s="21">
        <f t="shared" si="53"/>
        <v>1</v>
      </c>
      <c r="D287" s="717"/>
      <c r="E287" s="21">
        <f t="shared" si="54"/>
        <v>1</v>
      </c>
      <c r="F287" s="717"/>
      <c r="G287" s="21">
        <f t="shared" si="55"/>
        <v>1</v>
      </c>
      <c r="H287" s="717"/>
      <c r="I287" s="21">
        <f t="shared" si="56"/>
        <v>1</v>
      </c>
      <c r="J287" s="717"/>
      <c r="K287" s="21">
        <f t="shared" si="57"/>
        <v>1</v>
      </c>
      <c r="L287" s="717"/>
      <c r="M287" s="21">
        <f t="shared" si="58"/>
        <v>1</v>
      </c>
      <c r="N287" s="717"/>
      <c r="O287" s="21">
        <f t="shared" si="59"/>
        <v>1</v>
      </c>
      <c r="P287" s="717"/>
      <c r="Q287" s="21">
        <f t="shared" si="60"/>
        <v>1</v>
      </c>
      <c r="R287" s="713">
        <f t="shared" si="61"/>
        <v>0</v>
      </c>
      <c r="S287" s="358">
        <f t="shared" ref="S287:S320" si="62">ROUND(R287*B287/10000,0)</f>
        <v>0</v>
      </c>
    </row>
    <row r="288" spans="1:19">
      <c r="A288" s="156"/>
      <c r="B288" s="56"/>
      <c r="C288" s="21">
        <f t="shared" si="53"/>
        <v>1</v>
      </c>
      <c r="D288" s="717"/>
      <c r="E288" s="21">
        <f t="shared" si="54"/>
        <v>1</v>
      </c>
      <c r="F288" s="717"/>
      <c r="G288" s="21">
        <f t="shared" si="55"/>
        <v>1</v>
      </c>
      <c r="H288" s="717"/>
      <c r="I288" s="21">
        <f t="shared" si="56"/>
        <v>1</v>
      </c>
      <c r="J288" s="717"/>
      <c r="K288" s="21">
        <f t="shared" si="57"/>
        <v>1</v>
      </c>
      <c r="L288" s="717"/>
      <c r="M288" s="21">
        <f t="shared" si="58"/>
        <v>1</v>
      </c>
      <c r="N288" s="717"/>
      <c r="O288" s="21">
        <f t="shared" si="59"/>
        <v>1</v>
      </c>
      <c r="P288" s="717"/>
      <c r="Q288" s="21">
        <f t="shared" si="60"/>
        <v>1</v>
      </c>
      <c r="R288" s="713">
        <f t="shared" si="61"/>
        <v>0</v>
      </c>
      <c r="S288" s="358">
        <f t="shared" si="62"/>
        <v>0</v>
      </c>
    </row>
    <row r="289" spans="1:19">
      <c r="A289" s="156"/>
      <c r="B289" s="56"/>
      <c r="C289" s="21">
        <f t="shared" si="53"/>
        <v>1</v>
      </c>
      <c r="D289" s="717"/>
      <c r="E289" s="21">
        <f t="shared" si="54"/>
        <v>1</v>
      </c>
      <c r="F289" s="717"/>
      <c r="G289" s="21">
        <f t="shared" si="55"/>
        <v>1</v>
      </c>
      <c r="H289" s="717"/>
      <c r="I289" s="21">
        <f t="shared" si="56"/>
        <v>1</v>
      </c>
      <c r="J289" s="717"/>
      <c r="K289" s="21">
        <f t="shared" si="57"/>
        <v>1</v>
      </c>
      <c r="L289" s="717"/>
      <c r="M289" s="21">
        <f t="shared" si="58"/>
        <v>1</v>
      </c>
      <c r="N289" s="717"/>
      <c r="O289" s="21">
        <f t="shared" si="59"/>
        <v>1</v>
      </c>
      <c r="P289" s="717"/>
      <c r="Q289" s="21">
        <f t="shared" si="60"/>
        <v>1</v>
      </c>
      <c r="R289" s="713">
        <f t="shared" si="61"/>
        <v>0</v>
      </c>
      <c r="S289" s="358">
        <f t="shared" si="62"/>
        <v>0</v>
      </c>
    </row>
    <row r="290" spans="1:19">
      <c r="A290" s="156"/>
      <c r="B290" s="56"/>
      <c r="C290" s="21">
        <f t="shared" si="53"/>
        <v>1</v>
      </c>
      <c r="D290" s="717"/>
      <c r="E290" s="21">
        <f t="shared" si="54"/>
        <v>1</v>
      </c>
      <c r="F290" s="717"/>
      <c r="G290" s="21">
        <f t="shared" si="55"/>
        <v>1</v>
      </c>
      <c r="H290" s="717"/>
      <c r="I290" s="21">
        <f t="shared" si="56"/>
        <v>1</v>
      </c>
      <c r="J290" s="717"/>
      <c r="K290" s="21">
        <f t="shared" si="57"/>
        <v>1</v>
      </c>
      <c r="L290" s="717"/>
      <c r="M290" s="21">
        <f t="shared" si="58"/>
        <v>1</v>
      </c>
      <c r="N290" s="717"/>
      <c r="O290" s="21">
        <f t="shared" si="59"/>
        <v>1</v>
      </c>
      <c r="P290" s="717"/>
      <c r="Q290" s="21">
        <f t="shared" si="60"/>
        <v>1</v>
      </c>
      <c r="R290" s="713">
        <f t="shared" si="61"/>
        <v>0</v>
      </c>
      <c r="S290" s="358">
        <f t="shared" si="62"/>
        <v>0</v>
      </c>
    </row>
    <row r="291" spans="1:19">
      <c r="A291" s="156"/>
      <c r="B291" s="56"/>
      <c r="C291" s="21">
        <f t="shared" si="53"/>
        <v>1</v>
      </c>
      <c r="D291" s="717"/>
      <c r="E291" s="21">
        <f t="shared" si="54"/>
        <v>1</v>
      </c>
      <c r="F291" s="717"/>
      <c r="G291" s="21">
        <f t="shared" si="55"/>
        <v>1</v>
      </c>
      <c r="H291" s="717"/>
      <c r="I291" s="21">
        <f t="shared" si="56"/>
        <v>1</v>
      </c>
      <c r="J291" s="717"/>
      <c r="K291" s="21">
        <f t="shared" si="57"/>
        <v>1</v>
      </c>
      <c r="L291" s="717"/>
      <c r="M291" s="21">
        <f t="shared" si="58"/>
        <v>1</v>
      </c>
      <c r="N291" s="717"/>
      <c r="O291" s="21">
        <f t="shared" si="59"/>
        <v>1</v>
      </c>
      <c r="P291" s="717"/>
      <c r="Q291" s="21">
        <f t="shared" si="60"/>
        <v>1</v>
      </c>
      <c r="R291" s="713">
        <f t="shared" si="61"/>
        <v>0</v>
      </c>
      <c r="S291" s="358">
        <f t="shared" si="62"/>
        <v>0</v>
      </c>
    </row>
    <row r="292" spans="1:19">
      <c r="A292" s="156"/>
      <c r="B292" s="56"/>
      <c r="C292" s="21">
        <f t="shared" si="53"/>
        <v>1</v>
      </c>
      <c r="D292" s="717"/>
      <c r="E292" s="21">
        <f t="shared" si="54"/>
        <v>1</v>
      </c>
      <c r="F292" s="717"/>
      <c r="G292" s="21">
        <f t="shared" si="55"/>
        <v>1</v>
      </c>
      <c r="H292" s="717"/>
      <c r="I292" s="21">
        <f t="shared" si="56"/>
        <v>1</v>
      </c>
      <c r="J292" s="717"/>
      <c r="K292" s="21">
        <f t="shared" si="57"/>
        <v>1</v>
      </c>
      <c r="L292" s="717"/>
      <c r="M292" s="21">
        <f t="shared" si="58"/>
        <v>1</v>
      </c>
      <c r="N292" s="717"/>
      <c r="O292" s="21">
        <f t="shared" si="59"/>
        <v>1</v>
      </c>
      <c r="P292" s="717"/>
      <c r="Q292" s="21">
        <f t="shared" si="60"/>
        <v>1</v>
      </c>
      <c r="R292" s="713">
        <f t="shared" si="61"/>
        <v>0</v>
      </c>
      <c r="S292" s="358">
        <f t="shared" si="62"/>
        <v>0</v>
      </c>
    </row>
    <row r="293" spans="1:19">
      <c r="A293" s="156"/>
      <c r="B293" s="56"/>
      <c r="C293" s="21">
        <f t="shared" si="53"/>
        <v>1</v>
      </c>
      <c r="D293" s="717"/>
      <c r="E293" s="21">
        <f t="shared" si="54"/>
        <v>1</v>
      </c>
      <c r="F293" s="717"/>
      <c r="G293" s="21">
        <f t="shared" si="55"/>
        <v>1</v>
      </c>
      <c r="H293" s="717"/>
      <c r="I293" s="21">
        <f t="shared" si="56"/>
        <v>1</v>
      </c>
      <c r="J293" s="717"/>
      <c r="K293" s="21">
        <f t="shared" si="57"/>
        <v>1</v>
      </c>
      <c r="L293" s="717"/>
      <c r="M293" s="21">
        <f t="shared" si="58"/>
        <v>1</v>
      </c>
      <c r="N293" s="717"/>
      <c r="O293" s="21">
        <f t="shared" si="59"/>
        <v>1</v>
      </c>
      <c r="P293" s="717"/>
      <c r="Q293" s="21">
        <f t="shared" si="60"/>
        <v>1</v>
      </c>
      <c r="R293" s="713">
        <f t="shared" si="61"/>
        <v>0</v>
      </c>
      <c r="S293" s="358">
        <f t="shared" si="62"/>
        <v>0</v>
      </c>
    </row>
    <row r="294" spans="1:19">
      <c r="A294" s="156"/>
      <c r="B294" s="56"/>
      <c r="C294" s="21">
        <f t="shared" si="53"/>
        <v>1</v>
      </c>
      <c r="D294" s="717"/>
      <c r="E294" s="21">
        <f t="shared" si="54"/>
        <v>1</v>
      </c>
      <c r="F294" s="717"/>
      <c r="G294" s="21">
        <f t="shared" si="55"/>
        <v>1</v>
      </c>
      <c r="H294" s="717"/>
      <c r="I294" s="21">
        <f t="shared" si="56"/>
        <v>1</v>
      </c>
      <c r="J294" s="717"/>
      <c r="K294" s="21">
        <f t="shared" si="57"/>
        <v>1</v>
      </c>
      <c r="L294" s="717"/>
      <c r="M294" s="21">
        <f t="shared" si="58"/>
        <v>1</v>
      </c>
      <c r="N294" s="717"/>
      <c r="O294" s="21">
        <f t="shared" si="59"/>
        <v>1</v>
      </c>
      <c r="P294" s="717"/>
      <c r="Q294" s="21">
        <f t="shared" si="60"/>
        <v>1</v>
      </c>
      <c r="R294" s="713">
        <f t="shared" si="61"/>
        <v>0</v>
      </c>
      <c r="S294" s="358">
        <f t="shared" si="62"/>
        <v>0</v>
      </c>
    </row>
    <row r="295" spans="1:19">
      <c r="A295" s="156"/>
      <c r="B295" s="56"/>
      <c r="C295" s="21">
        <f t="shared" si="53"/>
        <v>1</v>
      </c>
      <c r="D295" s="717"/>
      <c r="E295" s="21">
        <f t="shared" si="54"/>
        <v>1</v>
      </c>
      <c r="F295" s="717"/>
      <c r="G295" s="21">
        <f t="shared" si="55"/>
        <v>1</v>
      </c>
      <c r="H295" s="717"/>
      <c r="I295" s="21">
        <f t="shared" si="56"/>
        <v>1</v>
      </c>
      <c r="J295" s="717"/>
      <c r="K295" s="21">
        <f t="shared" si="57"/>
        <v>1</v>
      </c>
      <c r="L295" s="717"/>
      <c r="M295" s="21">
        <f t="shared" si="58"/>
        <v>1</v>
      </c>
      <c r="N295" s="717"/>
      <c r="O295" s="21">
        <f t="shared" si="59"/>
        <v>1</v>
      </c>
      <c r="P295" s="717"/>
      <c r="Q295" s="21">
        <f t="shared" si="60"/>
        <v>1</v>
      </c>
      <c r="R295" s="713">
        <f t="shared" si="61"/>
        <v>0</v>
      </c>
      <c r="S295" s="358">
        <f t="shared" si="62"/>
        <v>0</v>
      </c>
    </row>
    <row r="296" spans="1:19">
      <c r="A296" s="156"/>
      <c r="B296" s="56"/>
      <c r="C296" s="21">
        <f t="shared" si="53"/>
        <v>1</v>
      </c>
      <c r="D296" s="717"/>
      <c r="E296" s="21">
        <f t="shared" si="54"/>
        <v>1</v>
      </c>
      <c r="F296" s="717"/>
      <c r="G296" s="21">
        <f t="shared" si="55"/>
        <v>1</v>
      </c>
      <c r="H296" s="717"/>
      <c r="I296" s="21">
        <f t="shared" si="56"/>
        <v>1</v>
      </c>
      <c r="J296" s="717"/>
      <c r="K296" s="21">
        <f t="shared" si="57"/>
        <v>1</v>
      </c>
      <c r="L296" s="717"/>
      <c r="M296" s="21">
        <f t="shared" si="58"/>
        <v>1</v>
      </c>
      <c r="N296" s="717"/>
      <c r="O296" s="21">
        <f t="shared" si="59"/>
        <v>1</v>
      </c>
      <c r="P296" s="717"/>
      <c r="Q296" s="21">
        <f t="shared" si="60"/>
        <v>1</v>
      </c>
      <c r="R296" s="713">
        <f t="shared" si="61"/>
        <v>0</v>
      </c>
      <c r="S296" s="358">
        <f t="shared" si="62"/>
        <v>0</v>
      </c>
    </row>
    <row r="297" spans="1:19">
      <c r="A297" s="156"/>
      <c r="B297" s="56"/>
      <c r="C297" s="21">
        <f t="shared" si="53"/>
        <v>1</v>
      </c>
      <c r="D297" s="717"/>
      <c r="E297" s="21">
        <f t="shared" si="54"/>
        <v>1</v>
      </c>
      <c r="F297" s="717"/>
      <c r="G297" s="21">
        <f t="shared" si="55"/>
        <v>1</v>
      </c>
      <c r="H297" s="717"/>
      <c r="I297" s="21">
        <f t="shared" si="56"/>
        <v>1</v>
      </c>
      <c r="J297" s="717"/>
      <c r="K297" s="21">
        <f t="shared" si="57"/>
        <v>1</v>
      </c>
      <c r="L297" s="717"/>
      <c r="M297" s="21">
        <f t="shared" si="58"/>
        <v>1</v>
      </c>
      <c r="N297" s="717"/>
      <c r="O297" s="21">
        <f t="shared" si="59"/>
        <v>1</v>
      </c>
      <c r="P297" s="717"/>
      <c r="Q297" s="21">
        <f t="shared" si="60"/>
        <v>1</v>
      </c>
      <c r="R297" s="713">
        <f t="shared" si="61"/>
        <v>0</v>
      </c>
      <c r="S297" s="358">
        <f t="shared" si="62"/>
        <v>0</v>
      </c>
    </row>
    <row r="298" spans="1:19">
      <c r="A298" s="156"/>
      <c r="B298" s="56"/>
      <c r="C298" s="21">
        <f t="shared" si="53"/>
        <v>1</v>
      </c>
      <c r="D298" s="717"/>
      <c r="E298" s="21">
        <f t="shared" si="54"/>
        <v>1</v>
      </c>
      <c r="F298" s="717"/>
      <c r="G298" s="21">
        <f t="shared" si="55"/>
        <v>1</v>
      </c>
      <c r="H298" s="717"/>
      <c r="I298" s="21">
        <f t="shared" si="56"/>
        <v>1</v>
      </c>
      <c r="J298" s="717"/>
      <c r="K298" s="21">
        <f t="shared" si="57"/>
        <v>1</v>
      </c>
      <c r="L298" s="717"/>
      <c r="M298" s="21">
        <f t="shared" si="58"/>
        <v>1</v>
      </c>
      <c r="N298" s="717"/>
      <c r="O298" s="21">
        <f t="shared" si="59"/>
        <v>1</v>
      </c>
      <c r="P298" s="717"/>
      <c r="Q298" s="21">
        <f t="shared" si="60"/>
        <v>1</v>
      </c>
      <c r="R298" s="713">
        <f t="shared" si="61"/>
        <v>0</v>
      </c>
      <c r="S298" s="358">
        <f t="shared" si="62"/>
        <v>0</v>
      </c>
    </row>
    <row r="299" spans="1:19">
      <c r="A299" s="156"/>
      <c r="B299" s="56"/>
      <c r="C299" s="21">
        <f t="shared" si="53"/>
        <v>1</v>
      </c>
      <c r="D299" s="717"/>
      <c r="E299" s="21">
        <f t="shared" si="54"/>
        <v>1</v>
      </c>
      <c r="F299" s="717"/>
      <c r="G299" s="21">
        <f t="shared" si="55"/>
        <v>1</v>
      </c>
      <c r="H299" s="717"/>
      <c r="I299" s="21">
        <f t="shared" si="56"/>
        <v>1</v>
      </c>
      <c r="J299" s="717"/>
      <c r="K299" s="21">
        <f t="shared" si="57"/>
        <v>1</v>
      </c>
      <c r="L299" s="717"/>
      <c r="M299" s="21">
        <f t="shared" si="58"/>
        <v>1</v>
      </c>
      <c r="N299" s="717"/>
      <c r="O299" s="21">
        <f t="shared" si="59"/>
        <v>1</v>
      </c>
      <c r="P299" s="717"/>
      <c r="Q299" s="21">
        <f t="shared" si="60"/>
        <v>1</v>
      </c>
      <c r="R299" s="713">
        <f t="shared" si="61"/>
        <v>0</v>
      </c>
      <c r="S299" s="358">
        <f t="shared" si="62"/>
        <v>0</v>
      </c>
    </row>
    <row r="300" spans="1:19">
      <c r="A300" s="156"/>
      <c r="B300" s="56"/>
      <c r="C300" s="21">
        <f t="shared" si="53"/>
        <v>1</v>
      </c>
      <c r="D300" s="717"/>
      <c r="E300" s="21">
        <f t="shared" si="54"/>
        <v>1</v>
      </c>
      <c r="F300" s="717"/>
      <c r="G300" s="21">
        <f t="shared" si="55"/>
        <v>1</v>
      </c>
      <c r="H300" s="717"/>
      <c r="I300" s="21">
        <f t="shared" si="56"/>
        <v>1</v>
      </c>
      <c r="J300" s="717"/>
      <c r="K300" s="21">
        <f t="shared" si="57"/>
        <v>1</v>
      </c>
      <c r="L300" s="717"/>
      <c r="M300" s="21">
        <f t="shared" si="58"/>
        <v>1</v>
      </c>
      <c r="N300" s="717"/>
      <c r="O300" s="21">
        <f t="shared" si="59"/>
        <v>1</v>
      </c>
      <c r="P300" s="717"/>
      <c r="Q300" s="21">
        <f t="shared" si="60"/>
        <v>1</v>
      </c>
      <c r="R300" s="713">
        <f t="shared" si="61"/>
        <v>0</v>
      </c>
      <c r="S300" s="358">
        <f t="shared" si="62"/>
        <v>0</v>
      </c>
    </row>
    <row r="301" spans="1:19">
      <c r="A301" s="156"/>
      <c r="B301" s="56"/>
      <c r="C301" s="21">
        <f t="shared" si="53"/>
        <v>1</v>
      </c>
      <c r="D301" s="717"/>
      <c r="E301" s="21">
        <f t="shared" si="54"/>
        <v>1</v>
      </c>
      <c r="F301" s="717"/>
      <c r="G301" s="21">
        <f t="shared" si="55"/>
        <v>1</v>
      </c>
      <c r="H301" s="717"/>
      <c r="I301" s="21">
        <f t="shared" si="56"/>
        <v>1</v>
      </c>
      <c r="J301" s="717"/>
      <c r="K301" s="21">
        <f t="shared" si="57"/>
        <v>1</v>
      </c>
      <c r="L301" s="717"/>
      <c r="M301" s="21">
        <f t="shared" si="58"/>
        <v>1</v>
      </c>
      <c r="N301" s="717"/>
      <c r="O301" s="21">
        <f t="shared" si="59"/>
        <v>1</v>
      </c>
      <c r="P301" s="717"/>
      <c r="Q301" s="21">
        <f t="shared" si="60"/>
        <v>1</v>
      </c>
      <c r="R301" s="713">
        <f t="shared" si="61"/>
        <v>0</v>
      </c>
      <c r="S301" s="358">
        <f t="shared" si="62"/>
        <v>0</v>
      </c>
    </row>
    <row r="302" spans="1:19">
      <c r="A302" s="156"/>
      <c r="B302" s="56"/>
      <c r="C302" s="21">
        <f t="shared" si="53"/>
        <v>1</v>
      </c>
      <c r="D302" s="717"/>
      <c r="E302" s="21">
        <f t="shared" si="54"/>
        <v>1</v>
      </c>
      <c r="F302" s="717"/>
      <c r="G302" s="21">
        <f t="shared" si="55"/>
        <v>1</v>
      </c>
      <c r="H302" s="717"/>
      <c r="I302" s="21">
        <f t="shared" si="56"/>
        <v>1</v>
      </c>
      <c r="J302" s="717"/>
      <c r="K302" s="21">
        <f t="shared" si="57"/>
        <v>1</v>
      </c>
      <c r="L302" s="717"/>
      <c r="M302" s="21">
        <f t="shared" si="58"/>
        <v>1</v>
      </c>
      <c r="N302" s="717"/>
      <c r="O302" s="21">
        <f t="shared" si="59"/>
        <v>1</v>
      </c>
      <c r="P302" s="717"/>
      <c r="Q302" s="21">
        <f t="shared" si="60"/>
        <v>1</v>
      </c>
      <c r="R302" s="713">
        <f t="shared" si="61"/>
        <v>0</v>
      </c>
      <c r="S302" s="358">
        <f t="shared" si="62"/>
        <v>0</v>
      </c>
    </row>
    <row r="303" spans="1:19">
      <c r="A303" s="156"/>
      <c r="B303" s="56"/>
      <c r="C303" s="21">
        <f t="shared" si="53"/>
        <v>1</v>
      </c>
      <c r="D303" s="717"/>
      <c r="E303" s="21">
        <f t="shared" si="54"/>
        <v>1</v>
      </c>
      <c r="F303" s="717"/>
      <c r="G303" s="21">
        <f t="shared" si="55"/>
        <v>1</v>
      </c>
      <c r="H303" s="717"/>
      <c r="I303" s="21">
        <f t="shared" si="56"/>
        <v>1</v>
      </c>
      <c r="J303" s="717"/>
      <c r="K303" s="21">
        <f t="shared" si="57"/>
        <v>1</v>
      </c>
      <c r="L303" s="717"/>
      <c r="M303" s="21">
        <f t="shared" si="58"/>
        <v>1</v>
      </c>
      <c r="N303" s="717"/>
      <c r="O303" s="21">
        <f t="shared" si="59"/>
        <v>1</v>
      </c>
      <c r="P303" s="717"/>
      <c r="Q303" s="21">
        <f t="shared" si="60"/>
        <v>1</v>
      </c>
      <c r="R303" s="713">
        <f t="shared" si="61"/>
        <v>0</v>
      </c>
      <c r="S303" s="358">
        <f t="shared" si="62"/>
        <v>0</v>
      </c>
    </row>
    <row r="304" spans="1:19">
      <c r="A304" s="156"/>
      <c r="B304" s="56"/>
      <c r="C304" s="21">
        <f t="shared" si="53"/>
        <v>1</v>
      </c>
      <c r="D304" s="717"/>
      <c r="E304" s="21">
        <f t="shared" si="54"/>
        <v>1</v>
      </c>
      <c r="F304" s="717"/>
      <c r="G304" s="21">
        <f t="shared" si="55"/>
        <v>1</v>
      </c>
      <c r="H304" s="717"/>
      <c r="I304" s="21">
        <f t="shared" si="56"/>
        <v>1</v>
      </c>
      <c r="J304" s="717"/>
      <c r="K304" s="21">
        <f t="shared" si="57"/>
        <v>1</v>
      </c>
      <c r="L304" s="717"/>
      <c r="M304" s="21">
        <f t="shared" si="58"/>
        <v>1</v>
      </c>
      <c r="N304" s="717"/>
      <c r="O304" s="21">
        <f t="shared" si="59"/>
        <v>1</v>
      </c>
      <c r="P304" s="717"/>
      <c r="Q304" s="21">
        <f t="shared" si="60"/>
        <v>1</v>
      </c>
      <c r="R304" s="713">
        <f t="shared" si="61"/>
        <v>0</v>
      </c>
      <c r="S304" s="358">
        <f t="shared" si="62"/>
        <v>0</v>
      </c>
    </row>
    <row r="305" spans="1:19">
      <c r="A305" s="156"/>
      <c r="B305" s="56"/>
      <c r="C305" s="21">
        <f t="shared" si="53"/>
        <v>1</v>
      </c>
      <c r="D305" s="717"/>
      <c r="E305" s="21">
        <f t="shared" si="54"/>
        <v>1</v>
      </c>
      <c r="F305" s="717"/>
      <c r="G305" s="21">
        <f t="shared" si="55"/>
        <v>1</v>
      </c>
      <c r="H305" s="717"/>
      <c r="I305" s="21">
        <f t="shared" si="56"/>
        <v>1</v>
      </c>
      <c r="J305" s="717"/>
      <c r="K305" s="21">
        <f t="shared" si="57"/>
        <v>1</v>
      </c>
      <c r="L305" s="717"/>
      <c r="M305" s="21">
        <f t="shared" si="58"/>
        <v>1</v>
      </c>
      <c r="N305" s="717"/>
      <c r="O305" s="21">
        <f t="shared" si="59"/>
        <v>1</v>
      </c>
      <c r="P305" s="717"/>
      <c r="Q305" s="21">
        <f t="shared" si="60"/>
        <v>1</v>
      </c>
      <c r="R305" s="713">
        <f t="shared" si="61"/>
        <v>0</v>
      </c>
      <c r="S305" s="358">
        <f t="shared" si="62"/>
        <v>0</v>
      </c>
    </row>
    <row r="306" spans="1:19">
      <c r="A306" s="156"/>
      <c r="B306" s="56"/>
      <c r="C306" s="21">
        <f t="shared" si="53"/>
        <v>1</v>
      </c>
      <c r="D306" s="717"/>
      <c r="E306" s="21">
        <f t="shared" si="54"/>
        <v>1</v>
      </c>
      <c r="F306" s="717"/>
      <c r="G306" s="21">
        <f t="shared" si="55"/>
        <v>1</v>
      </c>
      <c r="H306" s="717"/>
      <c r="I306" s="21">
        <f t="shared" si="56"/>
        <v>1</v>
      </c>
      <c r="J306" s="717"/>
      <c r="K306" s="21">
        <f t="shared" si="57"/>
        <v>1</v>
      </c>
      <c r="L306" s="717"/>
      <c r="M306" s="21">
        <f t="shared" si="58"/>
        <v>1</v>
      </c>
      <c r="N306" s="717"/>
      <c r="O306" s="21">
        <f t="shared" si="59"/>
        <v>1</v>
      </c>
      <c r="P306" s="717"/>
      <c r="Q306" s="21">
        <f t="shared" si="60"/>
        <v>1</v>
      </c>
      <c r="R306" s="713">
        <f t="shared" si="61"/>
        <v>0</v>
      </c>
      <c r="S306" s="358">
        <f t="shared" si="62"/>
        <v>0</v>
      </c>
    </row>
    <row r="307" spans="1:19">
      <c r="A307" s="156"/>
      <c r="B307" s="56"/>
      <c r="C307" s="21">
        <f t="shared" si="53"/>
        <v>1</v>
      </c>
      <c r="D307" s="717"/>
      <c r="E307" s="21">
        <f t="shared" si="54"/>
        <v>1</v>
      </c>
      <c r="F307" s="717"/>
      <c r="G307" s="21">
        <f t="shared" si="55"/>
        <v>1</v>
      </c>
      <c r="H307" s="717"/>
      <c r="I307" s="21">
        <f t="shared" si="56"/>
        <v>1</v>
      </c>
      <c r="J307" s="717"/>
      <c r="K307" s="21">
        <f t="shared" si="57"/>
        <v>1</v>
      </c>
      <c r="L307" s="717"/>
      <c r="M307" s="21">
        <f t="shared" si="58"/>
        <v>1</v>
      </c>
      <c r="N307" s="717"/>
      <c r="O307" s="21">
        <f t="shared" si="59"/>
        <v>1</v>
      </c>
      <c r="P307" s="717"/>
      <c r="Q307" s="21">
        <f t="shared" si="60"/>
        <v>1</v>
      </c>
      <c r="R307" s="713">
        <f t="shared" si="61"/>
        <v>0</v>
      </c>
      <c r="S307" s="358">
        <f t="shared" si="62"/>
        <v>0</v>
      </c>
    </row>
    <row r="308" spans="1:19">
      <c r="A308" s="156"/>
      <c r="B308" s="56"/>
      <c r="C308" s="21">
        <f t="shared" si="53"/>
        <v>1</v>
      </c>
      <c r="D308" s="717"/>
      <c r="E308" s="21">
        <f t="shared" si="54"/>
        <v>1</v>
      </c>
      <c r="F308" s="717"/>
      <c r="G308" s="21">
        <f t="shared" si="55"/>
        <v>1</v>
      </c>
      <c r="H308" s="717"/>
      <c r="I308" s="21">
        <f t="shared" si="56"/>
        <v>1</v>
      </c>
      <c r="J308" s="717"/>
      <c r="K308" s="21">
        <f t="shared" si="57"/>
        <v>1</v>
      </c>
      <c r="L308" s="717"/>
      <c r="M308" s="21">
        <f t="shared" si="58"/>
        <v>1</v>
      </c>
      <c r="N308" s="717"/>
      <c r="O308" s="21">
        <f t="shared" si="59"/>
        <v>1</v>
      </c>
      <c r="P308" s="717"/>
      <c r="Q308" s="21">
        <f t="shared" si="60"/>
        <v>1</v>
      </c>
      <c r="R308" s="713">
        <f t="shared" si="61"/>
        <v>0</v>
      </c>
      <c r="S308" s="358">
        <f t="shared" si="62"/>
        <v>0</v>
      </c>
    </row>
    <row r="309" spans="1:19">
      <c r="A309" s="156"/>
      <c r="B309" s="56"/>
      <c r="C309" s="21">
        <f t="shared" si="53"/>
        <v>1</v>
      </c>
      <c r="D309" s="717"/>
      <c r="E309" s="21">
        <f t="shared" si="54"/>
        <v>1</v>
      </c>
      <c r="F309" s="717"/>
      <c r="G309" s="21">
        <f t="shared" si="55"/>
        <v>1</v>
      </c>
      <c r="H309" s="717"/>
      <c r="I309" s="21">
        <f t="shared" si="56"/>
        <v>1</v>
      </c>
      <c r="J309" s="717"/>
      <c r="K309" s="21">
        <f t="shared" si="57"/>
        <v>1</v>
      </c>
      <c r="L309" s="717"/>
      <c r="M309" s="21">
        <f t="shared" si="58"/>
        <v>1</v>
      </c>
      <c r="N309" s="717"/>
      <c r="O309" s="21">
        <f t="shared" si="59"/>
        <v>1</v>
      </c>
      <c r="P309" s="717"/>
      <c r="Q309" s="21">
        <f t="shared" si="60"/>
        <v>1</v>
      </c>
      <c r="R309" s="713">
        <f t="shared" si="61"/>
        <v>0</v>
      </c>
      <c r="S309" s="358">
        <f t="shared" si="62"/>
        <v>0</v>
      </c>
    </row>
    <row r="310" spans="1:19">
      <c r="A310" s="156"/>
      <c r="B310" s="56"/>
      <c r="C310" s="21">
        <f t="shared" si="53"/>
        <v>1</v>
      </c>
      <c r="D310" s="717"/>
      <c r="E310" s="21">
        <f t="shared" si="54"/>
        <v>1</v>
      </c>
      <c r="F310" s="717"/>
      <c r="G310" s="21">
        <f t="shared" si="55"/>
        <v>1</v>
      </c>
      <c r="H310" s="717"/>
      <c r="I310" s="21">
        <f t="shared" si="56"/>
        <v>1</v>
      </c>
      <c r="J310" s="717"/>
      <c r="K310" s="21">
        <f t="shared" si="57"/>
        <v>1</v>
      </c>
      <c r="L310" s="717"/>
      <c r="M310" s="21">
        <f t="shared" si="58"/>
        <v>1</v>
      </c>
      <c r="N310" s="717"/>
      <c r="O310" s="21">
        <f t="shared" si="59"/>
        <v>1</v>
      </c>
      <c r="P310" s="717"/>
      <c r="Q310" s="21">
        <f t="shared" si="60"/>
        <v>1</v>
      </c>
      <c r="R310" s="713">
        <f t="shared" si="61"/>
        <v>0</v>
      </c>
      <c r="S310" s="358">
        <f t="shared" si="62"/>
        <v>0</v>
      </c>
    </row>
    <row r="311" spans="1:19">
      <c r="A311" s="156"/>
      <c r="B311" s="56"/>
      <c r="C311" s="21">
        <f t="shared" si="53"/>
        <v>1</v>
      </c>
      <c r="D311" s="717"/>
      <c r="E311" s="21">
        <f t="shared" si="54"/>
        <v>1</v>
      </c>
      <c r="F311" s="717"/>
      <c r="G311" s="21">
        <f t="shared" si="55"/>
        <v>1</v>
      </c>
      <c r="H311" s="717"/>
      <c r="I311" s="21">
        <f t="shared" si="56"/>
        <v>1</v>
      </c>
      <c r="J311" s="717"/>
      <c r="K311" s="21">
        <f t="shared" si="57"/>
        <v>1</v>
      </c>
      <c r="L311" s="717"/>
      <c r="M311" s="21">
        <f t="shared" si="58"/>
        <v>1</v>
      </c>
      <c r="N311" s="717"/>
      <c r="O311" s="21">
        <f t="shared" si="59"/>
        <v>1</v>
      </c>
      <c r="P311" s="717"/>
      <c r="Q311" s="21">
        <f t="shared" si="60"/>
        <v>1</v>
      </c>
      <c r="R311" s="713">
        <f t="shared" si="61"/>
        <v>0</v>
      </c>
      <c r="S311" s="358">
        <f t="shared" si="62"/>
        <v>0</v>
      </c>
    </row>
    <row r="312" spans="1:19">
      <c r="A312" s="156"/>
      <c r="B312" s="56"/>
      <c r="C312" s="21">
        <f t="shared" si="53"/>
        <v>1</v>
      </c>
      <c r="D312" s="717"/>
      <c r="E312" s="21">
        <f t="shared" si="54"/>
        <v>1</v>
      </c>
      <c r="F312" s="717"/>
      <c r="G312" s="21">
        <f t="shared" si="55"/>
        <v>1</v>
      </c>
      <c r="H312" s="717"/>
      <c r="I312" s="21">
        <f t="shared" si="56"/>
        <v>1</v>
      </c>
      <c r="J312" s="717"/>
      <c r="K312" s="21">
        <f t="shared" si="57"/>
        <v>1</v>
      </c>
      <c r="L312" s="717"/>
      <c r="M312" s="21">
        <f t="shared" si="58"/>
        <v>1</v>
      </c>
      <c r="N312" s="717"/>
      <c r="O312" s="21">
        <f t="shared" si="59"/>
        <v>1</v>
      </c>
      <c r="P312" s="717"/>
      <c r="Q312" s="21">
        <f t="shared" si="60"/>
        <v>1</v>
      </c>
      <c r="R312" s="713">
        <f t="shared" si="61"/>
        <v>0</v>
      </c>
      <c r="S312" s="358">
        <f t="shared" si="62"/>
        <v>0</v>
      </c>
    </row>
    <row r="313" spans="1:19">
      <c r="A313" s="156"/>
      <c r="B313" s="56"/>
      <c r="C313" s="21">
        <f t="shared" si="53"/>
        <v>1</v>
      </c>
      <c r="D313" s="717"/>
      <c r="E313" s="21">
        <f t="shared" si="54"/>
        <v>1</v>
      </c>
      <c r="F313" s="717"/>
      <c r="G313" s="21">
        <f t="shared" si="55"/>
        <v>1</v>
      </c>
      <c r="H313" s="717"/>
      <c r="I313" s="21">
        <f t="shared" si="56"/>
        <v>1</v>
      </c>
      <c r="J313" s="717"/>
      <c r="K313" s="21">
        <f t="shared" si="57"/>
        <v>1</v>
      </c>
      <c r="L313" s="717"/>
      <c r="M313" s="21">
        <f t="shared" si="58"/>
        <v>1</v>
      </c>
      <c r="N313" s="717"/>
      <c r="O313" s="21">
        <f t="shared" si="59"/>
        <v>1</v>
      </c>
      <c r="P313" s="717"/>
      <c r="Q313" s="21">
        <f t="shared" si="60"/>
        <v>1</v>
      </c>
      <c r="R313" s="713">
        <f t="shared" si="61"/>
        <v>0</v>
      </c>
      <c r="S313" s="358">
        <f t="shared" si="62"/>
        <v>0</v>
      </c>
    </row>
    <row r="314" spans="1:19">
      <c r="A314" s="156"/>
      <c r="B314" s="56"/>
      <c r="C314" s="21">
        <f t="shared" si="53"/>
        <v>1</v>
      </c>
      <c r="D314" s="717"/>
      <c r="E314" s="21">
        <f t="shared" si="54"/>
        <v>1</v>
      </c>
      <c r="F314" s="717"/>
      <c r="G314" s="21">
        <f t="shared" si="55"/>
        <v>1</v>
      </c>
      <c r="H314" s="717"/>
      <c r="I314" s="21">
        <f t="shared" si="56"/>
        <v>1</v>
      </c>
      <c r="J314" s="717"/>
      <c r="K314" s="21">
        <f t="shared" si="57"/>
        <v>1</v>
      </c>
      <c r="L314" s="717"/>
      <c r="M314" s="21">
        <f t="shared" si="58"/>
        <v>1</v>
      </c>
      <c r="N314" s="717"/>
      <c r="O314" s="21">
        <f t="shared" si="59"/>
        <v>1</v>
      </c>
      <c r="P314" s="717"/>
      <c r="Q314" s="21">
        <f t="shared" si="60"/>
        <v>1</v>
      </c>
      <c r="R314" s="713">
        <f t="shared" si="61"/>
        <v>0</v>
      </c>
      <c r="S314" s="358">
        <f t="shared" si="62"/>
        <v>0</v>
      </c>
    </row>
    <row r="315" spans="1:19">
      <c r="A315" s="156"/>
      <c r="B315" s="56"/>
      <c r="C315" s="21">
        <f t="shared" si="53"/>
        <v>1</v>
      </c>
      <c r="D315" s="717"/>
      <c r="E315" s="21">
        <f t="shared" si="54"/>
        <v>1</v>
      </c>
      <c r="F315" s="717"/>
      <c r="G315" s="21">
        <f t="shared" si="55"/>
        <v>1</v>
      </c>
      <c r="H315" s="717"/>
      <c r="I315" s="21">
        <f t="shared" si="56"/>
        <v>1</v>
      </c>
      <c r="J315" s="717"/>
      <c r="K315" s="21">
        <f t="shared" si="57"/>
        <v>1</v>
      </c>
      <c r="L315" s="717"/>
      <c r="M315" s="21">
        <f t="shared" si="58"/>
        <v>1</v>
      </c>
      <c r="N315" s="717"/>
      <c r="O315" s="21">
        <f t="shared" si="59"/>
        <v>1</v>
      </c>
      <c r="P315" s="717"/>
      <c r="Q315" s="21">
        <f t="shared" si="60"/>
        <v>1</v>
      </c>
      <c r="R315" s="713">
        <f t="shared" si="61"/>
        <v>0</v>
      </c>
      <c r="S315" s="358">
        <f t="shared" si="62"/>
        <v>0</v>
      </c>
    </row>
    <row r="316" spans="1:19">
      <c r="A316" s="156"/>
      <c r="B316" s="56"/>
      <c r="C316" s="21">
        <f t="shared" si="53"/>
        <v>1</v>
      </c>
      <c r="D316" s="717"/>
      <c r="E316" s="21">
        <f t="shared" si="54"/>
        <v>1</v>
      </c>
      <c r="F316" s="717"/>
      <c r="G316" s="21">
        <f t="shared" si="55"/>
        <v>1</v>
      </c>
      <c r="H316" s="717"/>
      <c r="I316" s="21">
        <f t="shared" si="56"/>
        <v>1</v>
      </c>
      <c r="J316" s="717"/>
      <c r="K316" s="21">
        <f t="shared" si="57"/>
        <v>1</v>
      </c>
      <c r="L316" s="717"/>
      <c r="M316" s="21">
        <f t="shared" si="58"/>
        <v>1</v>
      </c>
      <c r="N316" s="717"/>
      <c r="O316" s="21">
        <f t="shared" si="59"/>
        <v>1</v>
      </c>
      <c r="P316" s="717"/>
      <c r="Q316" s="21">
        <f t="shared" si="60"/>
        <v>1</v>
      </c>
      <c r="R316" s="713">
        <f t="shared" si="61"/>
        <v>0</v>
      </c>
      <c r="S316" s="358">
        <f t="shared" si="62"/>
        <v>0</v>
      </c>
    </row>
    <row r="317" spans="1:19">
      <c r="A317" s="156"/>
      <c r="B317" s="56"/>
      <c r="C317" s="21">
        <f t="shared" si="53"/>
        <v>1</v>
      </c>
      <c r="D317" s="717"/>
      <c r="E317" s="21">
        <f t="shared" si="54"/>
        <v>1</v>
      </c>
      <c r="F317" s="717"/>
      <c r="G317" s="21">
        <f t="shared" si="55"/>
        <v>1</v>
      </c>
      <c r="H317" s="717"/>
      <c r="I317" s="21">
        <f t="shared" si="56"/>
        <v>1</v>
      </c>
      <c r="J317" s="717"/>
      <c r="K317" s="21">
        <f t="shared" si="57"/>
        <v>1</v>
      </c>
      <c r="L317" s="717"/>
      <c r="M317" s="21">
        <f t="shared" si="58"/>
        <v>1</v>
      </c>
      <c r="N317" s="717"/>
      <c r="O317" s="21">
        <f t="shared" si="59"/>
        <v>1</v>
      </c>
      <c r="P317" s="717"/>
      <c r="Q317" s="21">
        <f t="shared" si="60"/>
        <v>1</v>
      </c>
      <c r="R317" s="713">
        <f t="shared" si="61"/>
        <v>0</v>
      </c>
      <c r="S317" s="358">
        <f t="shared" si="62"/>
        <v>0</v>
      </c>
    </row>
    <row r="318" spans="1:19">
      <c r="A318" s="156"/>
      <c r="B318" s="56"/>
      <c r="C318" s="21">
        <f t="shared" si="53"/>
        <v>1</v>
      </c>
      <c r="D318" s="717"/>
      <c r="E318" s="21">
        <f t="shared" si="54"/>
        <v>1</v>
      </c>
      <c r="F318" s="717"/>
      <c r="G318" s="21">
        <f t="shared" si="55"/>
        <v>1</v>
      </c>
      <c r="H318" s="717"/>
      <c r="I318" s="21">
        <f t="shared" si="56"/>
        <v>1</v>
      </c>
      <c r="J318" s="717"/>
      <c r="K318" s="21">
        <f t="shared" si="57"/>
        <v>1</v>
      </c>
      <c r="L318" s="717"/>
      <c r="M318" s="21">
        <f t="shared" si="58"/>
        <v>1</v>
      </c>
      <c r="N318" s="717"/>
      <c r="O318" s="21">
        <f t="shared" si="59"/>
        <v>1</v>
      </c>
      <c r="P318" s="717"/>
      <c r="Q318" s="21">
        <f t="shared" si="60"/>
        <v>1</v>
      </c>
      <c r="R318" s="713">
        <f t="shared" si="61"/>
        <v>0</v>
      </c>
      <c r="S318" s="358">
        <f t="shared" si="62"/>
        <v>0</v>
      </c>
    </row>
    <row r="319" spans="1:19">
      <c r="A319" s="156"/>
      <c r="B319" s="56"/>
      <c r="C319" s="21">
        <f t="shared" si="53"/>
        <v>1</v>
      </c>
      <c r="D319" s="717"/>
      <c r="E319" s="21">
        <f t="shared" si="54"/>
        <v>1</v>
      </c>
      <c r="F319" s="717"/>
      <c r="G319" s="21">
        <f t="shared" si="55"/>
        <v>1</v>
      </c>
      <c r="H319" s="717"/>
      <c r="I319" s="21">
        <f t="shared" si="56"/>
        <v>1</v>
      </c>
      <c r="J319" s="717"/>
      <c r="K319" s="21">
        <f t="shared" si="57"/>
        <v>1</v>
      </c>
      <c r="L319" s="717"/>
      <c r="M319" s="21">
        <f t="shared" si="58"/>
        <v>1</v>
      </c>
      <c r="N319" s="717"/>
      <c r="O319" s="21">
        <f t="shared" si="59"/>
        <v>1</v>
      </c>
      <c r="P319" s="717"/>
      <c r="Q319" s="21">
        <f t="shared" si="60"/>
        <v>1</v>
      </c>
      <c r="R319" s="713">
        <f t="shared" si="61"/>
        <v>0</v>
      </c>
      <c r="S319" s="358">
        <f t="shared" si="62"/>
        <v>0</v>
      </c>
    </row>
    <row r="320" spans="1:19">
      <c r="A320" s="156"/>
      <c r="B320" s="56"/>
      <c r="C320" s="21">
        <f t="shared" si="53"/>
        <v>1</v>
      </c>
      <c r="D320" s="717"/>
      <c r="E320" s="21">
        <f t="shared" si="54"/>
        <v>1</v>
      </c>
      <c r="F320" s="717"/>
      <c r="G320" s="21">
        <f t="shared" si="55"/>
        <v>1</v>
      </c>
      <c r="H320" s="717"/>
      <c r="I320" s="21">
        <f t="shared" si="56"/>
        <v>1</v>
      </c>
      <c r="J320" s="717"/>
      <c r="K320" s="21">
        <f t="shared" si="57"/>
        <v>1</v>
      </c>
      <c r="L320" s="717"/>
      <c r="M320" s="21">
        <f t="shared" si="58"/>
        <v>1</v>
      </c>
      <c r="N320" s="717"/>
      <c r="O320" s="21">
        <f t="shared" si="59"/>
        <v>1</v>
      </c>
      <c r="P320" s="717"/>
      <c r="Q320" s="21">
        <f t="shared" si="60"/>
        <v>1</v>
      </c>
      <c r="R320" s="713">
        <f t="shared" si="61"/>
        <v>0</v>
      </c>
      <c r="S320" s="358">
        <f t="shared" si="62"/>
        <v>0</v>
      </c>
    </row>
    <row r="321" spans="1:19">
      <c r="A321" s="156"/>
      <c r="B321" s="56"/>
      <c r="C321" s="21">
        <f t="shared" si="53"/>
        <v>1</v>
      </c>
      <c r="D321" s="717"/>
      <c r="E321" s="21">
        <f t="shared" si="54"/>
        <v>1</v>
      </c>
      <c r="F321" s="717"/>
      <c r="G321" s="21">
        <f t="shared" si="55"/>
        <v>1</v>
      </c>
      <c r="H321" s="717"/>
      <c r="I321" s="21">
        <f t="shared" si="56"/>
        <v>1</v>
      </c>
      <c r="J321" s="717"/>
      <c r="K321" s="21">
        <f t="shared" si="57"/>
        <v>1</v>
      </c>
      <c r="L321" s="717"/>
      <c r="M321" s="21">
        <f t="shared" si="58"/>
        <v>1</v>
      </c>
      <c r="N321" s="717"/>
      <c r="O321" s="21">
        <f t="shared" si="59"/>
        <v>1</v>
      </c>
      <c r="P321" s="717"/>
      <c r="Q321" s="21">
        <f t="shared" si="60"/>
        <v>1</v>
      </c>
      <c r="R321" s="713">
        <f t="shared" si="61"/>
        <v>0</v>
      </c>
      <c r="S321" s="358">
        <f t="shared" ref="S321:S384" si="63">ROUND(R321*B321/10000,0)</f>
        <v>0</v>
      </c>
    </row>
    <row r="322" spans="1:19">
      <c r="A322" s="156"/>
      <c r="B322" s="56"/>
      <c r="C322" s="21">
        <f t="shared" si="53"/>
        <v>1</v>
      </c>
      <c r="D322" s="717"/>
      <c r="E322" s="21">
        <f t="shared" si="54"/>
        <v>1</v>
      </c>
      <c r="F322" s="717"/>
      <c r="G322" s="21">
        <f t="shared" si="55"/>
        <v>1</v>
      </c>
      <c r="H322" s="717"/>
      <c r="I322" s="21">
        <f t="shared" si="56"/>
        <v>1</v>
      </c>
      <c r="J322" s="717"/>
      <c r="K322" s="21">
        <f t="shared" si="57"/>
        <v>1</v>
      </c>
      <c r="L322" s="717"/>
      <c r="M322" s="21">
        <f t="shared" si="58"/>
        <v>1</v>
      </c>
      <c r="N322" s="717"/>
      <c r="O322" s="21">
        <f t="shared" si="59"/>
        <v>1</v>
      </c>
      <c r="P322" s="717"/>
      <c r="Q322" s="21">
        <f t="shared" si="60"/>
        <v>1</v>
      </c>
      <c r="R322" s="713">
        <f t="shared" si="61"/>
        <v>0</v>
      </c>
      <c r="S322" s="358">
        <f t="shared" si="63"/>
        <v>0</v>
      </c>
    </row>
    <row r="323" spans="1:19">
      <c r="A323" s="156"/>
      <c r="B323" s="56"/>
      <c r="C323" s="21">
        <f t="shared" si="53"/>
        <v>1</v>
      </c>
      <c r="D323" s="717"/>
      <c r="E323" s="21">
        <f t="shared" si="54"/>
        <v>1</v>
      </c>
      <c r="F323" s="717"/>
      <c r="G323" s="21">
        <f t="shared" si="55"/>
        <v>1</v>
      </c>
      <c r="H323" s="717"/>
      <c r="I323" s="21">
        <f t="shared" si="56"/>
        <v>1</v>
      </c>
      <c r="J323" s="717"/>
      <c r="K323" s="21">
        <f t="shared" si="57"/>
        <v>1</v>
      </c>
      <c r="L323" s="717"/>
      <c r="M323" s="21">
        <f t="shared" si="58"/>
        <v>1</v>
      </c>
      <c r="N323" s="717"/>
      <c r="O323" s="21">
        <f t="shared" si="59"/>
        <v>1</v>
      </c>
      <c r="P323" s="717"/>
      <c r="Q323" s="21">
        <f t="shared" si="60"/>
        <v>1</v>
      </c>
      <c r="R323" s="713">
        <f t="shared" si="61"/>
        <v>0</v>
      </c>
      <c r="S323" s="358">
        <f t="shared" si="63"/>
        <v>0</v>
      </c>
    </row>
    <row r="324" spans="1:19">
      <c r="A324" s="156"/>
      <c r="B324" s="56"/>
      <c r="C324" s="21">
        <f t="shared" si="53"/>
        <v>1</v>
      </c>
      <c r="D324" s="717"/>
      <c r="E324" s="21">
        <f t="shared" si="54"/>
        <v>1</v>
      </c>
      <c r="F324" s="717"/>
      <c r="G324" s="21">
        <f t="shared" si="55"/>
        <v>1</v>
      </c>
      <c r="H324" s="717"/>
      <c r="I324" s="21">
        <f t="shared" si="56"/>
        <v>1</v>
      </c>
      <c r="J324" s="717"/>
      <c r="K324" s="21">
        <f t="shared" si="57"/>
        <v>1</v>
      </c>
      <c r="L324" s="717"/>
      <c r="M324" s="21">
        <f t="shared" si="58"/>
        <v>1</v>
      </c>
      <c r="N324" s="717"/>
      <c r="O324" s="21">
        <f t="shared" si="59"/>
        <v>1</v>
      </c>
      <c r="P324" s="717"/>
      <c r="Q324" s="21">
        <f t="shared" si="60"/>
        <v>1</v>
      </c>
      <c r="R324" s="713">
        <f t="shared" si="61"/>
        <v>0</v>
      </c>
      <c r="S324" s="358">
        <f t="shared" si="63"/>
        <v>0</v>
      </c>
    </row>
    <row r="325" spans="1:19">
      <c r="A325" s="156"/>
      <c r="B325" s="56"/>
      <c r="C325" s="21">
        <f t="shared" si="53"/>
        <v>1</v>
      </c>
      <c r="D325" s="717"/>
      <c r="E325" s="21">
        <f t="shared" si="54"/>
        <v>1</v>
      </c>
      <c r="F325" s="717"/>
      <c r="G325" s="21">
        <f t="shared" si="55"/>
        <v>1</v>
      </c>
      <c r="H325" s="717"/>
      <c r="I325" s="21">
        <f t="shared" si="56"/>
        <v>1</v>
      </c>
      <c r="J325" s="717"/>
      <c r="K325" s="21">
        <f t="shared" si="57"/>
        <v>1</v>
      </c>
      <c r="L325" s="717"/>
      <c r="M325" s="21">
        <f t="shared" si="58"/>
        <v>1</v>
      </c>
      <c r="N325" s="717"/>
      <c r="O325" s="21">
        <f t="shared" si="59"/>
        <v>1</v>
      </c>
      <c r="P325" s="717"/>
      <c r="Q325" s="21">
        <f t="shared" si="60"/>
        <v>1</v>
      </c>
      <c r="R325" s="713">
        <f t="shared" si="61"/>
        <v>0</v>
      </c>
      <c r="S325" s="358">
        <f t="shared" si="63"/>
        <v>0</v>
      </c>
    </row>
    <row r="326" spans="1:19">
      <c r="A326" s="156"/>
      <c r="B326" s="56"/>
      <c r="C326" s="21">
        <f t="shared" si="53"/>
        <v>1</v>
      </c>
      <c r="D326" s="717"/>
      <c r="E326" s="21">
        <f t="shared" si="54"/>
        <v>1</v>
      </c>
      <c r="F326" s="717"/>
      <c r="G326" s="21">
        <f t="shared" si="55"/>
        <v>1</v>
      </c>
      <c r="H326" s="717"/>
      <c r="I326" s="21">
        <f t="shared" si="56"/>
        <v>1</v>
      </c>
      <c r="J326" s="717"/>
      <c r="K326" s="21">
        <f t="shared" si="57"/>
        <v>1</v>
      </c>
      <c r="L326" s="717"/>
      <c r="M326" s="21">
        <f t="shared" si="58"/>
        <v>1</v>
      </c>
      <c r="N326" s="717"/>
      <c r="O326" s="21">
        <f t="shared" si="59"/>
        <v>1</v>
      </c>
      <c r="P326" s="717"/>
      <c r="Q326" s="21">
        <f t="shared" si="60"/>
        <v>1</v>
      </c>
      <c r="R326" s="713">
        <f t="shared" si="61"/>
        <v>0</v>
      </c>
      <c r="S326" s="358">
        <f t="shared" si="63"/>
        <v>0</v>
      </c>
    </row>
    <row r="327" spans="1:19">
      <c r="A327" s="156"/>
      <c r="B327" s="56"/>
      <c r="C327" s="21">
        <f t="shared" si="53"/>
        <v>1</v>
      </c>
      <c r="D327" s="717"/>
      <c r="E327" s="21">
        <f t="shared" si="54"/>
        <v>1</v>
      </c>
      <c r="F327" s="717"/>
      <c r="G327" s="21">
        <f t="shared" si="55"/>
        <v>1</v>
      </c>
      <c r="H327" s="717"/>
      <c r="I327" s="21">
        <f t="shared" si="56"/>
        <v>1</v>
      </c>
      <c r="J327" s="717"/>
      <c r="K327" s="21">
        <f t="shared" si="57"/>
        <v>1</v>
      </c>
      <c r="L327" s="717"/>
      <c r="M327" s="21">
        <f t="shared" si="58"/>
        <v>1</v>
      </c>
      <c r="N327" s="717"/>
      <c r="O327" s="21">
        <f t="shared" si="59"/>
        <v>1</v>
      </c>
      <c r="P327" s="717"/>
      <c r="Q327" s="21">
        <f t="shared" si="60"/>
        <v>1</v>
      </c>
      <c r="R327" s="713">
        <f t="shared" si="61"/>
        <v>0</v>
      </c>
      <c r="S327" s="358">
        <f t="shared" si="63"/>
        <v>0</v>
      </c>
    </row>
    <row r="328" spans="1:19">
      <c r="A328" s="156"/>
      <c r="B328" s="56"/>
      <c r="C328" s="21">
        <f t="shared" si="53"/>
        <v>1</v>
      </c>
      <c r="D328" s="717"/>
      <c r="E328" s="21">
        <f t="shared" si="54"/>
        <v>1</v>
      </c>
      <c r="F328" s="717"/>
      <c r="G328" s="21">
        <f t="shared" si="55"/>
        <v>1</v>
      </c>
      <c r="H328" s="717"/>
      <c r="I328" s="21">
        <f t="shared" si="56"/>
        <v>1</v>
      </c>
      <c r="J328" s="717"/>
      <c r="K328" s="21">
        <f t="shared" si="57"/>
        <v>1</v>
      </c>
      <c r="L328" s="717"/>
      <c r="M328" s="21">
        <f t="shared" si="58"/>
        <v>1</v>
      </c>
      <c r="N328" s="717"/>
      <c r="O328" s="21">
        <f t="shared" si="59"/>
        <v>1</v>
      </c>
      <c r="P328" s="717"/>
      <c r="Q328" s="21">
        <f t="shared" si="60"/>
        <v>1</v>
      </c>
      <c r="R328" s="713">
        <f t="shared" si="61"/>
        <v>0</v>
      </c>
      <c r="S328" s="358">
        <f t="shared" si="63"/>
        <v>0</v>
      </c>
    </row>
    <row r="329" spans="1:19">
      <c r="A329" s="156"/>
      <c r="B329" s="56"/>
      <c r="C329" s="21">
        <f t="shared" si="53"/>
        <v>1</v>
      </c>
      <c r="D329" s="717"/>
      <c r="E329" s="21">
        <f t="shared" si="54"/>
        <v>1</v>
      </c>
      <c r="F329" s="717"/>
      <c r="G329" s="21">
        <f t="shared" si="55"/>
        <v>1</v>
      </c>
      <c r="H329" s="717"/>
      <c r="I329" s="21">
        <f t="shared" si="56"/>
        <v>1</v>
      </c>
      <c r="J329" s="717"/>
      <c r="K329" s="21">
        <f t="shared" si="57"/>
        <v>1</v>
      </c>
      <c r="L329" s="717"/>
      <c r="M329" s="21">
        <f t="shared" si="58"/>
        <v>1</v>
      </c>
      <c r="N329" s="717"/>
      <c r="O329" s="21">
        <f t="shared" si="59"/>
        <v>1</v>
      </c>
      <c r="P329" s="717"/>
      <c r="Q329" s="21">
        <f t="shared" si="60"/>
        <v>1</v>
      </c>
      <c r="R329" s="713">
        <f t="shared" si="61"/>
        <v>0</v>
      </c>
      <c r="S329" s="358">
        <f t="shared" si="63"/>
        <v>0</v>
      </c>
    </row>
    <row r="330" spans="1:19">
      <c r="A330" s="156"/>
      <c r="B330" s="56"/>
      <c r="C330" s="21">
        <f t="shared" si="53"/>
        <v>1</v>
      </c>
      <c r="D330" s="717"/>
      <c r="E330" s="21">
        <f t="shared" si="54"/>
        <v>1</v>
      </c>
      <c r="F330" s="717"/>
      <c r="G330" s="21">
        <f t="shared" si="55"/>
        <v>1</v>
      </c>
      <c r="H330" s="717"/>
      <c r="I330" s="21">
        <f t="shared" si="56"/>
        <v>1</v>
      </c>
      <c r="J330" s="717"/>
      <c r="K330" s="21">
        <f t="shared" si="57"/>
        <v>1</v>
      </c>
      <c r="L330" s="717"/>
      <c r="M330" s="21">
        <f t="shared" si="58"/>
        <v>1</v>
      </c>
      <c r="N330" s="717"/>
      <c r="O330" s="21">
        <f t="shared" si="59"/>
        <v>1</v>
      </c>
      <c r="P330" s="717"/>
      <c r="Q330" s="21">
        <f t="shared" si="60"/>
        <v>1</v>
      </c>
      <c r="R330" s="713">
        <f t="shared" si="61"/>
        <v>0</v>
      </c>
      <c r="S330" s="358">
        <f t="shared" si="63"/>
        <v>0</v>
      </c>
    </row>
    <row r="331" spans="1:19">
      <c r="A331" s="156"/>
      <c r="B331" s="56"/>
      <c r="C331" s="21">
        <f t="shared" si="53"/>
        <v>1</v>
      </c>
      <c r="D331" s="717"/>
      <c r="E331" s="21">
        <f t="shared" si="54"/>
        <v>1</v>
      </c>
      <c r="F331" s="717"/>
      <c r="G331" s="21">
        <f t="shared" si="55"/>
        <v>1</v>
      </c>
      <c r="H331" s="717"/>
      <c r="I331" s="21">
        <f t="shared" si="56"/>
        <v>1</v>
      </c>
      <c r="J331" s="717"/>
      <c r="K331" s="21">
        <f t="shared" si="57"/>
        <v>1</v>
      </c>
      <c r="L331" s="717"/>
      <c r="M331" s="21">
        <f t="shared" si="58"/>
        <v>1</v>
      </c>
      <c r="N331" s="717"/>
      <c r="O331" s="21">
        <f t="shared" si="59"/>
        <v>1</v>
      </c>
      <c r="P331" s="717"/>
      <c r="Q331" s="21">
        <f t="shared" si="60"/>
        <v>1</v>
      </c>
      <c r="R331" s="713">
        <f t="shared" si="61"/>
        <v>0</v>
      </c>
      <c r="S331" s="358">
        <f t="shared" si="63"/>
        <v>0</v>
      </c>
    </row>
    <row r="332" spans="1:19">
      <c r="A332" s="156"/>
      <c r="B332" s="56"/>
      <c r="C332" s="21">
        <f t="shared" si="53"/>
        <v>1</v>
      </c>
      <c r="D332" s="717"/>
      <c r="E332" s="21">
        <f t="shared" si="54"/>
        <v>1</v>
      </c>
      <c r="F332" s="717"/>
      <c r="G332" s="21">
        <f t="shared" si="55"/>
        <v>1</v>
      </c>
      <c r="H332" s="717"/>
      <c r="I332" s="21">
        <f t="shared" si="56"/>
        <v>1</v>
      </c>
      <c r="J332" s="717"/>
      <c r="K332" s="21">
        <f t="shared" si="57"/>
        <v>1</v>
      </c>
      <c r="L332" s="717"/>
      <c r="M332" s="21">
        <f t="shared" si="58"/>
        <v>1</v>
      </c>
      <c r="N332" s="717"/>
      <c r="O332" s="21">
        <f t="shared" si="59"/>
        <v>1</v>
      </c>
      <c r="P332" s="717"/>
      <c r="Q332" s="21">
        <f t="shared" si="60"/>
        <v>1</v>
      </c>
      <c r="R332" s="713">
        <f t="shared" si="61"/>
        <v>0</v>
      </c>
      <c r="S332" s="358">
        <f t="shared" si="63"/>
        <v>0</v>
      </c>
    </row>
    <row r="333" spans="1:19">
      <c r="A333" s="156"/>
      <c r="B333" s="56"/>
      <c r="C333" s="21">
        <f t="shared" si="53"/>
        <v>1</v>
      </c>
      <c r="D333" s="717"/>
      <c r="E333" s="21">
        <f t="shared" si="54"/>
        <v>1</v>
      </c>
      <c r="F333" s="717"/>
      <c r="G333" s="21">
        <f t="shared" si="55"/>
        <v>1</v>
      </c>
      <c r="H333" s="717"/>
      <c r="I333" s="21">
        <f t="shared" si="56"/>
        <v>1</v>
      </c>
      <c r="J333" s="717"/>
      <c r="K333" s="21">
        <f t="shared" si="57"/>
        <v>1</v>
      </c>
      <c r="L333" s="717"/>
      <c r="M333" s="21">
        <f t="shared" si="58"/>
        <v>1</v>
      </c>
      <c r="N333" s="717"/>
      <c r="O333" s="21">
        <f t="shared" si="59"/>
        <v>1</v>
      </c>
      <c r="P333" s="717"/>
      <c r="Q333" s="21">
        <f t="shared" si="60"/>
        <v>1</v>
      </c>
      <c r="R333" s="713">
        <f t="shared" si="61"/>
        <v>0</v>
      </c>
      <c r="S333" s="358">
        <f t="shared" si="63"/>
        <v>0</v>
      </c>
    </row>
    <row r="334" spans="1:19">
      <c r="A334" s="156"/>
      <c r="B334" s="56"/>
      <c r="C334" s="21">
        <f t="shared" si="53"/>
        <v>1</v>
      </c>
      <c r="D334" s="717"/>
      <c r="E334" s="21">
        <f t="shared" si="54"/>
        <v>1</v>
      </c>
      <c r="F334" s="717"/>
      <c r="G334" s="21">
        <f t="shared" si="55"/>
        <v>1</v>
      </c>
      <c r="H334" s="717"/>
      <c r="I334" s="21">
        <f t="shared" si="56"/>
        <v>1</v>
      </c>
      <c r="J334" s="717"/>
      <c r="K334" s="21">
        <f t="shared" si="57"/>
        <v>1</v>
      </c>
      <c r="L334" s="717"/>
      <c r="M334" s="21">
        <f t="shared" si="58"/>
        <v>1</v>
      </c>
      <c r="N334" s="717"/>
      <c r="O334" s="21">
        <f t="shared" si="59"/>
        <v>1</v>
      </c>
      <c r="P334" s="717"/>
      <c r="Q334" s="21">
        <f t="shared" si="60"/>
        <v>1</v>
      </c>
      <c r="R334" s="713">
        <f t="shared" si="61"/>
        <v>0</v>
      </c>
      <c r="S334" s="358">
        <f t="shared" si="63"/>
        <v>0</v>
      </c>
    </row>
    <row r="335" spans="1:19">
      <c r="A335" s="156"/>
      <c r="B335" s="56"/>
      <c r="C335" s="21">
        <f t="shared" si="53"/>
        <v>1</v>
      </c>
      <c r="D335" s="717"/>
      <c r="E335" s="21">
        <f t="shared" si="54"/>
        <v>1</v>
      </c>
      <c r="F335" s="717"/>
      <c r="G335" s="21">
        <f t="shared" si="55"/>
        <v>1</v>
      </c>
      <c r="H335" s="717"/>
      <c r="I335" s="21">
        <f t="shared" si="56"/>
        <v>1</v>
      </c>
      <c r="J335" s="717"/>
      <c r="K335" s="21">
        <f t="shared" si="57"/>
        <v>1</v>
      </c>
      <c r="L335" s="717"/>
      <c r="M335" s="21">
        <f t="shared" si="58"/>
        <v>1</v>
      </c>
      <c r="N335" s="717"/>
      <c r="O335" s="21">
        <f t="shared" si="59"/>
        <v>1</v>
      </c>
      <c r="P335" s="717"/>
      <c r="Q335" s="21">
        <f t="shared" si="60"/>
        <v>1</v>
      </c>
      <c r="R335" s="713">
        <f t="shared" si="61"/>
        <v>0</v>
      </c>
      <c r="S335" s="358">
        <f t="shared" si="63"/>
        <v>0</v>
      </c>
    </row>
    <row r="336" spans="1:19">
      <c r="A336" s="156"/>
      <c r="B336" s="56"/>
      <c r="C336" s="21">
        <f t="shared" si="53"/>
        <v>1</v>
      </c>
      <c r="D336" s="717"/>
      <c r="E336" s="21">
        <f t="shared" si="54"/>
        <v>1</v>
      </c>
      <c r="F336" s="717"/>
      <c r="G336" s="21">
        <f t="shared" si="55"/>
        <v>1</v>
      </c>
      <c r="H336" s="717"/>
      <c r="I336" s="21">
        <f t="shared" si="56"/>
        <v>1</v>
      </c>
      <c r="J336" s="717"/>
      <c r="K336" s="21">
        <f t="shared" si="57"/>
        <v>1</v>
      </c>
      <c r="L336" s="717"/>
      <c r="M336" s="21">
        <f t="shared" si="58"/>
        <v>1</v>
      </c>
      <c r="N336" s="717"/>
      <c r="O336" s="21">
        <f t="shared" si="59"/>
        <v>1</v>
      </c>
      <c r="P336" s="717"/>
      <c r="Q336" s="21">
        <f t="shared" si="60"/>
        <v>1</v>
      </c>
      <c r="R336" s="713">
        <f t="shared" si="61"/>
        <v>0</v>
      </c>
      <c r="S336" s="358">
        <f t="shared" si="63"/>
        <v>0</v>
      </c>
    </row>
    <row r="337" spans="1:19">
      <c r="A337" s="156"/>
      <c r="B337" s="56"/>
      <c r="C337" s="21">
        <f t="shared" si="53"/>
        <v>1</v>
      </c>
      <c r="D337" s="717"/>
      <c r="E337" s="21">
        <f t="shared" si="54"/>
        <v>1</v>
      </c>
      <c r="F337" s="717"/>
      <c r="G337" s="21">
        <f t="shared" si="55"/>
        <v>1</v>
      </c>
      <c r="H337" s="717"/>
      <c r="I337" s="21">
        <f t="shared" si="56"/>
        <v>1</v>
      </c>
      <c r="J337" s="717"/>
      <c r="K337" s="21">
        <f t="shared" si="57"/>
        <v>1</v>
      </c>
      <c r="L337" s="717"/>
      <c r="M337" s="21">
        <f t="shared" si="58"/>
        <v>1</v>
      </c>
      <c r="N337" s="717"/>
      <c r="O337" s="21">
        <f t="shared" si="59"/>
        <v>1</v>
      </c>
      <c r="P337" s="717"/>
      <c r="Q337" s="21">
        <f t="shared" si="60"/>
        <v>1</v>
      </c>
      <c r="R337" s="713">
        <f t="shared" si="61"/>
        <v>0</v>
      </c>
      <c r="S337" s="358">
        <f t="shared" si="63"/>
        <v>0</v>
      </c>
    </row>
    <row r="338" spans="1:19">
      <c r="A338" s="156"/>
      <c r="B338" s="56"/>
      <c r="C338" s="21">
        <f t="shared" si="53"/>
        <v>1</v>
      </c>
      <c r="D338" s="717"/>
      <c r="E338" s="21">
        <f t="shared" si="54"/>
        <v>1</v>
      </c>
      <c r="F338" s="717"/>
      <c r="G338" s="21">
        <f t="shared" si="55"/>
        <v>1</v>
      </c>
      <c r="H338" s="717"/>
      <c r="I338" s="21">
        <f t="shared" si="56"/>
        <v>1</v>
      </c>
      <c r="J338" s="717"/>
      <c r="K338" s="21">
        <f t="shared" si="57"/>
        <v>1</v>
      </c>
      <c r="L338" s="717"/>
      <c r="M338" s="21">
        <f t="shared" si="58"/>
        <v>1</v>
      </c>
      <c r="N338" s="717"/>
      <c r="O338" s="21">
        <f t="shared" si="59"/>
        <v>1</v>
      </c>
      <c r="P338" s="717"/>
      <c r="Q338" s="21">
        <f t="shared" si="60"/>
        <v>1</v>
      </c>
      <c r="R338" s="713">
        <f t="shared" si="61"/>
        <v>0</v>
      </c>
      <c r="S338" s="358">
        <f t="shared" si="63"/>
        <v>0</v>
      </c>
    </row>
    <row r="339" spans="1:19">
      <c r="A339" s="156"/>
      <c r="B339" s="56"/>
      <c r="C339" s="21">
        <f t="shared" si="53"/>
        <v>1</v>
      </c>
      <c r="D339" s="717"/>
      <c r="E339" s="21">
        <f t="shared" si="54"/>
        <v>1</v>
      </c>
      <c r="F339" s="717"/>
      <c r="G339" s="21">
        <f t="shared" si="55"/>
        <v>1</v>
      </c>
      <c r="H339" s="717"/>
      <c r="I339" s="21">
        <f t="shared" si="56"/>
        <v>1</v>
      </c>
      <c r="J339" s="717"/>
      <c r="K339" s="21">
        <f t="shared" si="57"/>
        <v>1</v>
      </c>
      <c r="L339" s="717"/>
      <c r="M339" s="21">
        <f t="shared" si="58"/>
        <v>1</v>
      </c>
      <c r="N339" s="717"/>
      <c r="O339" s="21">
        <f t="shared" si="59"/>
        <v>1</v>
      </c>
      <c r="P339" s="717"/>
      <c r="Q339" s="21">
        <f t="shared" si="60"/>
        <v>1</v>
      </c>
      <c r="R339" s="713">
        <f t="shared" si="61"/>
        <v>0</v>
      </c>
      <c r="S339" s="358">
        <f t="shared" si="63"/>
        <v>0</v>
      </c>
    </row>
    <row r="340" spans="1:19">
      <c r="A340" s="156"/>
      <c r="B340" s="56"/>
      <c r="C340" s="21">
        <f t="shared" si="53"/>
        <v>1</v>
      </c>
      <c r="D340" s="717"/>
      <c r="E340" s="21">
        <f t="shared" si="54"/>
        <v>1</v>
      </c>
      <c r="F340" s="717"/>
      <c r="G340" s="21">
        <f t="shared" si="55"/>
        <v>1</v>
      </c>
      <c r="H340" s="717"/>
      <c r="I340" s="21">
        <f t="shared" si="56"/>
        <v>1</v>
      </c>
      <c r="J340" s="717"/>
      <c r="K340" s="21">
        <f t="shared" si="57"/>
        <v>1</v>
      </c>
      <c r="L340" s="717"/>
      <c r="M340" s="21">
        <f t="shared" si="58"/>
        <v>1</v>
      </c>
      <c r="N340" s="717"/>
      <c r="O340" s="21">
        <f t="shared" si="59"/>
        <v>1</v>
      </c>
      <c r="P340" s="717"/>
      <c r="Q340" s="21">
        <f t="shared" si="60"/>
        <v>1</v>
      </c>
      <c r="R340" s="713">
        <f t="shared" si="61"/>
        <v>0</v>
      </c>
      <c r="S340" s="358">
        <f t="shared" si="63"/>
        <v>0</v>
      </c>
    </row>
    <row r="341" spans="1:19">
      <c r="A341" s="156"/>
      <c r="B341" s="56"/>
      <c r="C341" s="21">
        <f t="shared" si="53"/>
        <v>1</v>
      </c>
      <c r="D341" s="717"/>
      <c r="E341" s="21">
        <f t="shared" si="54"/>
        <v>1</v>
      </c>
      <c r="F341" s="717"/>
      <c r="G341" s="21">
        <f t="shared" si="55"/>
        <v>1</v>
      </c>
      <c r="H341" s="717"/>
      <c r="I341" s="21">
        <f t="shared" si="56"/>
        <v>1</v>
      </c>
      <c r="J341" s="717"/>
      <c r="K341" s="21">
        <f t="shared" si="57"/>
        <v>1</v>
      </c>
      <c r="L341" s="717"/>
      <c r="M341" s="21">
        <f t="shared" si="58"/>
        <v>1</v>
      </c>
      <c r="N341" s="717"/>
      <c r="O341" s="21">
        <f t="shared" si="59"/>
        <v>1</v>
      </c>
      <c r="P341" s="717"/>
      <c r="Q341" s="21">
        <f t="shared" si="60"/>
        <v>1</v>
      </c>
      <c r="R341" s="713">
        <f t="shared" si="61"/>
        <v>0</v>
      </c>
      <c r="S341" s="358">
        <f t="shared" si="63"/>
        <v>0</v>
      </c>
    </row>
    <row r="342" spans="1:19">
      <c r="A342" s="156"/>
      <c r="B342" s="56"/>
      <c r="C342" s="21">
        <f t="shared" si="53"/>
        <v>1</v>
      </c>
      <c r="D342" s="717"/>
      <c r="E342" s="21">
        <f t="shared" si="54"/>
        <v>1</v>
      </c>
      <c r="F342" s="717"/>
      <c r="G342" s="21">
        <f t="shared" si="55"/>
        <v>1</v>
      </c>
      <c r="H342" s="717"/>
      <c r="I342" s="21">
        <f t="shared" si="56"/>
        <v>1</v>
      </c>
      <c r="J342" s="717"/>
      <c r="K342" s="21">
        <f t="shared" si="57"/>
        <v>1</v>
      </c>
      <c r="L342" s="717"/>
      <c r="M342" s="21">
        <f t="shared" si="58"/>
        <v>1</v>
      </c>
      <c r="N342" s="717"/>
      <c r="O342" s="21">
        <f t="shared" si="59"/>
        <v>1</v>
      </c>
      <c r="P342" s="717"/>
      <c r="Q342" s="21">
        <f t="shared" si="60"/>
        <v>1</v>
      </c>
      <c r="R342" s="713">
        <f t="shared" si="61"/>
        <v>0</v>
      </c>
      <c r="S342" s="358">
        <f t="shared" si="63"/>
        <v>0</v>
      </c>
    </row>
    <row r="343" spans="1:19">
      <c r="A343" s="156"/>
      <c r="B343" s="56"/>
      <c r="C343" s="21">
        <f t="shared" si="53"/>
        <v>1</v>
      </c>
      <c r="D343" s="717"/>
      <c r="E343" s="21">
        <f t="shared" si="54"/>
        <v>1</v>
      </c>
      <c r="F343" s="717"/>
      <c r="G343" s="21">
        <f t="shared" si="55"/>
        <v>1</v>
      </c>
      <c r="H343" s="717"/>
      <c r="I343" s="21">
        <f t="shared" si="56"/>
        <v>1</v>
      </c>
      <c r="J343" s="717"/>
      <c r="K343" s="21">
        <f t="shared" si="57"/>
        <v>1</v>
      </c>
      <c r="L343" s="717"/>
      <c r="M343" s="21">
        <f t="shared" si="58"/>
        <v>1</v>
      </c>
      <c r="N343" s="717"/>
      <c r="O343" s="21">
        <f t="shared" si="59"/>
        <v>1</v>
      </c>
      <c r="P343" s="717"/>
      <c r="Q343" s="21">
        <f t="shared" si="60"/>
        <v>1</v>
      </c>
      <c r="R343" s="713">
        <f t="shared" si="61"/>
        <v>0</v>
      </c>
      <c r="S343" s="358">
        <f t="shared" si="63"/>
        <v>0</v>
      </c>
    </row>
    <row r="344" spans="1:19">
      <c r="A344" s="156"/>
      <c r="B344" s="56"/>
      <c r="C344" s="21">
        <f t="shared" si="53"/>
        <v>1</v>
      </c>
      <c r="D344" s="717"/>
      <c r="E344" s="21">
        <f t="shared" si="54"/>
        <v>1</v>
      </c>
      <c r="F344" s="717"/>
      <c r="G344" s="21">
        <f t="shared" si="55"/>
        <v>1</v>
      </c>
      <c r="H344" s="717"/>
      <c r="I344" s="21">
        <f t="shared" si="56"/>
        <v>1</v>
      </c>
      <c r="J344" s="717"/>
      <c r="K344" s="21">
        <f t="shared" si="57"/>
        <v>1</v>
      </c>
      <c r="L344" s="717"/>
      <c r="M344" s="21">
        <f t="shared" si="58"/>
        <v>1</v>
      </c>
      <c r="N344" s="717"/>
      <c r="O344" s="21">
        <f t="shared" si="59"/>
        <v>1</v>
      </c>
      <c r="P344" s="717"/>
      <c r="Q344" s="21">
        <f t="shared" si="60"/>
        <v>1</v>
      </c>
      <c r="R344" s="713">
        <f t="shared" si="61"/>
        <v>0</v>
      </c>
      <c r="S344" s="358">
        <f t="shared" si="63"/>
        <v>0</v>
      </c>
    </row>
    <row r="345" spans="1:19">
      <c r="A345" s="156"/>
      <c r="B345" s="56"/>
      <c r="C345" s="21">
        <f t="shared" si="53"/>
        <v>1</v>
      </c>
      <c r="D345" s="717"/>
      <c r="E345" s="21">
        <f t="shared" si="54"/>
        <v>1</v>
      </c>
      <c r="F345" s="717"/>
      <c r="G345" s="21">
        <f t="shared" si="55"/>
        <v>1</v>
      </c>
      <c r="H345" s="717"/>
      <c r="I345" s="21">
        <f t="shared" si="56"/>
        <v>1</v>
      </c>
      <c r="J345" s="717"/>
      <c r="K345" s="21">
        <f t="shared" si="57"/>
        <v>1</v>
      </c>
      <c r="L345" s="717"/>
      <c r="M345" s="21">
        <f t="shared" si="58"/>
        <v>1</v>
      </c>
      <c r="N345" s="717"/>
      <c r="O345" s="21">
        <f t="shared" si="59"/>
        <v>1</v>
      </c>
      <c r="P345" s="717"/>
      <c r="Q345" s="21">
        <f t="shared" si="60"/>
        <v>1</v>
      </c>
      <c r="R345" s="713">
        <f t="shared" si="61"/>
        <v>0</v>
      </c>
      <c r="S345" s="358">
        <f t="shared" si="63"/>
        <v>0</v>
      </c>
    </row>
    <row r="346" spans="1:19">
      <c r="A346" s="156"/>
      <c r="B346" s="56"/>
      <c r="C346" s="21">
        <f t="shared" ref="C346:C409" si="64">IF(B346="",1,(LOOKUP(B346,$3:$3,$4:$4)-LOOKUP($B$24,$3:$3,$4:$4)+100)/100)</f>
        <v>1</v>
      </c>
      <c r="D346" s="717"/>
      <c r="E346" s="21">
        <f t="shared" ref="E346:E409" si="65">(SUMIF($5:$5,D346,$6:$6)-SUMIF($5:$5,$D$24,$6:$6)+100)/100</f>
        <v>1</v>
      </c>
      <c r="F346" s="717"/>
      <c r="G346" s="21">
        <f t="shared" ref="G346:G409" si="66">(SUMIF($7:$7,F346,$8:$8)-SUMIF($7:$7,$F$24,$8:$8)+100)/100</f>
        <v>1</v>
      </c>
      <c r="H346" s="717"/>
      <c r="I346" s="21">
        <f t="shared" ref="I346:I409" si="67">(SUMIF($9:$9,H346,$10:$10)-SUMIF($9:$9,$H$24,$10:$10)+100)/100</f>
        <v>1</v>
      </c>
      <c r="J346" s="717"/>
      <c r="K346" s="21">
        <f t="shared" ref="K346:K409" si="68">(SUMIF($11:$11,J346,$12:$12)-SUMIF($11:$11,$J$24,$12:$12)+100)/100</f>
        <v>1</v>
      </c>
      <c r="L346" s="717"/>
      <c r="M346" s="21">
        <f t="shared" ref="M346:M409" si="69">(SUMIF($13:$13,L346,$14:$14)-SUMIF($13:$13,$L$24,$14:$14)+100)/100</f>
        <v>1</v>
      </c>
      <c r="N346" s="717"/>
      <c r="O346" s="21">
        <f t="shared" ref="O346:O409" si="70">(SUMIF($15:$15,N346,$16:$16)-SUMIF($15:$15,$N$24,$16:$16)+100)/100</f>
        <v>1</v>
      </c>
      <c r="P346" s="717"/>
      <c r="Q346" s="21">
        <f t="shared" ref="Q346:Q409" si="71">(SUMIF($17:$17,P346,$18:$18)-SUMIF($17:$17,$P$24,$18:$18)+100)/100</f>
        <v>1</v>
      </c>
      <c r="R346" s="713">
        <f t="shared" ref="R346:R409" si="72">IF(B346="",0,ROUND($R$24*C346*E346*G346*I346*K346*M346*O346*Q346,0))</f>
        <v>0</v>
      </c>
      <c r="S346" s="358">
        <f t="shared" si="63"/>
        <v>0</v>
      </c>
    </row>
    <row r="347" spans="1:19">
      <c r="A347" s="156"/>
      <c r="B347" s="56"/>
      <c r="C347" s="21">
        <f t="shared" si="64"/>
        <v>1</v>
      </c>
      <c r="D347" s="717"/>
      <c r="E347" s="21">
        <f t="shared" si="65"/>
        <v>1</v>
      </c>
      <c r="F347" s="717"/>
      <c r="G347" s="21">
        <f t="shared" si="66"/>
        <v>1</v>
      </c>
      <c r="H347" s="717"/>
      <c r="I347" s="21">
        <f t="shared" si="67"/>
        <v>1</v>
      </c>
      <c r="J347" s="717"/>
      <c r="K347" s="21">
        <f t="shared" si="68"/>
        <v>1</v>
      </c>
      <c r="L347" s="717"/>
      <c r="M347" s="21">
        <f t="shared" si="69"/>
        <v>1</v>
      </c>
      <c r="N347" s="717"/>
      <c r="O347" s="21">
        <f t="shared" si="70"/>
        <v>1</v>
      </c>
      <c r="P347" s="717"/>
      <c r="Q347" s="21">
        <f t="shared" si="71"/>
        <v>1</v>
      </c>
      <c r="R347" s="713">
        <f t="shared" si="72"/>
        <v>0</v>
      </c>
      <c r="S347" s="358">
        <f t="shared" si="63"/>
        <v>0</v>
      </c>
    </row>
    <row r="348" spans="1:19">
      <c r="A348" s="156"/>
      <c r="B348" s="56"/>
      <c r="C348" s="21">
        <f t="shared" si="64"/>
        <v>1</v>
      </c>
      <c r="D348" s="717"/>
      <c r="E348" s="21">
        <f t="shared" si="65"/>
        <v>1</v>
      </c>
      <c r="F348" s="717"/>
      <c r="G348" s="21">
        <f t="shared" si="66"/>
        <v>1</v>
      </c>
      <c r="H348" s="717"/>
      <c r="I348" s="21">
        <f t="shared" si="67"/>
        <v>1</v>
      </c>
      <c r="J348" s="717"/>
      <c r="K348" s="21">
        <f t="shared" si="68"/>
        <v>1</v>
      </c>
      <c r="L348" s="717"/>
      <c r="M348" s="21">
        <f t="shared" si="69"/>
        <v>1</v>
      </c>
      <c r="N348" s="717"/>
      <c r="O348" s="21">
        <f t="shared" si="70"/>
        <v>1</v>
      </c>
      <c r="P348" s="717"/>
      <c r="Q348" s="21">
        <f t="shared" si="71"/>
        <v>1</v>
      </c>
      <c r="R348" s="713">
        <f t="shared" si="72"/>
        <v>0</v>
      </c>
      <c r="S348" s="358">
        <f t="shared" si="63"/>
        <v>0</v>
      </c>
    </row>
    <row r="349" spans="1:19">
      <c r="A349" s="156"/>
      <c r="B349" s="56"/>
      <c r="C349" s="21">
        <f t="shared" si="64"/>
        <v>1</v>
      </c>
      <c r="D349" s="717"/>
      <c r="E349" s="21">
        <f t="shared" si="65"/>
        <v>1</v>
      </c>
      <c r="F349" s="717"/>
      <c r="G349" s="21">
        <f t="shared" si="66"/>
        <v>1</v>
      </c>
      <c r="H349" s="717"/>
      <c r="I349" s="21">
        <f t="shared" si="67"/>
        <v>1</v>
      </c>
      <c r="J349" s="717"/>
      <c r="K349" s="21">
        <f t="shared" si="68"/>
        <v>1</v>
      </c>
      <c r="L349" s="717"/>
      <c r="M349" s="21">
        <f t="shared" si="69"/>
        <v>1</v>
      </c>
      <c r="N349" s="717"/>
      <c r="O349" s="21">
        <f t="shared" si="70"/>
        <v>1</v>
      </c>
      <c r="P349" s="717"/>
      <c r="Q349" s="21">
        <f t="shared" si="71"/>
        <v>1</v>
      </c>
      <c r="R349" s="713">
        <f t="shared" si="72"/>
        <v>0</v>
      </c>
      <c r="S349" s="358">
        <f t="shared" si="63"/>
        <v>0</v>
      </c>
    </row>
    <row r="350" spans="1:19">
      <c r="A350" s="156"/>
      <c r="B350" s="56"/>
      <c r="C350" s="21">
        <f t="shared" si="64"/>
        <v>1</v>
      </c>
      <c r="D350" s="717"/>
      <c r="E350" s="21">
        <f t="shared" si="65"/>
        <v>1</v>
      </c>
      <c r="F350" s="717"/>
      <c r="G350" s="21">
        <f t="shared" si="66"/>
        <v>1</v>
      </c>
      <c r="H350" s="717"/>
      <c r="I350" s="21">
        <f t="shared" si="67"/>
        <v>1</v>
      </c>
      <c r="J350" s="717"/>
      <c r="K350" s="21">
        <f t="shared" si="68"/>
        <v>1</v>
      </c>
      <c r="L350" s="717"/>
      <c r="M350" s="21">
        <f t="shared" si="69"/>
        <v>1</v>
      </c>
      <c r="N350" s="717"/>
      <c r="O350" s="21">
        <f t="shared" si="70"/>
        <v>1</v>
      </c>
      <c r="P350" s="717"/>
      <c r="Q350" s="21">
        <f t="shared" si="71"/>
        <v>1</v>
      </c>
      <c r="R350" s="713">
        <f t="shared" si="72"/>
        <v>0</v>
      </c>
      <c r="S350" s="358">
        <f t="shared" si="63"/>
        <v>0</v>
      </c>
    </row>
    <row r="351" spans="1:19">
      <c r="A351" s="156"/>
      <c r="B351" s="56"/>
      <c r="C351" s="21">
        <f t="shared" si="64"/>
        <v>1</v>
      </c>
      <c r="D351" s="717"/>
      <c r="E351" s="21">
        <f t="shared" si="65"/>
        <v>1</v>
      </c>
      <c r="F351" s="717"/>
      <c r="G351" s="21">
        <f t="shared" si="66"/>
        <v>1</v>
      </c>
      <c r="H351" s="717"/>
      <c r="I351" s="21">
        <f t="shared" si="67"/>
        <v>1</v>
      </c>
      <c r="J351" s="717"/>
      <c r="K351" s="21">
        <f t="shared" si="68"/>
        <v>1</v>
      </c>
      <c r="L351" s="717"/>
      <c r="M351" s="21">
        <f t="shared" si="69"/>
        <v>1</v>
      </c>
      <c r="N351" s="717"/>
      <c r="O351" s="21">
        <f t="shared" si="70"/>
        <v>1</v>
      </c>
      <c r="P351" s="717"/>
      <c r="Q351" s="21">
        <f t="shared" si="71"/>
        <v>1</v>
      </c>
      <c r="R351" s="713">
        <f t="shared" si="72"/>
        <v>0</v>
      </c>
      <c r="S351" s="358">
        <f t="shared" si="63"/>
        <v>0</v>
      </c>
    </row>
    <row r="352" spans="1:19">
      <c r="A352" s="156"/>
      <c r="B352" s="56"/>
      <c r="C352" s="21">
        <f t="shared" si="64"/>
        <v>1</v>
      </c>
      <c r="D352" s="717"/>
      <c r="E352" s="21">
        <f t="shared" si="65"/>
        <v>1</v>
      </c>
      <c r="F352" s="717"/>
      <c r="G352" s="21">
        <f t="shared" si="66"/>
        <v>1</v>
      </c>
      <c r="H352" s="717"/>
      <c r="I352" s="21">
        <f t="shared" si="67"/>
        <v>1</v>
      </c>
      <c r="J352" s="717"/>
      <c r="K352" s="21">
        <f t="shared" si="68"/>
        <v>1</v>
      </c>
      <c r="L352" s="717"/>
      <c r="M352" s="21">
        <f t="shared" si="69"/>
        <v>1</v>
      </c>
      <c r="N352" s="717"/>
      <c r="O352" s="21">
        <f t="shared" si="70"/>
        <v>1</v>
      </c>
      <c r="P352" s="717"/>
      <c r="Q352" s="21">
        <f t="shared" si="71"/>
        <v>1</v>
      </c>
      <c r="R352" s="713">
        <f t="shared" si="72"/>
        <v>0</v>
      </c>
      <c r="S352" s="358">
        <f t="shared" si="63"/>
        <v>0</v>
      </c>
    </row>
    <row r="353" spans="1:19">
      <c r="A353" s="156"/>
      <c r="B353" s="56"/>
      <c r="C353" s="21">
        <f t="shared" si="64"/>
        <v>1</v>
      </c>
      <c r="D353" s="717"/>
      <c r="E353" s="21">
        <f t="shared" si="65"/>
        <v>1</v>
      </c>
      <c r="F353" s="717"/>
      <c r="G353" s="21">
        <f t="shared" si="66"/>
        <v>1</v>
      </c>
      <c r="H353" s="717"/>
      <c r="I353" s="21">
        <f t="shared" si="67"/>
        <v>1</v>
      </c>
      <c r="J353" s="717"/>
      <c r="K353" s="21">
        <f t="shared" si="68"/>
        <v>1</v>
      </c>
      <c r="L353" s="717"/>
      <c r="M353" s="21">
        <f t="shared" si="69"/>
        <v>1</v>
      </c>
      <c r="N353" s="717"/>
      <c r="O353" s="21">
        <f t="shared" si="70"/>
        <v>1</v>
      </c>
      <c r="P353" s="717"/>
      <c r="Q353" s="21">
        <f t="shared" si="71"/>
        <v>1</v>
      </c>
      <c r="R353" s="713">
        <f t="shared" si="72"/>
        <v>0</v>
      </c>
      <c r="S353" s="358">
        <f t="shared" si="63"/>
        <v>0</v>
      </c>
    </row>
    <row r="354" spans="1:19">
      <c r="A354" s="156"/>
      <c r="B354" s="56"/>
      <c r="C354" s="21">
        <f t="shared" si="64"/>
        <v>1</v>
      </c>
      <c r="D354" s="717"/>
      <c r="E354" s="21">
        <f t="shared" si="65"/>
        <v>1</v>
      </c>
      <c r="F354" s="717"/>
      <c r="G354" s="21">
        <f t="shared" si="66"/>
        <v>1</v>
      </c>
      <c r="H354" s="717"/>
      <c r="I354" s="21">
        <f t="shared" si="67"/>
        <v>1</v>
      </c>
      <c r="J354" s="717"/>
      <c r="K354" s="21">
        <f t="shared" si="68"/>
        <v>1</v>
      </c>
      <c r="L354" s="717"/>
      <c r="M354" s="21">
        <f t="shared" si="69"/>
        <v>1</v>
      </c>
      <c r="N354" s="717"/>
      <c r="O354" s="21">
        <f t="shared" si="70"/>
        <v>1</v>
      </c>
      <c r="P354" s="717"/>
      <c r="Q354" s="21">
        <f t="shared" si="71"/>
        <v>1</v>
      </c>
      <c r="R354" s="713">
        <f t="shared" si="72"/>
        <v>0</v>
      </c>
      <c r="S354" s="358">
        <f t="shared" si="63"/>
        <v>0</v>
      </c>
    </row>
    <row r="355" spans="1:19">
      <c r="A355" s="156"/>
      <c r="B355" s="56"/>
      <c r="C355" s="21">
        <f t="shared" si="64"/>
        <v>1</v>
      </c>
      <c r="D355" s="717"/>
      <c r="E355" s="21">
        <f t="shared" si="65"/>
        <v>1</v>
      </c>
      <c r="F355" s="717"/>
      <c r="G355" s="21">
        <f t="shared" si="66"/>
        <v>1</v>
      </c>
      <c r="H355" s="717"/>
      <c r="I355" s="21">
        <f t="shared" si="67"/>
        <v>1</v>
      </c>
      <c r="J355" s="717"/>
      <c r="K355" s="21">
        <f t="shared" si="68"/>
        <v>1</v>
      </c>
      <c r="L355" s="717"/>
      <c r="M355" s="21">
        <f t="shared" si="69"/>
        <v>1</v>
      </c>
      <c r="N355" s="717"/>
      <c r="O355" s="21">
        <f t="shared" si="70"/>
        <v>1</v>
      </c>
      <c r="P355" s="717"/>
      <c r="Q355" s="21">
        <f t="shared" si="71"/>
        <v>1</v>
      </c>
      <c r="R355" s="713">
        <f t="shared" si="72"/>
        <v>0</v>
      </c>
      <c r="S355" s="358">
        <f t="shared" si="63"/>
        <v>0</v>
      </c>
    </row>
    <row r="356" spans="1:19">
      <c r="A356" s="156"/>
      <c r="B356" s="56"/>
      <c r="C356" s="21">
        <f t="shared" si="64"/>
        <v>1</v>
      </c>
      <c r="D356" s="717"/>
      <c r="E356" s="21">
        <f t="shared" si="65"/>
        <v>1</v>
      </c>
      <c r="F356" s="717"/>
      <c r="G356" s="21">
        <f t="shared" si="66"/>
        <v>1</v>
      </c>
      <c r="H356" s="717"/>
      <c r="I356" s="21">
        <f t="shared" si="67"/>
        <v>1</v>
      </c>
      <c r="J356" s="717"/>
      <c r="K356" s="21">
        <f t="shared" si="68"/>
        <v>1</v>
      </c>
      <c r="L356" s="717"/>
      <c r="M356" s="21">
        <f t="shared" si="69"/>
        <v>1</v>
      </c>
      <c r="N356" s="717"/>
      <c r="O356" s="21">
        <f t="shared" si="70"/>
        <v>1</v>
      </c>
      <c r="P356" s="717"/>
      <c r="Q356" s="21">
        <f t="shared" si="71"/>
        <v>1</v>
      </c>
      <c r="R356" s="713">
        <f t="shared" si="72"/>
        <v>0</v>
      </c>
      <c r="S356" s="358">
        <f t="shared" si="63"/>
        <v>0</v>
      </c>
    </row>
    <row r="357" spans="1:19">
      <c r="A357" s="156"/>
      <c r="B357" s="56"/>
      <c r="C357" s="21">
        <f t="shared" si="64"/>
        <v>1</v>
      </c>
      <c r="D357" s="717"/>
      <c r="E357" s="21">
        <f t="shared" si="65"/>
        <v>1</v>
      </c>
      <c r="F357" s="717"/>
      <c r="G357" s="21">
        <f t="shared" si="66"/>
        <v>1</v>
      </c>
      <c r="H357" s="717"/>
      <c r="I357" s="21">
        <f t="shared" si="67"/>
        <v>1</v>
      </c>
      <c r="J357" s="717"/>
      <c r="K357" s="21">
        <f t="shared" si="68"/>
        <v>1</v>
      </c>
      <c r="L357" s="717"/>
      <c r="M357" s="21">
        <f t="shared" si="69"/>
        <v>1</v>
      </c>
      <c r="N357" s="717"/>
      <c r="O357" s="21">
        <f t="shared" si="70"/>
        <v>1</v>
      </c>
      <c r="P357" s="717"/>
      <c r="Q357" s="21">
        <f t="shared" si="71"/>
        <v>1</v>
      </c>
      <c r="R357" s="713">
        <f t="shared" si="72"/>
        <v>0</v>
      </c>
      <c r="S357" s="358">
        <f t="shared" si="63"/>
        <v>0</v>
      </c>
    </row>
    <row r="358" spans="1:19">
      <c r="A358" s="156"/>
      <c r="B358" s="56"/>
      <c r="C358" s="21">
        <f t="shared" si="64"/>
        <v>1</v>
      </c>
      <c r="D358" s="717"/>
      <c r="E358" s="21">
        <f t="shared" si="65"/>
        <v>1</v>
      </c>
      <c r="F358" s="717"/>
      <c r="G358" s="21">
        <f t="shared" si="66"/>
        <v>1</v>
      </c>
      <c r="H358" s="717"/>
      <c r="I358" s="21">
        <f t="shared" si="67"/>
        <v>1</v>
      </c>
      <c r="J358" s="717"/>
      <c r="K358" s="21">
        <f t="shared" si="68"/>
        <v>1</v>
      </c>
      <c r="L358" s="717"/>
      <c r="M358" s="21">
        <f t="shared" si="69"/>
        <v>1</v>
      </c>
      <c r="N358" s="717"/>
      <c r="O358" s="21">
        <f t="shared" si="70"/>
        <v>1</v>
      </c>
      <c r="P358" s="717"/>
      <c r="Q358" s="21">
        <f t="shared" si="71"/>
        <v>1</v>
      </c>
      <c r="R358" s="713">
        <f t="shared" si="72"/>
        <v>0</v>
      </c>
      <c r="S358" s="358">
        <f t="shared" si="63"/>
        <v>0</v>
      </c>
    </row>
    <row r="359" spans="1:19">
      <c r="A359" s="156"/>
      <c r="B359" s="56"/>
      <c r="C359" s="21">
        <f t="shared" si="64"/>
        <v>1</v>
      </c>
      <c r="D359" s="717"/>
      <c r="E359" s="21">
        <f t="shared" si="65"/>
        <v>1</v>
      </c>
      <c r="F359" s="717"/>
      <c r="G359" s="21">
        <f t="shared" si="66"/>
        <v>1</v>
      </c>
      <c r="H359" s="717"/>
      <c r="I359" s="21">
        <f t="shared" si="67"/>
        <v>1</v>
      </c>
      <c r="J359" s="717"/>
      <c r="K359" s="21">
        <f t="shared" si="68"/>
        <v>1</v>
      </c>
      <c r="L359" s="717"/>
      <c r="M359" s="21">
        <f t="shared" si="69"/>
        <v>1</v>
      </c>
      <c r="N359" s="717"/>
      <c r="O359" s="21">
        <f t="shared" si="70"/>
        <v>1</v>
      </c>
      <c r="P359" s="717"/>
      <c r="Q359" s="21">
        <f t="shared" si="71"/>
        <v>1</v>
      </c>
      <c r="R359" s="713">
        <f t="shared" si="72"/>
        <v>0</v>
      </c>
      <c r="S359" s="358">
        <f t="shared" si="63"/>
        <v>0</v>
      </c>
    </row>
    <row r="360" spans="1:19">
      <c r="A360" s="156"/>
      <c r="B360" s="56"/>
      <c r="C360" s="21">
        <f t="shared" si="64"/>
        <v>1</v>
      </c>
      <c r="D360" s="717"/>
      <c r="E360" s="21">
        <f t="shared" si="65"/>
        <v>1</v>
      </c>
      <c r="F360" s="717"/>
      <c r="G360" s="21">
        <f t="shared" si="66"/>
        <v>1</v>
      </c>
      <c r="H360" s="717"/>
      <c r="I360" s="21">
        <f t="shared" si="67"/>
        <v>1</v>
      </c>
      <c r="J360" s="717"/>
      <c r="K360" s="21">
        <f t="shared" si="68"/>
        <v>1</v>
      </c>
      <c r="L360" s="717"/>
      <c r="M360" s="21">
        <f t="shared" si="69"/>
        <v>1</v>
      </c>
      <c r="N360" s="717"/>
      <c r="O360" s="21">
        <f t="shared" si="70"/>
        <v>1</v>
      </c>
      <c r="P360" s="717"/>
      <c r="Q360" s="21">
        <f t="shared" si="71"/>
        <v>1</v>
      </c>
      <c r="R360" s="713">
        <f t="shared" si="72"/>
        <v>0</v>
      </c>
      <c r="S360" s="358">
        <f t="shared" si="63"/>
        <v>0</v>
      </c>
    </row>
    <row r="361" spans="1:19">
      <c r="A361" s="156"/>
      <c r="B361" s="56"/>
      <c r="C361" s="21">
        <f t="shared" si="64"/>
        <v>1</v>
      </c>
      <c r="D361" s="717"/>
      <c r="E361" s="21">
        <f t="shared" si="65"/>
        <v>1</v>
      </c>
      <c r="F361" s="717"/>
      <c r="G361" s="21">
        <f t="shared" si="66"/>
        <v>1</v>
      </c>
      <c r="H361" s="717"/>
      <c r="I361" s="21">
        <f t="shared" si="67"/>
        <v>1</v>
      </c>
      <c r="J361" s="717"/>
      <c r="K361" s="21">
        <f t="shared" si="68"/>
        <v>1</v>
      </c>
      <c r="L361" s="717"/>
      <c r="M361" s="21">
        <f t="shared" si="69"/>
        <v>1</v>
      </c>
      <c r="N361" s="717"/>
      <c r="O361" s="21">
        <f t="shared" si="70"/>
        <v>1</v>
      </c>
      <c r="P361" s="717"/>
      <c r="Q361" s="21">
        <f t="shared" si="71"/>
        <v>1</v>
      </c>
      <c r="R361" s="713">
        <f t="shared" si="72"/>
        <v>0</v>
      </c>
      <c r="S361" s="358">
        <f t="shared" si="63"/>
        <v>0</v>
      </c>
    </row>
    <row r="362" spans="1:19">
      <c r="A362" s="156"/>
      <c r="B362" s="56"/>
      <c r="C362" s="21">
        <f t="shared" si="64"/>
        <v>1</v>
      </c>
      <c r="D362" s="717"/>
      <c r="E362" s="21">
        <f t="shared" si="65"/>
        <v>1</v>
      </c>
      <c r="F362" s="717"/>
      <c r="G362" s="21">
        <f t="shared" si="66"/>
        <v>1</v>
      </c>
      <c r="H362" s="717"/>
      <c r="I362" s="21">
        <f t="shared" si="67"/>
        <v>1</v>
      </c>
      <c r="J362" s="717"/>
      <c r="K362" s="21">
        <f t="shared" si="68"/>
        <v>1</v>
      </c>
      <c r="L362" s="717"/>
      <c r="M362" s="21">
        <f t="shared" si="69"/>
        <v>1</v>
      </c>
      <c r="N362" s="717"/>
      <c r="O362" s="21">
        <f t="shared" si="70"/>
        <v>1</v>
      </c>
      <c r="P362" s="717"/>
      <c r="Q362" s="21">
        <f t="shared" si="71"/>
        <v>1</v>
      </c>
      <c r="R362" s="713">
        <f t="shared" si="72"/>
        <v>0</v>
      </c>
      <c r="S362" s="358">
        <f t="shared" si="63"/>
        <v>0</v>
      </c>
    </row>
    <row r="363" spans="1:19">
      <c r="A363" s="156"/>
      <c r="B363" s="56"/>
      <c r="C363" s="21">
        <f t="shared" si="64"/>
        <v>1</v>
      </c>
      <c r="D363" s="717"/>
      <c r="E363" s="21">
        <f t="shared" si="65"/>
        <v>1</v>
      </c>
      <c r="F363" s="717"/>
      <c r="G363" s="21">
        <f t="shared" si="66"/>
        <v>1</v>
      </c>
      <c r="H363" s="717"/>
      <c r="I363" s="21">
        <f t="shared" si="67"/>
        <v>1</v>
      </c>
      <c r="J363" s="717"/>
      <c r="K363" s="21">
        <f t="shared" si="68"/>
        <v>1</v>
      </c>
      <c r="L363" s="717"/>
      <c r="M363" s="21">
        <f t="shared" si="69"/>
        <v>1</v>
      </c>
      <c r="N363" s="717"/>
      <c r="O363" s="21">
        <f t="shared" si="70"/>
        <v>1</v>
      </c>
      <c r="P363" s="717"/>
      <c r="Q363" s="21">
        <f t="shared" si="71"/>
        <v>1</v>
      </c>
      <c r="R363" s="713">
        <f t="shared" si="72"/>
        <v>0</v>
      </c>
      <c r="S363" s="358">
        <f t="shared" si="63"/>
        <v>0</v>
      </c>
    </row>
    <row r="364" spans="1:19">
      <c r="A364" s="156"/>
      <c r="B364" s="56"/>
      <c r="C364" s="21">
        <f t="shared" si="64"/>
        <v>1</v>
      </c>
      <c r="D364" s="717"/>
      <c r="E364" s="21">
        <f t="shared" si="65"/>
        <v>1</v>
      </c>
      <c r="F364" s="717"/>
      <c r="G364" s="21">
        <f t="shared" si="66"/>
        <v>1</v>
      </c>
      <c r="H364" s="717"/>
      <c r="I364" s="21">
        <f t="shared" si="67"/>
        <v>1</v>
      </c>
      <c r="J364" s="717"/>
      <c r="K364" s="21">
        <f t="shared" si="68"/>
        <v>1</v>
      </c>
      <c r="L364" s="717"/>
      <c r="M364" s="21">
        <f t="shared" si="69"/>
        <v>1</v>
      </c>
      <c r="N364" s="717"/>
      <c r="O364" s="21">
        <f t="shared" si="70"/>
        <v>1</v>
      </c>
      <c r="P364" s="717"/>
      <c r="Q364" s="21">
        <f t="shared" si="71"/>
        <v>1</v>
      </c>
      <c r="R364" s="713">
        <f t="shared" si="72"/>
        <v>0</v>
      </c>
      <c r="S364" s="358">
        <f t="shared" si="63"/>
        <v>0</v>
      </c>
    </row>
    <row r="365" spans="1:19">
      <c r="A365" s="156"/>
      <c r="B365" s="56"/>
      <c r="C365" s="21">
        <f t="shared" si="64"/>
        <v>1</v>
      </c>
      <c r="D365" s="717"/>
      <c r="E365" s="21">
        <f t="shared" si="65"/>
        <v>1</v>
      </c>
      <c r="F365" s="717"/>
      <c r="G365" s="21">
        <f t="shared" si="66"/>
        <v>1</v>
      </c>
      <c r="H365" s="717"/>
      <c r="I365" s="21">
        <f t="shared" si="67"/>
        <v>1</v>
      </c>
      <c r="J365" s="717"/>
      <c r="K365" s="21">
        <f t="shared" si="68"/>
        <v>1</v>
      </c>
      <c r="L365" s="717"/>
      <c r="M365" s="21">
        <f t="shared" si="69"/>
        <v>1</v>
      </c>
      <c r="N365" s="717"/>
      <c r="O365" s="21">
        <f t="shared" si="70"/>
        <v>1</v>
      </c>
      <c r="P365" s="717"/>
      <c r="Q365" s="21">
        <f t="shared" si="71"/>
        <v>1</v>
      </c>
      <c r="R365" s="713">
        <f t="shared" si="72"/>
        <v>0</v>
      </c>
      <c r="S365" s="358">
        <f t="shared" si="63"/>
        <v>0</v>
      </c>
    </row>
    <row r="366" spans="1:19">
      <c r="A366" s="156"/>
      <c r="B366" s="56"/>
      <c r="C366" s="21">
        <f t="shared" si="64"/>
        <v>1</v>
      </c>
      <c r="D366" s="717"/>
      <c r="E366" s="21">
        <f t="shared" si="65"/>
        <v>1</v>
      </c>
      <c r="F366" s="717"/>
      <c r="G366" s="21">
        <f t="shared" si="66"/>
        <v>1</v>
      </c>
      <c r="H366" s="717"/>
      <c r="I366" s="21">
        <f t="shared" si="67"/>
        <v>1</v>
      </c>
      <c r="J366" s="717"/>
      <c r="K366" s="21">
        <f t="shared" si="68"/>
        <v>1</v>
      </c>
      <c r="L366" s="717"/>
      <c r="M366" s="21">
        <f t="shared" si="69"/>
        <v>1</v>
      </c>
      <c r="N366" s="717"/>
      <c r="O366" s="21">
        <f t="shared" si="70"/>
        <v>1</v>
      </c>
      <c r="P366" s="717"/>
      <c r="Q366" s="21">
        <f t="shared" si="71"/>
        <v>1</v>
      </c>
      <c r="R366" s="713">
        <f t="shared" si="72"/>
        <v>0</v>
      </c>
      <c r="S366" s="358">
        <f t="shared" si="63"/>
        <v>0</v>
      </c>
    </row>
    <row r="367" spans="1:19">
      <c r="A367" s="156"/>
      <c r="B367" s="56"/>
      <c r="C367" s="21">
        <f t="shared" si="64"/>
        <v>1</v>
      </c>
      <c r="D367" s="717"/>
      <c r="E367" s="21">
        <f t="shared" si="65"/>
        <v>1</v>
      </c>
      <c r="F367" s="717"/>
      <c r="G367" s="21">
        <f t="shared" si="66"/>
        <v>1</v>
      </c>
      <c r="H367" s="717"/>
      <c r="I367" s="21">
        <f t="shared" si="67"/>
        <v>1</v>
      </c>
      <c r="J367" s="717"/>
      <c r="K367" s="21">
        <f t="shared" si="68"/>
        <v>1</v>
      </c>
      <c r="L367" s="717"/>
      <c r="M367" s="21">
        <f t="shared" si="69"/>
        <v>1</v>
      </c>
      <c r="N367" s="717"/>
      <c r="O367" s="21">
        <f t="shared" si="70"/>
        <v>1</v>
      </c>
      <c r="P367" s="717"/>
      <c r="Q367" s="21">
        <f t="shared" si="71"/>
        <v>1</v>
      </c>
      <c r="R367" s="713">
        <f t="shared" si="72"/>
        <v>0</v>
      </c>
      <c r="S367" s="358">
        <f t="shared" si="63"/>
        <v>0</v>
      </c>
    </row>
    <row r="368" spans="1:19">
      <c r="A368" s="156"/>
      <c r="B368" s="56"/>
      <c r="C368" s="21">
        <f t="shared" si="64"/>
        <v>1</v>
      </c>
      <c r="D368" s="717"/>
      <c r="E368" s="21">
        <f t="shared" si="65"/>
        <v>1</v>
      </c>
      <c r="F368" s="717"/>
      <c r="G368" s="21">
        <f t="shared" si="66"/>
        <v>1</v>
      </c>
      <c r="H368" s="717"/>
      <c r="I368" s="21">
        <f t="shared" si="67"/>
        <v>1</v>
      </c>
      <c r="J368" s="717"/>
      <c r="K368" s="21">
        <f t="shared" si="68"/>
        <v>1</v>
      </c>
      <c r="L368" s="717"/>
      <c r="M368" s="21">
        <f t="shared" si="69"/>
        <v>1</v>
      </c>
      <c r="N368" s="717"/>
      <c r="O368" s="21">
        <f t="shared" si="70"/>
        <v>1</v>
      </c>
      <c r="P368" s="717"/>
      <c r="Q368" s="21">
        <f t="shared" si="71"/>
        <v>1</v>
      </c>
      <c r="R368" s="713">
        <f t="shared" si="72"/>
        <v>0</v>
      </c>
      <c r="S368" s="358">
        <f t="shared" si="63"/>
        <v>0</v>
      </c>
    </row>
    <row r="369" spans="1:19">
      <c r="A369" s="156"/>
      <c r="B369" s="56"/>
      <c r="C369" s="21">
        <f t="shared" si="64"/>
        <v>1</v>
      </c>
      <c r="D369" s="717"/>
      <c r="E369" s="21">
        <f t="shared" si="65"/>
        <v>1</v>
      </c>
      <c r="F369" s="717"/>
      <c r="G369" s="21">
        <f t="shared" si="66"/>
        <v>1</v>
      </c>
      <c r="H369" s="717"/>
      <c r="I369" s="21">
        <f t="shared" si="67"/>
        <v>1</v>
      </c>
      <c r="J369" s="717"/>
      <c r="K369" s="21">
        <f t="shared" si="68"/>
        <v>1</v>
      </c>
      <c r="L369" s="717"/>
      <c r="M369" s="21">
        <f t="shared" si="69"/>
        <v>1</v>
      </c>
      <c r="N369" s="717"/>
      <c r="O369" s="21">
        <f t="shared" si="70"/>
        <v>1</v>
      </c>
      <c r="P369" s="717"/>
      <c r="Q369" s="21">
        <f t="shared" si="71"/>
        <v>1</v>
      </c>
      <c r="R369" s="713">
        <f t="shared" si="72"/>
        <v>0</v>
      </c>
      <c r="S369" s="358">
        <f t="shared" si="63"/>
        <v>0</v>
      </c>
    </row>
    <row r="370" spans="1:19">
      <c r="A370" s="156"/>
      <c r="B370" s="56"/>
      <c r="C370" s="21">
        <f t="shared" si="64"/>
        <v>1</v>
      </c>
      <c r="D370" s="717"/>
      <c r="E370" s="21">
        <f t="shared" si="65"/>
        <v>1</v>
      </c>
      <c r="F370" s="717"/>
      <c r="G370" s="21">
        <f t="shared" si="66"/>
        <v>1</v>
      </c>
      <c r="H370" s="717"/>
      <c r="I370" s="21">
        <f t="shared" si="67"/>
        <v>1</v>
      </c>
      <c r="J370" s="717"/>
      <c r="K370" s="21">
        <f t="shared" si="68"/>
        <v>1</v>
      </c>
      <c r="L370" s="717"/>
      <c r="M370" s="21">
        <f t="shared" si="69"/>
        <v>1</v>
      </c>
      <c r="N370" s="717"/>
      <c r="O370" s="21">
        <f t="shared" si="70"/>
        <v>1</v>
      </c>
      <c r="P370" s="717"/>
      <c r="Q370" s="21">
        <f t="shared" si="71"/>
        <v>1</v>
      </c>
      <c r="R370" s="713">
        <f t="shared" si="72"/>
        <v>0</v>
      </c>
      <c r="S370" s="358">
        <f t="shared" si="63"/>
        <v>0</v>
      </c>
    </row>
    <row r="371" spans="1:19">
      <c r="A371" s="156"/>
      <c r="B371" s="56"/>
      <c r="C371" s="21">
        <f t="shared" si="64"/>
        <v>1</v>
      </c>
      <c r="D371" s="717"/>
      <c r="E371" s="21">
        <f t="shared" si="65"/>
        <v>1</v>
      </c>
      <c r="F371" s="717"/>
      <c r="G371" s="21">
        <f t="shared" si="66"/>
        <v>1</v>
      </c>
      <c r="H371" s="717"/>
      <c r="I371" s="21">
        <f t="shared" si="67"/>
        <v>1</v>
      </c>
      <c r="J371" s="717"/>
      <c r="K371" s="21">
        <f t="shared" si="68"/>
        <v>1</v>
      </c>
      <c r="L371" s="717"/>
      <c r="M371" s="21">
        <f t="shared" si="69"/>
        <v>1</v>
      </c>
      <c r="N371" s="717"/>
      <c r="O371" s="21">
        <f t="shared" si="70"/>
        <v>1</v>
      </c>
      <c r="P371" s="717"/>
      <c r="Q371" s="21">
        <f t="shared" si="71"/>
        <v>1</v>
      </c>
      <c r="R371" s="713">
        <f t="shared" si="72"/>
        <v>0</v>
      </c>
      <c r="S371" s="358">
        <f t="shared" si="63"/>
        <v>0</v>
      </c>
    </row>
    <row r="372" spans="1:19">
      <c r="A372" s="156"/>
      <c r="B372" s="56"/>
      <c r="C372" s="21">
        <f t="shared" si="64"/>
        <v>1</v>
      </c>
      <c r="D372" s="717"/>
      <c r="E372" s="21">
        <f t="shared" si="65"/>
        <v>1</v>
      </c>
      <c r="F372" s="717"/>
      <c r="G372" s="21">
        <f t="shared" si="66"/>
        <v>1</v>
      </c>
      <c r="H372" s="717"/>
      <c r="I372" s="21">
        <f t="shared" si="67"/>
        <v>1</v>
      </c>
      <c r="J372" s="717"/>
      <c r="K372" s="21">
        <f t="shared" si="68"/>
        <v>1</v>
      </c>
      <c r="L372" s="717"/>
      <c r="M372" s="21">
        <f t="shared" si="69"/>
        <v>1</v>
      </c>
      <c r="N372" s="717"/>
      <c r="O372" s="21">
        <f t="shared" si="70"/>
        <v>1</v>
      </c>
      <c r="P372" s="717"/>
      <c r="Q372" s="21">
        <f t="shared" si="71"/>
        <v>1</v>
      </c>
      <c r="R372" s="713">
        <f t="shared" si="72"/>
        <v>0</v>
      </c>
      <c r="S372" s="358">
        <f t="shared" si="63"/>
        <v>0</v>
      </c>
    </row>
    <row r="373" spans="1:19">
      <c r="A373" s="156"/>
      <c r="B373" s="56"/>
      <c r="C373" s="21">
        <f t="shared" si="64"/>
        <v>1</v>
      </c>
      <c r="D373" s="717"/>
      <c r="E373" s="21">
        <f t="shared" si="65"/>
        <v>1</v>
      </c>
      <c r="F373" s="717"/>
      <c r="G373" s="21">
        <f t="shared" si="66"/>
        <v>1</v>
      </c>
      <c r="H373" s="717"/>
      <c r="I373" s="21">
        <f t="shared" si="67"/>
        <v>1</v>
      </c>
      <c r="J373" s="717"/>
      <c r="K373" s="21">
        <f t="shared" si="68"/>
        <v>1</v>
      </c>
      <c r="L373" s="717"/>
      <c r="M373" s="21">
        <f t="shared" si="69"/>
        <v>1</v>
      </c>
      <c r="N373" s="717"/>
      <c r="O373" s="21">
        <f t="shared" si="70"/>
        <v>1</v>
      </c>
      <c r="P373" s="717"/>
      <c r="Q373" s="21">
        <f t="shared" si="71"/>
        <v>1</v>
      </c>
      <c r="R373" s="713">
        <f t="shared" si="72"/>
        <v>0</v>
      </c>
      <c r="S373" s="358">
        <f t="shared" si="63"/>
        <v>0</v>
      </c>
    </row>
    <row r="374" spans="1:19">
      <c r="A374" s="156"/>
      <c r="B374" s="56"/>
      <c r="C374" s="21">
        <f t="shared" si="64"/>
        <v>1</v>
      </c>
      <c r="D374" s="717"/>
      <c r="E374" s="21">
        <f t="shared" si="65"/>
        <v>1</v>
      </c>
      <c r="F374" s="717"/>
      <c r="G374" s="21">
        <f t="shared" si="66"/>
        <v>1</v>
      </c>
      <c r="H374" s="717"/>
      <c r="I374" s="21">
        <f t="shared" si="67"/>
        <v>1</v>
      </c>
      <c r="J374" s="717"/>
      <c r="K374" s="21">
        <f t="shared" si="68"/>
        <v>1</v>
      </c>
      <c r="L374" s="717"/>
      <c r="M374" s="21">
        <f t="shared" si="69"/>
        <v>1</v>
      </c>
      <c r="N374" s="717"/>
      <c r="O374" s="21">
        <f t="shared" si="70"/>
        <v>1</v>
      </c>
      <c r="P374" s="717"/>
      <c r="Q374" s="21">
        <f t="shared" si="71"/>
        <v>1</v>
      </c>
      <c r="R374" s="713">
        <f t="shared" si="72"/>
        <v>0</v>
      </c>
      <c r="S374" s="358">
        <f t="shared" si="63"/>
        <v>0</v>
      </c>
    </row>
    <row r="375" spans="1:19">
      <c r="A375" s="156"/>
      <c r="B375" s="56"/>
      <c r="C375" s="21">
        <f t="shared" si="64"/>
        <v>1</v>
      </c>
      <c r="D375" s="717"/>
      <c r="E375" s="21">
        <f t="shared" si="65"/>
        <v>1</v>
      </c>
      <c r="F375" s="717"/>
      <c r="G375" s="21">
        <f t="shared" si="66"/>
        <v>1</v>
      </c>
      <c r="H375" s="717"/>
      <c r="I375" s="21">
        <f t="shared" si="67"/>
        <v>1</v>
      </c>
      <c r="J375" s="717"/>
      <c r="K375" s="21">
        <f t="shared" si="68"/>
        <v>1</v>
      </c>
      <c r="L375" s="717"/>
      <c r="M375" s="21">
        <f t="shared" si="69"/>
        <v>1</v>
      </c>
      <c r="N375" s="717"/>
      <c r="O375" s="21">
        <f t="shared" si="70"/>
        <v>1</v>
      </c>
      <c r="P375" s="717"/>
      <c r="Q375" s="21">
        <f t="shared" si="71"/>
        <v>1</v>
      </c>
      <c r="R375" s="713">
        <f t="shared" si="72"/>
        <v>0</v>
      </c>
      <c r="S375" s="358">
        <f t="shared" si="63"/>
        <v>0</v>
      </c>
    </row>
    <row r="376" spans="1:19">
      <c r="A376" s="156"/>
      <c r="B376" s="56"/>
      <c r="C376" s="21">
        <f t="shared" si="64"/>
        <v>1</v>
      </c>
      <c r="D376" s="717"/>
      <c r="E376" s="21">
        <f t="shared" si="65"/>
        <v>1</v>
      </c>
      <c r="F376" s="717"/>
      <c r="G376" s="21">
        <f t="shared" si="66"/>
        <v>1</v>
      </c>
      <c r="H376" s="717"/>
      <c r="I376" s="21">
        <f t="shared" si="67"/>
        <v>1</v>
      </c>
      <c r="J376" s="717"/>
      <c r="K376" s="21">
        <f t="shared" si="68"/>
        <v>1</v>
      </c>
      <c r="L376" s="717"/>
      <c r="M376" s="21">
        <f t="shared" si="69"/>
        <v>1</v>
      </c>
      <c r="N376" s="717"/>
      <c r="O376" s="21">
        <f t="shared" si="70"/>
        <v>1</v>
      </c>
      <c r="P376" s="717"/>
      <c r="Q376" s="21">
        <f t="shared" si="71"/>
        <v>1</v>
      </c>
      <c r="R376" s="713">
        <f t="shared" si="72"/>
        <v>0</v>
      </c>
      <c r="S376" s="358">
        <f t="shared" si="63"/>
        <v>0</v>
      </c>
    </row>
    <row r="377" spans="1:19">
      <c r="A377" s="156"/>
      <c r="B377" s="56"/>
      <c r="C377" s="21">
        <f t="shared" si="64"/>
        <v>1</v>
      </c>
      <c r="D377" s="717"/>
      <c r="E377" s="21">
        <f t="shared" si="65"/>
        <v>1</v>
      </c>
      <c r="F377" s="717"/>
      <c r="G377" s="21">
        <f t="shared" si="66"/>
        <v>1</v>
      </c>
      <c r="H377" s="717"/>
      <c r="I377" s="21">
        <f t="shared" si="67"/>
        <v>1</v>
      </c>
      <c r="J377" s="717"/>
      <c r="K377" s="21">
        <f t="shared" si="68"/>
        <v>1</v>
      </c>
      <c r="L377" s="717"/>
      <c r="M377" s="21">
        <f t="shared" si="69"/>
        <v>1</v>
      </c>
      <c r="N377" s="717"/>
      <c r="O377" s="21">
        <f t="shared" si="70"/>
        <v>1</v>
      </c>
      <c r="P377" s="717"/>
      <c r="Q377" s="21">
        <f t="shared" si="71"/>
        <v>1</v>
      </c>
      <c r="R377" s="713">
        <f t="shared" si="72"/>
        <v>0</v>
      </c>
      <c r="S377" s="358">
        <f t="shared" si="63"/>
        <v>0</v>
      </c>
    </row>
    <row r="378" spans="1:19">
      <c r="A378" s="156"/>
      <c r="B378" s="56"/>
      <c r="C378" s="21">
        <f t="shared" si="64"/>
        <v>1</v>
      </c>
      <c r="D378" s="717"/>
      <c r="E378" s="21">
        <f t="shared" si="65"/>
        <v>1</v>
      </c>
      <c r="F378" s="717"/>
      <c r="G378" s="21">
        <f t="shared" si="66"/>
        <v>1</v>
      </c>
      <c r="H378" s="717"/>
      <c r="I378" s="21">
        <f t="shared" si="67"/>
        <v>1</v>
      </c>
      <c r="J378" s="717"/>
      <c r="K378" s="21">
        <f t="shared" si="68"/>
        <v>1</v>
      </c>
      <c r="L378" s="717"/>
      <c r="M378" s="21">
        <f t="shared" si="69"/>
        <v>1</v>
      </c>
      <c r="N378" s="717"/>
      <c r="O378" s="21">
        <f t="shared" si="70"/>
        <v>1</v>
      </c>
      <c r="P378" s="717"/>
      <c r="Q378" s="21">
        <f t="shared" si="71"/>
        <v>1</v>
      </c>
      <c r="R378" s="713">
        <f t="shared" si="72"/>
        <v>0</v>
      </c>
      <c r="S378" s="358">
        <f t="shared" si="63"/>
        <v>0</v>
      </c>
    </row>
    <row r="379" spans="1:19">
      <c r="A379" s="156"/>
      <c r="B379" s="56"/>
      <c r="C379" s="21">
        <f t="shared" si="64"/>
        <v>1</v>
      </c>
      <c r="D379" s="717"/>
      <c r="E379" s="21">
        <f t="shared" si="65"/>
        <v>1</v>
      </c>
      <c r="F379" s="717"/>
      <c r="G379" s="21">
        <f t="shared" si="66"/>
        <v>1</v>
      </c>
      <c r="H379" s="717"/>
      <c r="I379" s="21">
        <f t="shared" si="67"/>
        <v>1</v>
      </c>
      <c r="J379" s="717"/>
      <c r="K379" s="21">
        <f t="shared" si="68"/>
        <v>1</v>
      </c>
      <c r="L379" s="717"/>
      <c r="M379" s="21">
        <f t="shared" si="69"/>
        <v>1</v>
      </c>
      <c r="N379" s="717"/>
      <c r="O379" s="21">
        <f t="shared" si="70"/>
        <v>1</v>
      </c>
      <c r="P379" s="717"/>
      <c r="Q379" s="21">
        <f t="shared" si="71"/>
        <v>1</v>
      </c>
      <c r="R379" s="713">
        <f t="shared" si="72"/>
        <v>0</v>
      </c>
      <c r="S379" s="358">
        <f t="shared" si="63"/>
        <v>0</v>
      </c>
    </row>
    <row r="380" spans="1:19">
      <c r="A380" s="156"/>
      <c r="B380" s="56"/>
      <c r="C380" s="21">
        <f t="shared" si="64"/>
        <v>1</v>
      </c>
      <c r="D380" s="717"/>
      <c r="E380" s="21">
        <f t="shared" si="65"/>
        <v>1</v>
      </c>
      <c r="F380" s="717"/>
      <c r="G380" s="21">
        <f t="shared" si="66"/>
        <v>1</v>
      </c>
      <c r="H380" s="717"/>
      <c r="I380" s="21">
        <f t="shared" si="67"/>
        <v>1</v>
      </c>
      <c r="J380" s="717"/>
      <c r="K380" s="21">
        <f t="shared" si="68"/>
        <v>1</v>
      </c>
      <c r="L380" s="717"/>
      <c r="M380" s="21">
        <f t="shared" si="69"/>
        <v>1</v>
      </c>
      <c r="N380" s="717"/>
      <c r="O380" s="21">
        <f t="shared" si="70"/>
        <v>1</v>
      </c>
      <c r="P380" s="717"/>
      <c r="Q380" s="21">
        <f t="shared" si="71"/>
        <v>1</v>
      </c>
      <c r="R380" s="713">
        <f t="shared" si="72"/>
        <v>0</v>
      </c>
      <c r="S380" s="358">
        <f t="shared" si="63"/>
        <v>0</v>
      </c>
    </row>
    <row r="381" spans="1:19">
      <c r="A381" s="156"/>
      <c r="B381" s="56"/>
      <c r="C381" s="21">
        <f t="shared" si="64"/>
        <v>1</v>
      </c>
      <c r="D381" s="717"/>
      <c r="E381" s="21">
        <f t="shared" si="65"/>
        <v>1</v>
      </c>
      <c r="F381" s="717"/>
      <c r="G381" s="21">
        <f t="shared" si="66"/>
        <v>1</v>
      </c>
      <c r="H381" s="717"/>
      <c r="I381" s="21">
        <f t="shared" si="67"/>
        <v>1</v>
      </c>
      <c r="J381" s="717"/>
      <c r="K381" s="21">
        <f t="shared" si="68"/>
        <v>1</v>
      </c>
      <c r="L381" s="717"/>
      <c r="M381" s="21">
        <f t="shared" si="69"/>
        <v>1</v>
      </c>
      <c r="N381" s="717"/>
      <c r="O381" s="21">
        <f t="shared" si="70"/>
        <v>1</v>
      </c>
      <c r="P381" s="717"/>
      <c r="Q381" s="21">
        <f t="shared" si="71"/>
        <v>1</v>
      </c>
      <c r="R381" s="713">
        <f t="shared" si="72"/>
        <v>0</v>
      </c>
      <c r="S381" s="358">
        <f t="shared" si="63"/>
        <v>0</v>
      </c>
    </row>
    <row r="382" spans="1:19">
      <c r="A382" s="156"/>
      <c r="B382" s="56"/>
      <c r="C382" s="21">
        <f t="shared" si="64"/>
        <v>1</v>
      </c>
      <c r="D382" s="717"/>
      <c r="E382" s="21">
        <f t="shared" si="65"/>
        <v>1</v>
      </c>
      <c r="F382" s="717"/>
      <c r="G382" s="21">
        <f t="shared" si="66"/>
        <v>1</v>
      </c>
      <c r="H382" s="717"/>
      <c r="I382" s="21">
        <f t="shared" si="67"/>
        <v>1</v>
      </c>
      <c r="J382" s="717"/>
      <c r="K382" s="21">
        <f t="shared" si="68"/>
        <v>1</v>
      </c>
      <c r="L382" s="717"/>
      <c r="M382" s="21">
        <f t="shared" si="69"/>
        <v>1</v>
      </c>
      <c r="N382" s="717"/>
      <c r="O382" s="21">
        <f t="shared" si="70"/>
        <v>1</v>
      </c>
      <c r="P382" s="717"/>
      <c r="Q382" s="21">
        <f t="shared" si="71"/>
        <v>1</v>
      </c>
      <c r="R382" s="713">
        <f t="shared" si="72"/>
        <v>0</v>
      </c>
      <c r="S382" s="358">
        <f t="shared" si="63"/>
        <v>0</v>
      </c>
    </row>
    <row r="383" spans="1:19">
      <c r="A383" s="156"/>
      <c r="B383" s="56"/>
      <c r="C383" s="21">
        <f t="shared" si="64"/>
        <v>1</v>
      </c>
      <c r="D383" s="717"/>
      <c r="E383" s="21">
        <f t="shared" si="65"/>
        <v>1</v>
      </c>
      <c r="F383" s="717"/>
      <c r="G383" s="21">
        <f t="shared" si="66"/>
        <v>1</v>
      </c>
      <c r="H383" s="717"/>
      <c r="I383" s="21">
        <f t="shared" si="67"/>
        <v>1</v>
      </c>
      <c r="J383" s="717"/>
      <c r="K383" s="21">
        <f t="shared" si="68"/>
        <v>1</v>
      </c>
      <c r="L383" s="717"/>
      <c r="M383" s="21">
        <f t="shared" si="69"/>
        <v>1</v>
      </c>
      <c r="N383" s="717"/>
      <c r="O383" s="21">
        <f t="shared" si="70"/>
        <v>1</v>
      </c>
      <c r="P383" s="717"/>
      <c r="Q383" s="21">
        <f t="shared" si="71"/>
        <v>1</v>
      </c>
      <c r="R383" s="713">
        <f t="shared" si="72"/>
        <v>0</v>
      </c>
      <c r="S383" s="358">
        <f t="shared" si="63"/>
        <v>0</v>
      </c>
    </row>
    <row r="384" spans="1:19">
      <c r="A384" s="156"/>
      <c r="B384" s="56"/>
      <c r="C384" s="21">
        <f t="shared" si="64"/>
        <v>1</v>
      </c>
      <c r="D384" s="717"/>
      <c r="E384" s="21">
        <f t="shared" si="65"/>
        <v>1</v>
      </c>
      <c r="F384" s="717"/>
      <c r="G384" s="21">
        <f t="shared" si="66"/>
        <v>1</v>
      </c>
      <c r="H384" s="717"/>
      <c r="I384" s="21">
        <f t="shared" si="67"/>
        <v>1</v>
      </c>
      <c r="J384" s="717"/>
      <c r="K384" s="21">
        <f t="shared" si="68"/>
        <v>1</v>
      </c>
      <c r="L384" s="717"/>
      <c r="M384" s="21">
        <f t="shared" si="69"/>
        <v>1</v>
      </c>
      <c r="N384" s="717"/>
      <c r="O384" s="21">
        <f t="shared" si="70"/>
        <v>1</v>
      </c>
      <c r="P384" s="717"/>
      <c r="Q384" s="21">
        <f t="shared" si="71"/>
        <v>1</v>
      </c>
      <c r="R384" s="713">
        <f t="shared" si="72"/>
        <v>0</v>
      </c>
      <c r="S384" s="358">
        <f t="shared" si="63"/>
        <v>0</v>
      </c>
    </row>
    <row r="385" spans="1:19">
      <c r="A385" s="156"/>
      <c r="B385" s="56"/>
      <c r="C385" s="21">
        <f t="shared" si="64"/>
        <v>1</v>
      </c>
      <c r="D385" s="717"/>
      <c r="E385" s="21">
        <f t="shared" si="65"/>
        <v>1</v>
      </c>
      <c r="F385" s="717"/>
      <c r="G385" s="21">
        <f t="shared" si="66"/>
        <v>1</v>
      </c>
      <c r="H385" s="717"/>
      <c r="I385" s="21">
        <f t="shared" si="67"/>
        <v>1</v>
      </c>
      <c r="J385" s="717"/>
      <c r="K385" s="21">
        <f t="shared" si="68"/>
        <v>1</v>
      </c>
      <c r="L385" s="717"/>
      <c r="M385" s="21">
        <f t="shared" si="69"/>
        <v>1</v>
      </c>
      <c r="N385" s="717"/>
      <c r="O385" s="21">
        <f t="shared" si="70"/>
        <v>1</v>
      </c>
      <c r="P385" s="717"/>
      <c r="Q385" s="21">
        <f t="shared" si="71"/>
        <v>1</v>
      </c>
      <c r="R385" s="713">
        <f t="shared" si="72"/>
        <v>0</v>
      </c>
      <c r="S385" s="358">
        <f t="shared" ref="S385:S422" si="73">ROUND(R385*B385/10000,0)</f>
        <v>0</v>
      </c>
    </row>
    <row r="386" spans="1:19">
      <c r="A386" s="156"/>
      <c r="B386" s="56"/>
      <c r="C386" s="21">
        <f t="shared" si="64"/>
        <v>1</v>
      </c>
      <c r="D386" s="717"/>
      <c r="E386" s="21">
        <f t="shared" si="65"/>
        <v>1</v>
      </c>
      <c r="F386" s="717"/>
      <c r="G386" s="21">
        <f t="shared" si="66"/>
        <v>1</v>
      </c>
      <c r="H386" s="717"/>
      <c r="I386" s="21">
        <f t="shared" si="67"/>
        <v>1</v>
      </c>
      <c r="J386" s="717"/>
      <c r="K386" s="21">
        <f t="shared" si="68"/>
        <v>1</v>
      </c>
      <c r="L386" s="717"/>
      <c r="M386" s="21">
        <f t="shared" si="69"/>
        <v>1</v>
      </c>
      <c r="N386" s="717"/>
      <c r="O386" s="21">
        <f t="shared" si="70"/>
        <v>1</v>
      </c>
      <c r="P386" s="717"/>
      <c r="Q386" s="21">
        <f t="shared" si="71"/>
        <v>1</v>
      </c>
      <c r="R386" s="713">
        <f t="shared" si="72"/>
        <v>0</v>
      </c>
      <c r="S386" s="358">
        <f t="shared" si="73"/>
        <v>0</v>
      </c>
    </row>
    <row r="387" spans="1:19">
      <c r="A387" s="156"/>
      <c r="B387" s="56"/>
      <c r="C387" s="21">
        <f t="shared" si="64"/>
        <v>1</v>
      </c>
      <c r="D387" s="717"/>
      <c r="E387" s="21">
        <f t="shared" si="65"/>
        <v>1</v>
      </c>
      <c r="F387" s="717"/>
      <c r="G387" s="21">
        <f t="shared" si="66"/>
        <v>1</v>
      </c>
      <c r="H387" s="717"/>
      <c r="I387" s="21">
        <f t="shared" si="67"/>
        <v>1</v>
      </c>
      <c r="J387" s="717"/>
      <c r="K387" s="21">
        <f t="shared" si="68"/>
        <v>1</v>
      </c>
      <c r="L387" s="717"/>
      <c r="M387" s="21">
        <f t="shared" si="69"/>
        <v>1</v>
      </c>
      <c r="N387" s="717"/>
      <c r="O387" s="21">
        <f t="shared" si="70"/>
        <v>1</v>
      </c>
      <c r="P387" s="717"/>
      <c r="Q387" s="21">
        <f t="shared" si="71"/>
        <v>1</v>
      </c>
      <c r="R387" s="713">
        <f t="shared" si="72"/>
        <v>0</v>
      </c>
      <c r="S387" s="358">
        <f t="shared" si="73"/>
        <v>0</v>
      </c>
    </row>
    <row r="388" spans="1:19">
      <c r="A388" s="156"/>
      <c r="B388" s="56"/>
      <c r="C388" s="21">
        <f t="shared" si="64"/>
        <v>1</v>
      </c>
      <c r="D388" s="717"/>
      <c r="E388" s="21">
        <f t="shared" si="65"/>
        <v>1</v>
      </c>
      <c r="F388" s="717"/>
      <c r="G388" s="21">
        <f t="shared" si="66"/>
        <v>1</v>
      </c>
      <c r="H388" s="717"/>
      <c r="I388" s="21">
        <f t="shared" si="67"/>
        <v>1</v>
      </c>
      <c r="J388" s="717"/>
      <c r="K388" s="21">
        <f t="shared" si="68"/>
        <v>1</v>
      </c>
      <c r="L388" s="717"/>
      <c r="M388" s="21">
        <f t="shared" si="69"/>
        <v>1</v>
      </c>
      <c r="N388" s="717"/>
      <c r="O388" s="21">
        <f t="shared" si="70"/>
        <v>1</v>
      </c>
      <c r="P388" s="717"/>
      <c r="Q388" s="21">
        <f t="shared" si="71"/>
        <v>1</v>
      </c>
      <c r="R388" s="713">
        <f t="shared" si="72"/>
        <v>0</v>
      </c>
      <c r="S388" s="358">
        <f t="shared" si="73"/>
        <v>0</v>
      </c>
    </row>
    <row r="389" spans="1:19">
      <c r="A389" s="156"/>
      <c r="B389" s="56"/>
      <c r="C389" s="21">
        <f t="shared" si="64"/>
        <v>1</v>
      </c>
      <c r="D389" s="717"/>
      <c r="E389" s="21">
        <f t="shared" si="65"/>
        <v>1</v>
      </c>
      <c r="F389" s="717"/>
      <c r="G389" s="21">
        <f t="shared" si="66"/>
        <v>1</v>
      </c>
      <c r="H389" s="717"/>
      <c r="I389" s="21">
        <f t="shared" si="67"/>
        <v>1</v>
      </c>
      <c r="J389" s="717"/>
      <c r="K389" s="21">
        <f t="shared" si="68"/>
        <v>1</v>
      </c>
      <c r="L389" s="717"/>
      <c r="M389" s="21">
        <f t="shared" si="69"/>
        <v>1</v>
      </c>
      <c r="N389" s="717"/>
      <c r="O389" s="21">
        <f t="shared" si="70"/>
        <v>1</v>
      </c>
      <c r="P389" s="717"/>
      <c r="Q389" s="21">
        <f t="shared" si="71"/>
        <v>1</v>
      </c>
      <c r="R389" s="713">
        <f t="shared" si="72"/>
        <v>0</v>
      </c>
      <c r="S389" s="358">
        <f t="shared" si="73"/>
        <v>0</v>
      </c>
    </row>
    <row r="390" spans="1:19">
      <c r="A390" s="156"/>
      <c r="B390" s="56"/>
      <c r="C390" s="21">
        <f t="shared" si="64"/>
        <v>1</v>
      </c>
      <c r="D390" s="717"/>
      <c r="E390" s="21">
        <f t="shared" si="65"/>
        <v>1</v>
      </c>
      <c r="F390" s="717"/>
      <c r="G390" s="21">
        <f t="shared" si="66"/>
        <v>1</v>
      </c>
      <c r="H390" s="717"/>
      <c r="I390" s="21">
        <f t="shared" si="67"/>
        <v>1</v>
      </c>
      <c r="J390" s="717"/>
      <c r="K390" s="21">
        <f t="shared" si="68"/>
        <v>1</v>
      </c>
      <c r="L390" s="717"/>
      <c r="M390" s="21">
        <f t="shared" si="69"/>
        <v>1</v>
      </c>
      <c r="N390" s="717"/>
      <c r="O390" s="21">
        <f t="shared" si="70"/>
        <v>1</v>
      </c>
      <c r="P390" s="717"/>
      <c r="Q390" s="21">
        <f t="shared" si="71"/>
        <v>1</v>
      </c>
      <c r="R390" s="713">
        <f t="shared" si="72"/>
        <v>0</v>
      </c>
      <c r="S390" s="358">
        <f t="shared" si="73"/>
        <v>0</v>
      </c>
    </row>
    <row r="391" spans="1:19">
      <c r="A391" s="156"/>
      <c r="B391" s="56"/>
      <c r="C391" s="21">
        <f t="shared" si="64"/>
        <v>1</v>
      </c>
      <c r="D391" s="717"/>
      <c r="E391" s="21">
        <f t="shared" si="65"/>
        <v>1</v>
      </c>
      <c r="F391" s="717"/>
      <c r="G391" s="21">
        <f t="shared" si="66"/>
        <v>1</v>
      </c>
      <c r="H391" s="717"/>
      <c r="I391" s="21">
        <f t="shared" si="67"/>
        <v>1</v>
      </c>
      <c r="J391" s="717"/>
      <c r="K391" s="21">
        <f t="shared" si="68"/>
        <v>1</v>
      </c>
      <c r="L391" s="717"/>
      <c r="M391" s="21">
        <f t="shared" si="69"/>
        <v>1</v>
      </c>
      <c r="N391" s="717"/>
      <c r="O391" s="21">
        <f t="shared" si="70"/>
        <v>1</v>
      </c>
      <c r="P391" s="717"/>
      <c r="Q391" s="21">
        <f t="shared" si="71"/>
        <v>1</v>
      </c>
      <c r="R391" s="713">
        <f t="shared" si="72"/>
        <v>0</v>
      </c>
      <c r="S391" s="358">
        <f t="shared" si="73"/>
        <v>0</v>
      </c>
    </row>
    <row r="392" spans="1:19">
      <c r="A392" s="156"/>
      <c r="B392" s="56"/>
      <c r="C392" s="21">
        <f t="shared" si="64"/>
        <v>1</v>
      </c>
      <c r="D392" s="717"/>
      <c r="E392" s="21">
        <f t="shared" si="65"/>
        <v>1</v>
      </c>
      <c r="F392" s="717"/>
      <c r="G392" s="21">
        <f t="shared" si="66"/>
        <v>1</v>
      </c>
      <c r="H392" s="717"/>
      <c r="I392" s="21">
        <f t="shared" si="67"/>
        <v>1</v>
      </c>
      <c r="J392" s="717"/>
      <c r="K392" s="21">
        <f t="shared" si="68"/>
        <v>1</v>
      </c>
      <c r="L392" s="717"/>
      <c r="M392" s="21">
        <f t="shared" si="69"/>
        <v>1</v>
      </c>
      <c r="N392" s="717"/>
      <c r="O392" s="21">
        <f t="shared" si="70"/>
        <v>1</v>
      </c>
      <c r="P392" s="717"/>
      <c r="Q392" s="21">
        <f t="shared" si="71"/>
        <v>1</v>
      </c>
      <c r="R392" s="713">
        <f t="shared" si="72"/>
        <v>0</v>
      </c>
      <c r="S392" s="358">
        <f t="shared" si="73"/>
        <v>0</v>
      </c>
    </row>
    <row r="393" spans="1:19">
      <c r="A393" s="156"/>
      <c r="B393" s="56"/>
      <c r="C393" s="21">
        <f t="shared" si="64"/>
        <v>1</v>
      </c>
      <c r="D393" s="717"/>
      <c r="E393" s="21">
        <f t="shared" si="65"/>
        <v>1</v>
      </c>
      <c r="F393" s="717"/>
      <c r="G393" s="21">
        <f t="shared" si="66"/>
        <v>1</v>
      </c>
      <c r="H393" s="717"/>
      <c r="I393" s="21">
        <f t="shared" si="67"/>
        <v>1</v>
      </c>
      <c r="J393" s="717"/>
      <c r="K393" s="21">
        <f t="shared" si="68"/>
        <v>1</v>
      </c>
      <c r="L393" s="717"/>
      <c r="M393" s="21">
        <f t="shared" si="69"/>
        <v>1</v>
      </c>
      <c r="N393" s="717"/>
      <c r="O393" s="21">
        <f t="shared" si="70"/>
        <v>1</v>
      </c>
      <c r="P393" s="717"/>
      <c r="Q393" s="21">
        <f t="shared" si="71"/>
        <v>1</v>
      </c>
      <c r="R393" s="713">
        <f t="shared" si="72"/>
        <v>0</v>
      </c>
      <c r="S393" s="358">
        <f t="shared" si="73"/>
        <v>0</v>
      </c>
    </row>
    <row r="394" spans="1:19">
      <c r="A394" s="156"/>
      <c r="B394" s="56"/>
      <c r="C394" s="21">
        <f t="shared" si="64"/>
        <v>1</v>
      </c>
      <c r="D394" s="717"/>
      <c r="E394" s="21">
        <f t="shared" si="65"/>
        <v>1</v>
      </c>
      <c r="F394" s="717"/>
      <c r="G394" s="21">
        <f t="shared" si="66"/>
        <v>1</v>
      </c>
      <c r="H394" s="717"/>
      <c r="I394" s="21">
        <f t="shared" si="67"/>
        <v>1</v>
      </c>
      <c r="J394" s="717"/>
      <c r="K394" s="21">
        <f t="shared" si="68"/>
        <v>1</v>
      </c>
      <c r="L394" s="717"/>
      <c r="M394" s="21">
        <f t="shared" si="69"/>
        <v>1</v>
      </c>
      <c r="N394" s="717"/>
      <c r="O394" s="21">
        <f t="shared" si="70"/>
        <v>1</v>
      </c>
      <c r="P394" s="717"/>
      <c r="Q394" s="21">
        <f t="shared" si="71"/>
        <v>1</v>
      </c>
      <c r="R394" s="713">
        <f t="shared" si="72"/>
        <v>0</v>
      </c>
      <c r="S394" s="358">
        <f t="shared" si="73"/>
        <v>0</v>
      </c>
    </row>
    <row r="395" spans="1:19">
      <c r="A395" s="156"/>
      <c r="B395" s="56"/>
      <c r="C395" s="21">
        <f t="shared" si="64"/>
        <v>1</v>
      </c>
      <c r="D395" s="717"/>
      <c r="E395" s="21">
        <f t="shared" si="65"/>
        <v>1</v>
      </c>
      <c r="F395" s="717"/>
      <c r="G395" s="21">
        <f t="shared" si="66"/>
        <v>1</v>
      </c>
      <c r="H395" s="717"/>
      <c r="I395" s="21">
        <f t="shared" si="67"/>
        <v>1</v>
      </c>
      <c r="J395" s="717"/>
      <c r="K395" s="21">
        <f t="shared" si="68"/>
        <v>1</v>
      </c>
      <c r="L395" s="717"/>
      <c r="M395" s="21">
        <f t="shared" si="69"/>
        <v>1</v>
      </c>
      <c r="N395" s="717"/>
      <c r="O395" s="21">
        <f t="shared" si="70"/>
        <v>1</v>
      </c>
      <c r="P395" s="717"/>
      <c r="Q395" s="21">
        <f t="shared" si="71"/>
        <v>1</v>
      </c>
      <c r="R395" s="713">
        <f t="shared" si="72"/>
        <v>0</v>
      </c>
      <c r="S395" s="358">
        <f t="shared" si="73"/>
        <v>0</v>
      </c>
    </row>
    <row r="396" spans="1:19">
      <c r="A396" s="156"/>
      <c r="B396" s="56"/>
      <c r="C396" s="21">
        <f t="shared" si="64"/>
        <v>1</v>
      </c>
      <c r="D396" s="717"/>
      <c r="E396" s="21">
        <f t="shared" si="65"/>
        <v>1</v>
      </c>
      <c r="F396" s="717"/>
      <c r="G396" s="21">
        <f t="shared" si="66"/>
        <v>1</v>
      </c>
      <c r="H396" s="717"/>
      <c r="I396" s="21">
        <f t="shared" si="67"/>
        <v>1</v>
      </c>
      <c r="J396" s="717"/>
      <c r="K396" s="21">
        <f t="shared" si="68"/>
        <v>1</v>
      </c>
      <c r="L396" s="717"/>
      <c r="M396" s="21">
        <f t="shared" si="69"/>
        <v>1</v>
      </c>
      <c r="N396" s="717"/>
      <c r="O396" s="21">
        <f t="shared" si="70"/>
        <v>1</v>
      </c>
      <c r="P396" s="717"/>
      <c r="Q396" s="21">
        <f t="shared" si="71"/>
        <v>1</v>
      </c>
      <c r="R396" s="713">
        <f t="shared" si="72"/>
        <v>0</v>
      </c>
      <c r="S396" s="358">
        <f t="shared" si="73"/>
        <v>0</v>
      </c>
    </row>
    <row r="397" spans="1:19">
      <c r="A397" s="156"/>
      <c r="B397" s="56"/>
      <c r="C397" s="21">
        <f t="shared" si="64"/>
        <v>1</v>
      </c>
      <c r="D397" s="717"/>
      <c r="E397" s="21">
        <f t="shared" si="65"/>
        <v>1</v>
      </c>
      <c r="F397" s="717"/>
      <c r="G397" s="21">
        <f t="shared" si="66"/>
        <v>1</v>
      </c>
      <c r="H397" s="717"/>
      <c r="I397" s="21">
        <f t="shared" si="67"/>
        <v>1</v>
      </c>
      <c r="J397" s="717"/>
      <c r="K397" s="21">
        <f t="shared" si="68"/>
        <v>1</v>
      </c>
      <c r="L397" s="717"/>
      <c r="M397" s="21">
        <f t="shared" si="69"/>
        <v>1</v>
      </c>
      <c r="N397" s="717"/>
      <c r="O397" s="21">
        <f t="shared" si="70"/>
        <v>1</v>
      </c>
      <c r="P397" s="717"/>
      <c r="Q397" s="21">
        <f t="shared" si="71"/>
        <v>1</v>
      </c>
      <c r="R397" s="713">
        <f t="shared" si="72"/>
        <v>0</v>
      </c>
      <c r="S397" s="358">
        <f t="shared" si="73"/>
        <v>0</v>
      </c>
    </row>
    <row r="398" spans="1:19">
      <c r="A398" s="156"/>
      <c r="B398" s="56"/>
      <c r="C398" s="21">
        <f t="shared" si="64"/>
        <v>1</v>
      </c>
      <c r="D398" s="717"/>
      <c r="E398" s="21">
        <f t="shared" si="65"/>
        <v>1</v>
      </c>
      <c r="F398" s="717"/>
      <c r="G398" s="21">
        <f t="shared" si="66"/>
        <v>1</v>
      </c>
      <c r="H398" s="717"/>
      <c r="I398" s="21">
        <f t="shared" si="67"/>
        <v>1</v>
      </c>
      <c r="J398" s="717"/>
      <c r="K398" s="21">
        <f t="shared" si="68"/>
        <v>1</v>
      </c>
      <c r="L398" s="717"/>
      <c r="M398" s="21">
        <f t="shared" si="69"/>
        <v>1</v>
      </c>
      <c r="N398" s="717"/>
      <c r="O398" s="21">
        <f t="shared" si="70"/>
        <v>1</v>
      </c>
      <c r="P398" s="717"/>
      <c r="Q398" s="21">
        <f t="shared" si="71"/>
        <v>1</v>
      </c>
      <c r="R398" s="713">
        <f t="shared" si="72"/>
        <v>0</v>
      </c>
      <c r="S398" s="358">
        <f t="shared" si="73"/>
        <v>0</v>
      </c>
    </row>
    <row r="399" spans="1:19">
      <c r="A399" s="156"/>
      <c r="B399" s="56"/>
      <c r="C399" s="21">
        <f t="shared" si="64"/>
        <v>1</v>
      </c>
      <c r="D399" s="717"/>
      <c r="E399" s="21">
        <f t="shared" si="65"/>
        <v>1</v>
      </c>
      <c r="F399" s="717"/>
      <c r="G399" s="21">
        <f t="shared" si="66"/>
        <v>1</v>
      </c>
      <c r="H399" s="717"/>
      <c r="I399" s="21">
        <f t="shared" si="67"/>
        <v>1</v>
      </c>
      <c r="J399" s="717"/>
      <c r="K399" s="21">
        <f t="shared" si="68"/>
        <v>1</v>
      </c>
      <c r="L399" s="717"/>
      <c r="M399" s="21">
        <f t="shared" si="69"/>
        <v>1</v>
      </c>
      <c r="N399" s="717"/>
      <c r="O399" s="21">
        <f t="shared" si="70"/>
        <v>1</v>
      </c>
      <c r="P399" s="717"/>
      <c r="Q399" s="21">
        <f t="shared" si="71"/>
        <v>1</v>
      </c>
      <c r="R399" s="713">
        <f t="shared" si="72"/>
        <v>0</v>
      </c>
      <c r="S399" s="358">
        <f t="shared" si="73"/>
        <v>0</v>
      </c>
    </row>
    <row r="400" spans="1:19">
      <c r="A400" s="156"/>
      <c r="B400" s="56"/>
      <c r="C400" s="21">
        <f t="shared" si="64"/>
        <v>1</v>
      </c>
      <c r="D400" s="717"/>
      <c r="E400" s="21">
        <f t="shared" si="65"/>
        <v>1</v>
      </c>
      <c r="F400" s="717"/>
      <c r="G400" s="21">
        <f t="shared" si="66"/>
        <v>1</v>
      </c>
      <c r="H400" s="717"/>
      <c r="I400" s="21">
        <f t="shared" si="67"/>
        <v>1</v>
      </c>
      <c r="J400" s="717"/>
      <c r="K400" s="21">
        <f t="shared" si="68"/>
        <v>1</v>
      </c>
      <c r="L400" s="717"/>
      <c r="M400" s="21">
        <f t="shared" si="69"/>
        <v>1</v>
      </c>
      <c r="N400" s="717"/>
      <c r="O400" s="21">
        <f t="shared" si="70"/>
        <v>1</v>
      </c>
      <c r="P400" s="717"/>
      <c r="Q400" s="21">
        <f t="shared" si="71"/>
        <v>1</v>
      </c>
      <c r="R400" s="713">
        <f t="shared" si="72"/>
        <v>0</v>
      </c>
      <c r="S400" s="358">
        <f t="shared" si="73"/>
        <v>0</v>
      </c>
    </row>
    <row r="401" spans="1:19">
      <c r="A401" s="156"/>
      <c r="B401" s="56"/>
      <c r="C401" s="21">
        <f t="shared" si="64"/>
        <v>1</v>
      </c>
      <c r="D401" s="717"/>
      <c r="E401" s="21">
        <f t="shared" si="65"/>
        <v>1</v>
      </c>
      <c r="F401" s="717"/>
      <c r="G401" s="21">
        <f t="shared" si="66"/>
        <v>1</v>
      </c>
      <c r="H401" s="717"/>
      <c r="I401" s="21">
        <f t="shared" si="67"/>
        <v>1</v>
      </c>
      <c r="J401" s="717"/>
      <c r="K401" s="21">
        <f t="shared" si="68"/>
        <v>1</v>
      </c>
      <c r="L401" s="717"/>
      <c r="M401" s="21">
        <f t="shared" si="69"/>
        <v>1</v>
      </c>
      <c r="N401" s="717"/>
      <c r="O401" s="21">
        <f t="shared" si="70"/>
        <v>1</v>
      </c>
      <c r="P401" s="717"/>
      <c r="Q401" s="21">
        <f t="shared" si="71"/>
        <v>1</v>
      </c>
      <c r="R401" s="713">
        <f t="shared" si="72"/>
        <v>0</v>
      </c>
      <c r="S401" s="358">
        <f t="shared" si="73"/>
        <v>0</v>
      </c>
    </row>
    <row r="402" spans="1:19">
      <c r="A402" s="156"/>
      <c r="B402" s="56"/>
      <c r="C402" s="21">
        <f t="shared" si="64"/>
        <v>1</v>
      </c>
      <c r="D402" s="717"/>
      <c r="E402" s="21">
        <f t="shared" si="65"/>
        <v>1</v>
      </c>
      <c r="F402" s="717"/>
      <c r="G402" s="21">
        <f t="shared" si="66"/>
        <v>1</v>
      </c>
      <c r="H402" s="717"/>
      <c r="I402" s="21">
        <f t="shared" si="67"/>
        <v>1</v>
      </c>
      <c r="J402" s="717"/>
      <c r="K402" s="21">
        <f t="shared" si="68"/>
        <v>1</v>
      </c>
      <c r="L402" s="717"/>
      <c r="M402" s="21">
        <f t="shared" si="69"/>
        <v>1</v>
      </c>
      <c r="N402" s="717"/>
      <c r="O402" s="21">
        <f t="shared" si="70"/>
        <v>1</v>
      </c>
      <c r="P402" s="717"/>
      <c r="Q402" s="21">
        <f t="shared" si="71"/>
        <v>1</v>
      </c>
      <c r="R402" s="713">
        <f t="shared" si="72"/>
        <v>0</v>
      </c>
      <c r="S402" s="358">
        <f t="shared" si="73"/>
        <v>0</v>
      </c>
    </row>
    <row r="403" spans="1:19">
      <c r="A403" s="156"/>
      <c r="B403" s="56"/>
      <c r="C403" s="21">
        <f t="shared" si="64"/>
        <v>1</v>
      </c>
      <c r="D403" s="717"/>
      <c r="E403" s="21">
        <f t="shared" si="65"/>
        <v>1</v>
      </c>
      <c r="F403" s="717"/>
      <c r="G403" s="21">
        <f t="shared" si="66"/>
        <v>1</v>
      </c>
      <c r="H403" s="717"/>
      <c r="I403" s="21">
        <f t="shared" si="67"/>
        <v>1</v>
      </c>
      <c r="J403" s="717"/>
      <c r="K403" s="21">
        <f t="shared" si="68"/>
        <v>1</v>
      </c>
      <c r="L403" s="717"/>
      <c r="M403" s="21">
        <f t="shared" si="69"/>
        <v>1</v>
      </c>
      <c r="N403" s="717"/>
      <c r="O403" s="21">
        <f t="shared" si="70"/>
        <v>1</v>
      </c>
      <c r="P403" s="717"/>
      <c r="Q403" s="21">
        <f t="shared" si="71"/>
        <v>1</v>
      </c>
      <c r="R403" s="713">
        <f t="shared" si="72"/>
        <v>0</v>
      </c>
      <c r="S403" s="358">
        <f t="shared" si="73"/>
        <v>0</v>
      </c>
    </row>
    <row r="404" spans="1:19">
      <c r="A404" s="156"/>
      <c r="B404" s="56"/>
      <c r="C404" s="21">
        <f t="shared" si="64"/>
        <v>1</v>
      </c>
      <c r="D404" s="717"/>
      <c r="E404" s="21">
        <f t="shared" si="65"/>
        <v>1</v>
      </c>
      <c r="F404" s="717"/>
      <c r="G404" s="21">
        <f t="shared" si="66"/>
        <v>1</v>
      </c>
      <c r="H404" s="717"/>
      <c r="I404" s="21">
        <f t="shared" si="67"/>
        <v>1</v>
      </c>
      <c r="J404" s="717"/>
      <c r="K404" s="21">
        <f t="shared" si="68"/>
        <v>1</v>
      </c>
      <c r="L404" s="717"/>
      <c r="M404" s="21">
        <f t="shared" si="69"/>
        <v>1</v>
      </c>
      <c r="N404" s="717"/>
      <c r="O404" s="21">
        <f t="shared" si="70"/>
        <v>1</v>
      </c>
      <c r="P404" s="717"/>
      <c r="Q404" s="21">
        <f t="shared" si="71"/>
        <v>1</v>
      </c>
      <c r="R404" s="713">
        <f t="shared" si="72"/>
        <v>0</v>
      </c>
      <c r="S404" s="358">
        <f t="shared" si="73"/>
        <v>0</v>
      </c>
    </row>
    <row r="405" spans="1:19">
      <c r="A405" s="156"/>
      <c r="B405" s="56"/>
      <c r="C405" s="21">
        <f t="shared" si="64"/>
        <v>1</v>
      </c>
      <c r="D405" s="717"/>
      <c r="E405" s="21">
        <f t="shared" si="65"/>
        <v>1</v>
      </c>
      <c r="F405" s="717"/>
      <c r="G405" s="21">
        <f t="shared" si="66"/>
        <v>1</v>
      </c>
      <c r="H405" s="717"/>
      <c r="I405" s="21">
        <f t="shared" si="67"/>
        <v>1</v>
      </c>
      <c r="J405" s="717"/>
      <c r="K405" s="21">
        <f t="shared" si="68"/>
        <v>1</v>
      </c>
      <c r="L405" s="717"/>
      <c r="M405" s="21">
        <f t="shared" si="69"/>
        <v>1</v>
      </c>
      <c r="N405" s="717"/>
      <c r="O405" s="21">
        <f t="shared" si="70"/>
        <v>1</v>
      </c>
      <c r="P405" s="717"/>
      <c r="Q405" s="21">
        <f t="shared" si="71"/>
        <v>1</v>
      </c>
      <c r="R405" s="713">
        <f t="shared" si="72"/>
        <v>0</v>
      </c>
      <c r="S405" s="358">
        <f t="shared" si="73"/>
        <v>0</v>
      </c>
    </row>
    <row r="406" spans="1:19">
      <c r="A406" s="156"/>
      <c r="B406" s="56"/>
      <c r="C406" s="21">
        <f t="shared" si="64"/>
        <v>1</v>
      </c>
      <c r="D406" s="717"/>
      <c r="E406" s="21">
        <f t="shared" si="65"/>
        <v>1</v>
      </c>
      <c r="F406" s="717"/>
      <c r="G406" s="21">
        <f t="shared" si="66"/>
        <v>1</v>
      </c>
      <c r="H406" s="717"/>
      <c r="I406" s="21">
        <f t="shared" si="67"/>
        <v>1</v>
      </c>
      <c r="J406" s="717"/>
      <c r="K406" s="21">
        <f t="shared" si="68"/>
        <v>1</v>
      </c>
      <c r="L406" s="717"/>
      <c r="M406" s="21">
        <f t="shared" si="69"/>
        <v>1</v>
      </c>
      <c r="N406" s="717"/>
      <c r="O406" s="21">
        <f t="shared" si="70"/>
        <v>1</v>
      </c>
      <c r="P406" s="717"/>
      <c r="Q406" s="21">
        <f t="shared" si="71"/>
        <v>1</v>
      </c>
      <c r="R406" s="713">
        <f t="shared" si="72"/>
        <v>0</v>
      </c>
      <c r="S406" s="358">
        <f t="shared" si="73"/>
        <v>0</v>
      </c>
    </row>
    <row r="407" spans="1:19">
      <c r="A407" s="156"/>
      <c r="B407" s="56"/>
      <c r="C407" s="21">
        <f t="shared" si="64"/>
        <v>1</v>
      </c>
      <c r="D407" s="717"/>
      <c r="E407" s="21">
        <f t="shared" si="65"/>
        <v>1</v>
      </c>
      <c r="F407" s="717"/>
      <c r="G407" s="21">
        <f t="shared" si="66"/>
        <v>1</v>
      </c>
      <c r="H407" s="717"/>
      <c r="I407" s="21">
        <f t="shared" si="67"/>
        <v>1</v>
      </c>
      <c r="J407" s="717"/>
      <c r="K407" s="21">
        <f t="shared" si="68"/>
        <v>1</v>
      </c>
      <c r="L407" s="717"/>
      <c r="M407" s="21">
        <f t="shared" si="69"/>
        <v>1</v>
      </c>
      <c r="N407" s="717"/>
      <c r="O407" s="21">
        <f t="shared" si="70"/>
        <v>1</v>
      </c>
      <c r="P407" s="717"/>
      <c r="Q407" s="21">
        <f t="shared" si="71"/>
        <v>1</v>
      </c>
      <c r="R407" s="713">
        <f t="shared" si="72"/>
        <v>0</v>
      </c>
      <c r="S407" s="358">
        <f t="shared" si="73"/>
        <v>0</v>
      </c>
    </row>
    <row r="408" spans="1:19">
      <c r="A408" s="156"/>
      <c r="B408" s="56"/>
      <c r="C408" s="21">
        <f t="shared" si="64"/>
        <v>1</v>
      </c>
      <c r="D408" s="717"/>
      <c r="E408" s="21">
        <f t="shared" si="65"/>
        <v>1</v>
      </c>
      <c r="F408" s="717"/>
      <c r="G408" s="21">
        <f t="shared" si="66"/>
        <v>1</v>
      </c>
      <c r="H408" s="717"/>
      <c r="I408" s="21">
        <f t="shared" si="67"/>
        <v>1</v>
      </c>
      <c r="J408" s="717"/>
      <c r="K408" s="21">
        <f t="shared" si="68"/>
        <v>1</v>
      </c>
      <c r="L408" s="717"/>
      <c r="M408" s="21">
        <f t="shared" si="69"/>
        <v>1</v>
      </c>
      <c r="N408" s="717"/>
      <c r="O408" s="21">
        <f t="shared" si="70"/>
        <v>1</v>
      </c>
      <c r="P408" s="717"/>
      <c r="Q408" s="21">
        <f t="shared" si="71"/>
        <v>1</v>
      </c>
      <c r="R408" s="713">
        <f t="shared" si="72"/>
        <v>0</v>
      </c>
      <c r="S408" s="358">
        <f t="shared" si="73"/>
        <v>0</v>
      </c>
    </row>
    <row r="409" spans="1:19">
      <c r="A409" s="156"/>
      <c r="B409" s="56"/>
      <c r="C409" s="21">
        <f t="shared" si="64"/>
        <v>1</v>
      </c>
      <c r="D409" s="717"/>
      <c r="E409" s="21">
        <f t="shared" si="65"/>
        <v>1</v>
      </c>
      <c r="F409" s="717"/>
      <c r="G409" s="21">
        <f t="shared" si="66"/>
        <v>1</v>
      </c>
      <c r="H409" s="717"/>
      <c r="I409" s="21">
        <f t="shared" si="67"/>
        <v>1</v>
      </c>
      <c r="J409" s="717"/>
      <c r="K409" s="21">
        <f t="shared" si="68"/>
        <v>1</v>
      </c>
      <c r="L409" s="717"/>
      <c r="M409" s="21">
        <f t="shared" si="69"/>
        <v>1</v>
      </c>
      <c r="N409" s="717"/>
      <c r="O409" s="21">
        <f t="shared" si="70"/>
        <v>1</v>
      </c>
      <c r="P409" s="717"/>
      <c r="Q409" s="21">
        <f t="shared" si="71"/>
        <v>1</v>
      </c>
      <c r="R409" s="713">
        <f t="shared" si="72"/>
        <v>0</v>
      </c>
      <c r="S409" s="358">
        <f t="shared" si="73"/>
        <v>0</v>
      </c>
    </row>
    <row r="410" spans="1:19">
      <c r="A410" s="156"/>
      <c r="B410" s="56"/>
      <c r="C410" s="21">
        <f t="shared" ref="C410:C473" si="74">IF(B410="",1,(LOOKUP(B410,$3:$3,$4:$4)-LOOKUP($B$24,$3:$3,$4:$4)+100)/100)</f>
        <v>1</v>
      </c>
      <c r="D410" s="717"/>
      <c r="E410" s="21">
        <f t="shared" ref="E410:E473" si="75">(SUMIF($5:$5,D410,$6:$6)-SUMIF($5:$5,$D$24,$6:$6)+100)/100</f>
        <v>1</v>
      </c>
      <c r="F410" s="717"/>
      <c r="G410" s="21">
        <f t="shared" ref="G410:G473" si="76">(SUMIF($7:$7,F410,$8:$8)-SUMIF($7:$7,$F$24,$8:$8)+100)/100</f>
        <v>1</v>
      </c>
      <c r="H410" s="717"/>
      <c r="I410" s="21">
        <f t="shared" ref="I410:I473" si="77">(SUMIF($9:$9,H410,$10:$10)-SUMIF($9:$9,$H$24,$10:$10)+100)/100</f>
        <v>1</v>
      </c>
      <c r="J410" s="717"/>
      <c r="K410" s="21">
        <f t="shared" ref="K410:K473" si="78">(SUMIF($11:$11,J410,$12:$12)-SUMIF($11:$11,$J$24,$12:$12)+100)/100</f>
        <v>1</v>
      </c>
      <c r="L410" s="717"/>
      <c r="M410" s="21">
        <f t="shared" ref="M410:M473" si="79">(SUMIF($13:$13,L410,$14:$14)-SUMIF($13:$13,$L$24,$14:$14)+100)/100</f>
        <v>1</v>
      </c>
      <c r="N410" s="717"/>
      <c r="O410" s="21">
        <f t="shared" ref="O410:O473" si="80">(SUMIF($15:$15,N410,$16:$16)-SUMIF($15:$15,$N$24,$16:$16)+100)/100</f>
        <v>1</v>
      </c>
      <c r="P410" s="717"/>
      <c r="Q410" s="21">
        <f t="shared" ref="Q410:Q473" si="81">(SUMIF($17:$17,P410,$18:$18)-SUMIF($17:$17,$P$24,$18:$18)+100)/100</f>
        <v>1</v>
      </c>
      <c r="R410" s="713">
        <f t="shared" ref="R410:R473" si="82">IF(B410="",0,ROUND($R$24*C410*E410*G410*I410*K410*M410*O410*Q410,0))</f>
        <v>0</v>
      </c>
      <c r="S410" s="358">
        <f t="shared" si="73"/>
        <v>0</v>
      </c>
    </row>
    <row r="411" spans="1:19">
      <c r="A411" s="156"/>
      <c r="B411" s="56"/>
      <c r="C411" s="21">
        <f t="shared" si="74"/>
        <v>1</v>
      </c>
      <c r="D411" s="717"/>
      <c r="E411" s="21">
        <f t="shared" si="75"/>
        <v>1</v>
      </c>
      <c r="F411" s="717"/>
      <c r="G411" s="21">
        <f t="shared" si="76"/>
        <v>1</v>
      </c>
      <c r="H411" s="717"/>
      <c r="I411" s="21">
        <f t="shared" si="77"/>
        <v>1</v>
      </c>
      <c r="J411" s="717"/>
      <c r="K411" s="21">
        <f t="shared" si="78"/>
        <v>1</v>
      </c>
      <c r="L411" s="717"/>
      <c r="M411" s="21">
        <f t="shared" si="79"/>
        <v>1</v>
      </c>
      <c r="N411" s="717"/>
      <c r="O411" s="21">
        <f t="shared" si="80"/>
        <v>1</v>
      </c>
      <c r="P411" s="717"/>
      <c r="Q411" s="21">
        <f t="shared" si="81"/>
        <v>1</v>
      </c>
      <c r="R411" s="713">
        <f t="shared" si="82"/>
        <v>0</v>
      </c>
      <c r="S411" s="358">
        <f t="shared" si="73"/>
        <v>0</v>
      </c>
    </row>
    <row r="412" spans="1:19">
      <c r="A412" s="156"/>
      <c r="B412" s="56"/>
      <c r="C412" s="21">
        <f t="shared" si="74"/>
        <v>1</v>
      </c>
      <c r="D412" s="717"/>
      <c r="E412" s="21">
        <f t="shared" si="75"/>
        <v>1</v>
      </c>
      <c r="F412" s="717"/>
      <c r="G412" s="21">
        <f t="shared" si="76"/>
        <v>1</v>
      </c>
      <c r="H412" s="717"/>
      <c r="I412" s="21">
        <f t="shared" si="77"/>
        <v>1</v>
      </c>
      <c r="J412" s="717"/>
      <c r="K412" s="21">
        <f t="shared" si="78"/>
        <v>1</v>
      </c>
      <c r="L412" s="717"/>
      <c r="M412" s="21">
        <f t="shared" si="79"/>
        <v>1</v>
      </c>
      <c r="N412" s="717"/>
      <c r="O412" s="21">
        <f t="shared" si="80"/>
        <v>1</v>
      </c>
      <c r="P412" s="717"/>
      <c r="Q412" s="21">
        <f t="shared" si="81"/>
        <v>1</v>
      </c>
      <c r="R412" s="713">
        <f t="shared" si="82"/>
        <v>0</v>
      </c>
      <c r="S412" s="358">
        <f t="shared" si="73"/>
        <v>0</v>
      </c>
    </row>
    <row r="413" spans="1:19">
      <c r="A413" s="156"/>
      <c r="B413" s="56"/>
      <c r="C413" s="21">
        <f t="shared" si="74"/>
        <v>1</v>
      </c>
      <c r="D413" s="717"/>
      <c r="E413" s="21">
        <f t="shared" si="75"/>
        <v>1</v>
      </c>
      <c r="F413" s="717"/>
      <c r="G413" s="21">
        <f t="shared" si="76"/>
        <v>1</v>
      </c>
      <c r="H413" s="717"/>
      <c r="I413" s="21">
        <f t="shared" si="77"/>
        <v>1</v>
      </c>
      <c r="J413" s="717"/>
      <c r="K413" s="21">
        <f t="shared" si="78"/>
        <v>1</v>
      </c>
      <c r="L413" s="717"/>
      <c r="M413" s="21">
        <f t="shared" si="79"/>
        <v>1</v>
      </c>
      <c r="N413" s="717"/>
      <c r="O413" s="21">
        <f t="shared" si="80"/>
        <v>1</v>
      </c>
      <c r="P413" s="717"/>
      <c r="Q413" s="21">
        <f t="shared" si="81"/>
        <v>1</v>
      </c>
      <c r="R413" s="713">
        <f t="shared" si="82"/>
        <v>0</v>
      </c>
      <c r="S413" s="358">
        <f t="shared" si="73"/>
        <v>0</v>
      </c>
    </row>
    <row r="414" spans="1:19">
      <c r="A414" s="156"/>
      <c r="B414" s="56"/>
      <c r="C414" s="21">
        <f t="shared" si="74"/>
        <v>1</v>
      </c>
      <c r="D414" s="717"/>
      <c r="E414" s="21">
        <f t="shared" si="75"/>
        <v>1</v>
      </c>
      <c r="F414" s="717"/>
      <c r="G414" s="21">
        <f t="shared" si="76"/>
        <v>1</v>
      </c>
      <c r="H414" s="717"/>
      <c r="I414" s="21">
        <f t="shared" si="77"/>
        <v>1</v>
      </c>
      <c r="J414" s="717"/>
      <c r="K414" s="21">
        <f t="shared" si="78"/>
        <v>1</v>
      </c>
      <c r="L414" s="717"/>
      <c r="M414" s="21">
        <f t="shared" si="79"/>
        <v>1</v>
      </c>
      <c r="N414" s="717"/>
      <c r="O414" s="21">
        <f t="shared" si="80"/>
        <v>1</v>
      </c>
      <c r="P414" s="717"/>
      <c r="Q414" s="21">
        <f t="shared" si="81"/>
        <v>1</v>
      </c>
      <c r="R414" s="713">
        <f t="shared" si="82"/>
        <v>0</v>
      </c>
      <c r="S414" s="358">
        <f t="shared" si="73"/>
        <v>0</v>
      </c>
    </row>
    <row r="415" spans="1:19">
      <c r="A415" s="156"/>
      <c r="B415" s="56"/>
      <c r="C415" s="21">
        <f t="shared" si="74"/>
        <v>1</v>
      </c>
      <c r="D415" s="717"/>
      <c r="E415" s="21">
        <f t="shared" si="75"/>
        <v>1</v>
      </c>
      <c r="F415" s="717"/>
      <c r="G415" s="21">
        <f t="shared" si="76"/>
        <v>1</v>
      </c>
      <c r="H415" s="717"/>
      <c r="I415" s="21">
        <f t="shared" si="77"/>
        <v>1</v>
      </c>
      <c r="J415" s="717"/>
      <c r="K415" s="21">
        <f t="shared" si="78"/>
        <v>1</v>
      </c>
      <c r="L415" s="717"/>
      <c r="M415" s="21">
        <f t="shared" si="79"/>
        <v>1</v>
      </c>
      <c r="N415" s="717"/>
      <c r="O415" s="21">
        <f t="shared" si="80"/>
        <v>1</v>
      </c>
      <c r="P415" s="717"/>
      <c r="Q415" s="21">
        <f t="shared" si="81"/>
        <v>1</v>
      </c>
      <c r="R415" s="713">
        <f t="shared" si="82"/>
        <v>0</v>
      </c>
      <c r="S415" s="358">
        <f t="shared" si="73"/>
        <v>0</v>
      </c>
    </row>
    <row r="416" spans="1:19">
      <c r="A416" s="156"/>
      <c r="B416" s="56"/>
      <c r="C416" s="21">
        <f t="shared" si="74"/>
        <v>1</v>
      </c>
      <c r="D416" s="717"/>
      <c r="E416" s="21">
        <f t="shared" si="75"/>
        <v>1</v>
      </c>
      <c r="F416" s="717"/>
      <c r="G416" s="21">
        <f t="shared" si="76"/>
        <v>1</v>
      </c>
      <c r="H416" s="717"/>
      <c r="I416" s="21">
        <f t="shared" si="77"/>
        <v>1</v>
      </c>
      <c r="J416" s="717"/>
      <c r="K416" s="21">
        <f t="shared" si="78"/>
        <v>1</v>
      </c>
      <c r="L416" s="717"/>
      <c r="M416" s="21">
        <f t="shared" si="79"/>
        <v>1</v>
      </c>
      <c r="N416" s="717"/>
      <c r="O416" s="21">
        <f t="shared" si="80"/>
        <v>1</v>
      </c>
      <c r="P416" s="717"/>
      <c r="Q416" s="21">
        <f t="shared" si="81"/>
        <v>1</v>
      </c>
      <c r="R416" s="713">
        <f t="shared" si="82"/>
        <v>0</v>
      </c>
      <c r="S416" s="358">
        <f t="shared" si="73"/>
        <v>0</v>
      </c>
    </row>
    <row r="417" spans="1:19">
      <c r="A417" s="156"/>
      <c r="B417" s="56"/>
      <c r="C417" s="21">
        <f t="shared" si="74"/>
        <v>1</v>
      </c>
      <c r="D417" s="717"/>
      <c r="E417" s="21">
        <f t="shared" si="75"/>
        <v>1</v>
      </c>
      <c r="F417" s="717"/>
      <c r="G417" s="21">
        <f t="shared" si="76"/>
        <v>1</v>
      </c>
      <c r="H417" s="717"/>
      <c r="I417" s="21">
        <f t="shared" si="77"/>
        <v>1</v>
      </c>
      <c r="J417" s="717"/>
      <c r="K417" s="21">
        <f t="shared" si="78"/>
        <v>1</v>
      </c>
      <c r="L417" s="717"/>
      <c r="M417" s="21">
        <f t="shared" si="79"/>
        <v>1</v>
      </c>
      <c r="N417" s="717"/>
      <c r="O417" s="21">
        <f t="shared" si="80"/>
        <v>1</v>
      </c>
      <c r="P417" s="717"/>
      <c r="Q417" s="21">
        <f t="shared" si="81"/>
        <v>1</v>
      </c>
      <c r="R417" s="713">
        <f t="shared" si="82"/>
        <v>0</v>
      </c>
      <c r="S417" s="358">
        <f t="shared" si="73"/>
        <v>0</v>
      </c>
    </row>
    <row r="418" spans="1:19">
      <c r="A418" s="156"/>
      <c r="B418" s="56"/>
      <c r="C418" s="21">
        <f t="shared" si="74"/>
        <v>1</v>
      </c>
      <c r="D418" s="717"/>
      <c r="E418" s="21">
        <f t="shared" si="75"/>
        <v>1</v>
      </c>
      <c r="F418" s="717"/>
      <c r="G418" s="21">
        <f t="shared" si="76"/>
        <v>1</v>
      </c>
      <c r="H418" s="717"/>
      <c r="I418" s="21">
        <f t="shared" si="77"/>
        <v>1</v>
      </c>
      <c r="J418" s="717"/>
      <c r="K418" s="21">
        <f t="shared" si="78"/>
        <v>1</v>
      </c>
      <c r="L418" s="717"/>
      <c r="M418" s="21">
        <f t="shared" si="79"/>
        <v>1</v>
      </c>
      <c r="N418" s="717"/>
      <c r="O418" s="21">
        <f t="shared" si="80"/>
        <v>1</v>
      </c>
      <c r="P418" s="717"/>
      <c r="Q418" s="21">
        <f t="shared" si="81"/>
        <v>1</v>
      </c>
      <c r="R418" s="713">
        <f t="shared" si="82"/>
        <v>0</v>
      </c>
      <c r="S418" s="358">
        <f t="shared" si="73"/>
        <v>0</v>
      </c>
    </row>
    <row r="419" spans="1:19">
      <c r="A419" s="156"/>
      <c r="B419" s="56"/>
      <c r="C419" s="21">
        <f t="shared" si="74"/>
        <v>1</v>
      </c>
      <c r="D419" s="717"/>
      <c r="E419" s="21">
        <f t="shared" si="75"/>
        <v>1</v>
      </c>
      <c r="F419" s="717"/>
      <c r="G419" s="21">
        <f t="shared" si="76"/>
        <v>1</v>
      </c>
      <c r="H419" s="717"/>
      <c r="I419" s="21">
        <f t="shared" si="77"/>
        <v>1</v>
      </c>
      <c r="J419" s="717"/>
      <c r="K419" s="21">
        <f t="shared" si="78"/>
        <v>1</v>
      </c>
      <c r="L419" s="717"/>
      <c r="M419" s="21">
        <f t="shared" si="79"/>
        <v>1</v>
      </c>
      <c r="N419" s="717"/>
      <c r="O419" s="21">
        <f t="shared" si="80"/>
        <v>1</v>
      </c>
      <c r="P419" s="717"/>
      <c r="Q419" s="21">
        <f t="shared" si="81"/>
        <v>1</v>
      </c>
      <c r="R419" s="713">
        <f t="shared" si="82"/>
        <v>0</v>
      </c>
      <c r="S419" s="358">
        <f t="shared" si="73"/>
        <v>0</v>
      </c>
    </row>
    <row r="420" spans="1:19">
      <c r="A420" s="156"/>
      <c r="B420" s="56"/>
      <c r="C420" s="21">
        <f t="shared" si="74"/>
        <v>1</v>
      </c>
      <c r="D420" s="717"/>
      <c r="E420" s="21">
        <f t="shared" si="75"/>
        <v>1</v>
      </c>
      <c r="F420" s="717"/>
      <c r="G420" s="21">
        <f t="shared" si="76"/>
        <v>1</v>
      </c>
      <c r="H420" s="717"/>
      <c r="I420" s="21">
        <f t="shared" si="77"/>
        <v>1</v>
      </c>
      <c r="J420" s="717"/>
      <c r="K420" s="21">
        <f t="shared" si="78"/>
        <v>1</v>
      </c>
      <c r="L420" s="717"/>
      <c r="M420" s="21">
        <f t="shared" si="79"/>
        <v>1</v>
      </c>
      <c r="N420" s="717"/>
      <c r="O420" s="21">
        <f t="shared" si="80"/>
        <v>1</v>
      </c>
      <c r="P420" s="717"/>
      <c r="Q420" s="21">
        <f t="shared" si="81"/>
        <v>1</v>
      </c>
      <c r="R420" s="713">
        <f t="shared" si="82"/>
        <v>0</v>
      </c>
      <c r="S420" s="358">
        <f t="shared" si="73"/>
        <v>0</v>
      </c>
    </row>
    <row r="421" spans="1:19">
      <c r="A421" s="156"/>
      <c r="B421" s="56"/>
      <c r="C421" s="21">
        <f t="shared" si="74"/>
        <v>1</v>
      </c>
      <c r="D421" s="717"/>
      <c r="E421" s="21">
        <f t="shared" si="75"/>
        <v>1</v>
      </c>
      <c r="F421" s="717"/>
      <c r="G421" s="21">
        <f t="shared" si="76"/>
        <v>1</v>
      </c>
      <c r="H421" s="717"/>
      <c r="I421" s="21">
        <f t="shared" si="77"/>
        <v>1</v>
      </c>
      <c r="J421" s="717"/>
      <c r="K421" s="21">
        <f t="shared" si="78"/>
        <v>1</v>
      </c>
      <c r="L421" s="717"/>
      <c r="M421" s="21">
        <f t="shared" si="79"/>
        <v>1</v>
      </c>
      <c r="N421" s="717"/>
      <c r="O421" s="21">
        <f t="shared" si="80"/>
        <v>1</v>
      </c>
      <c r="P421" s="717"/>
      <c r="Q421" s="21">
        <f t="shared" si="81"/>
        <v>1</v>
      </c>
      <c r="R421" s="713">
        <f t="shared" si="82"/>
        <v>0</v>
      </c>
      <c r="S421" s="358">
        <f t="shared" si="73"/>
        <v>0</v>
      </c>
    </row>
    <row r="422" spans="1:19">
      <c r="A422" s="156"/>
      <c r="B422" s="56"/>
      <c r="C422" s="21">
        <f t="shared" si="74"/>
        <v>1</v>
      </c>
      <c r="D422" s="717"/>
      <c r="E422" s="21">
        <f t="shared" si="75"/>
        <v>1</v>
      </c>
      <c r="F422" s="717"/>
      <c r="G422" s="21">
        <f t="shared" si="76"/>
        <v>1</v>
      </c>
      <c r="H422" s="717"/>
      <c r="I422" s="21">
        <f t="shared" si="77"/>
        <v>1</v>
      </c>
      <c r="J422" s="717"/>
      <c r="K422" s="21">
        <f t="shared" si="78"/>
        <v>1</v>
      </c>
      <c r="L422" s="717"/>
      <c r="M422" s="21">
        <f t="shared" si="79"/>
        <v>1</v>
      </c>
      <c r="N422" s="717"/>
      <c r="O422" s="21">
        <f t="shared" si="80"/>
        <v>1</v>
      </c>
      <c r="P422" s="717"/>
      <c r="Q422" s="21">
        <f t="shared" si="81"/>
        <v>1</v>
      </c>
      <c r="R422" s="713">
        <f t="shared" si="82"/>
        <v>0</v>
      </c>
      <c r="S422" s="358">
        <f t="shared" si="73"/>
        <v>0</v>
      </c>
    </row>
    <row r="423" spans="1:19">
      <c r="A423" s="156"/>
      <c r="B423" s="56"/>
      <c r="C423" s="21">
        <f t="shared" si="74"/>
        <v>1</v>
      </c>
      <c r="D423" s="717"/>
      <c r="E423" s="21">
        <f t="shared" si="75"/>
        <v>1</v>
      </c>
      <c r="F423" s="717"/>
      <c r="G423" s="21">
        <f t="shared" si="76"/>
        <v>1</v>
      </c>
      <c r="H423" s="717"/>
      <c r="I423" s="21">
        <f t="shared" si="77"/>
        <v>1</v>
      </c>
      <c r="J423" s="717"/>
      <c r="K423" s="21">
        <f t="shared" si="78"/>
        <v>1</v>
      </c>
      <c r="L423" s="717"/>
      <c r="M423" s="21">
        <f t="shared" si="79"/>
        <v>1</v>
      </c>
      <c r="N423" s="717"/>
      <c r="O423" s="21">
        <f t="shared" si="80"/>
        <v>1</v>
      </c>
      <c r="P423" s="717"/>
      <c r="Q423" s="21">
        <f t="shared" si="81"/>
        <v>1</v>
      </c>
      <c r="R423" s="713">
        <f t="shared" si="82"/>
        <v>0</v>
      </c>
      <c r="S423" s="358">
        <f t="shared" ref="S423:S467" si="83">ROUND(R423*B423/10000,0)</f>
        <v>0</v>
      </c>
    </row>
    <row r="424" spans="1:19">
      <c r="A424" s="156"/>
      <c r="B424" s="56"/>
      <c r="C424" s="21">
        <f t="shared" si="74"/>
        <v>1</v>
      </c>
      <c r="D424" s="717"/>
      <c r="E424" s="21">
        <f t="shared" si="75"/>
        <v>1</v>
      </c>
      <c r="F424" s="717"/>
      <c r="G424" s="21">
        <f t="shared" si="76"/>
        <v>1</v>
      </c>
      <c r="H424" s="717"/>
      <c r="I424" s="21">
        <f t="shared" si="77"/>
        <v>1</v>
      </c>
      <c r="J424" s="717"/>
      <c r="K424" s="21">
        <f t="shared" si="78"/>
        <v>1</v>
      </c>
      <c r="L424" s="717"/>
      <c r="M424" s="21">
        <f t="shared" si="79"/>
        <v>1</v>
      </c>
      <c r="N424" s="717"/>
      <c r="O424" s="21">
        <f t="shared" si="80"/>
        <v>1</v>
      </c>
      <c r="P424" s="717"/>
      <c r="Q424" s="21">
        <f t="shared" si="81"/>
        <v>1</v>
      </c>
      <c r="R424" s="713">
        <f t="shared" si="82"/>
        <v>0</v>
      </c>
      <c r="S424" s="358">
        <f t="shared" si="83"/>
        <v>0</v>
      </c>
    </row>
    <row r="425" spans="1:19">
      <c r="A425" s="156"/>
      <c r="B425" s="56"/>
      <c r="C425" s="21">
        <f t="shared" si="74"/>
        <v>1</v>
      </c>
      <c r="D425" s="717"/>
      <c r="E425" s="21">
        <f t="shared" si="75"/>
        <v>1</v>
      </c>
      <c r="F425" s="717"/>
      <c r="G425" s="21">
        <f t="shared" si="76"/>
        <v>1</v>
      </c>
      <c r="H425" s="717"/>
      <c r="I425" s="21">
        <f t="shared" si="77"/>
        <v>1</v>
      </c>
      <c r="J425" s="717"/>
      <c r="K425" s="21">
        <f t="shared" si="78"/>
        <v>1</v>
      </c>
      <c r="L425" s="717"/>
      <c r="M425" s="21">
        <f t="shared" si="79"/>
        <v>1</v>
      </c>
      <c r="N425" s="717"/>
      <c r="O425" s="21">
        <f t="shared" si="80"/>
        <v>1</v>
      </c>
      <c r="P425" s="717"/>
      <c r="Q425" s="21">
        <f t="shared" si="81"/>
        <v>1</v>
      </c>
      <c r="R425" s="713">
        <f t="shared" si="82"/>
        <v>0</v>
      </c>
      <c r="S425" s="358">
        <f t="shared" si="83"/>
        <v>0</v>
      </c>
    </row>
    <row r="426" spans="1:19">
      <c r="A426" s="156"/>
      <c r="B426" s="56"/>
      <c r="C426" s="21">
        <f t="shared" si="74"/>
        <v>1</v>
      </c>
      <c r="D426" s="717"/>
      <c r="E426" s="21">
        <f t="shared" si="75"/>
        <v>1</v>
      </c>
      <c r="F426" s="717"/>
      <c r="G426" s="21">
        <f t="shared" si="76"/>
        <v>1</v>
      </c>
      <c r="H426" s="717"/>
      <c r="I426" s="21">
        <f t="shared" si="77"/>
        <v>1</v>
      </c>
      <c r="J426" s="717"/>
      <c r="K426" s="21">
        <f t="shared" si="78"/>
        <v>1</v>
      </c>
      <c r="L426" s="717"/>
      <c r="M426" s="21">
        <f t="shared" si="79"/>
        <v>1</v>
      </c>
      <c r="N426" s="717"/>
      <c r="O426" s="21">
        <f t="shared" si="80"/>
        <v>1</v>
      </c>
      <c r="P426" s="717"/>
      <c r="Q426" s="21">
        <f t="shared" si="81"/>
        <v>1</v>
      </c>
      <c r="R426" s="713">
        <f t="shared" si="82"/>
        <v>0</v>
      </c>
      <c r="S426" s="358">
        <f t="shared" si="83"/>
        <v>0</v>
      </c>
    </row>
    <row r="427" spans="1:19">
      <c r="A427" s="156"/>
      <c r="B427" s="56"/>
      <c r="C427" s="21">
        <f t="shared" si="74"/>
        <v>1</v>
      </c>
      <c r="D427" s="717"/>
      <c r="E427" s="21">
        <f t="shared" si="75"/>
        <v>1</v>
      </c>
      <c r="F427" s="717"/>
      <c r="G427" s="21">
        <f t="shared" si="76"/>
        <v>1</v>
      </c>
      <c r="H427" s="717"/>
      <c r="I427" s="21">
        <f t="shared" si="77"/>
        <v>1</v>
      </c>
      <c r="J427" s="717"/>
      <c r="K427" s="21">
        <f t="shared" si="78"/>
        <v>1</v>
      </c>
      <c r="L427" s="717"/>
      <c r="M427" s="21">
        <f t="shared" si="79"/>
        <v>1</v>
      </c>
      <c r="N427" s="717"/>
      <c r="O427" s="21">
        <f t="shared" si="80"/>
        <v>1</v>
      </c>
      <c r="P427" s="717"/>
      <c r="Q427" s="21">
        <f t="shared" si="81"/>
        <v>1</v>
      </c>
      <c r="R427" s="713">
        <f t="shared" si="82"/>
        <v>0</v>
      </c>
      <c r="S427" s="358">
        <f t="shared" si="83"/>
        <v>0</v>
      </c>
    </row>
    <row r="428" spans="1:19">
      <c r="A428" s="156"/>
      <c r="B428" s="56"/>
      <c r="C428" s="21">
        <f t="shared" si="74"/>
        <v>1</v>
      </c>
      <c r="D428" s="717"/>
      <c r="E428" s="21">
        <f t="shared" si="75"/>
        <v>1</v>
      </c>
      <c r="F428" s="717"/>
      <c r="G428" s="21">
        <f t="shared" si="76"/>
        <v>1</v>
      </c>
      <c r="H428" s="717"/>
      <c r="I428" s="21">
        <f t="shared" si="77"/>
        <v>1</v>
      </c>
      <c r="J428" s="717"/>
      <c r="K428" s="21">
        <f t="shared" si="78"/>
        <v>1</v>
      </c>
      <c r="L428" s="717"/>
      <c r="M428" s="21">
        <f t="shared" si="79"/>
        <v>1</v>
      </c>
      <c r="N428" s="717"/>
      <c r="O428" s="21">
        <f t="shared" si="80"/>
        <v>1</v>
      </c>
      <c r="P428" s="717"/>
      <c r="Q428" s="21">
        <f t="shared" si="81"/>
        <v>1</v>
      </c>
      <c r="R428" s="713">
        <f t="shared" si="82"/>
        <v>0</v>
      </c>
      <c r="S428" s="358">
        <f t="shared" si="83"/>
        <v>0</v>
      </c>
    </row>
    <row r="429" spans="1:19">
      <c r="A429" s="156"/>
      <c r="B429" s="56"/>
      <c r="C429" s="21">
        <f t="shared" si="74"/>
        <v>1</v>
      </c>
      <c r="D429" s="717"/>
      <c r="E429" s="21">
        <f t="shared" si="75"/>
        <v>1</v>
      </c>
      <c r="F429" s="717"/>
      <c r="G429" s="21">
        <f t="shared" si="76"/>
        <v>1</v>
      </c>
      <c r="H429" s="717"/>
      <c r="I429" s="21">
        <f t="shared" si="77"/>
        <v>1</v>
      </c>
      <c r="J429" s="717"/>
      <c r="K429" s="21">
        <f t="shared" si="78"/>
        <v>1</v>
      </c>
      <c r="L429" s="717"/>
      <c r="M429" s="21">
        <f t="shared" si="79"/>
        <v>1</v>
      </c>
      <c r="N429" s="717"/>
      <c r="O429" s="21">
        <f t="shared" si="80"/>
        <v>1</v>
      </c>
      <c r="P429" s="717"/>
      <c r="Q429" s="21">
        <f t="shared" si="81"/>
        <v>1</v>
      </c>
      <c r="R429" s="713">
        <f t="shared" si="82"/>
        <v>0</v>
      </c>
      <c r="S429" s="358">
        <f t="shared" si="83"/>
        <v>0</v>
      </c>
    </row>
    <row r="430" spans="1:19">
      <c r="A430" s="156"/>
      <c r="B430" s="56"/>
      <c r="C430" s="21">
        <f t="shared" si="74"/>
        <v>1</v>
      </c>
      <c r="D430" s="717"/>
      <c r="E430" s="21">
        <f t="shared" si="75"/>
        <v>1</v>
      </c>
      <c r="F430" s="717"/>
      <c r="G430" s="21">
        <f t="shared" si="76"/>
        <v>1</v>
      </c>
      <c r="H430" s="717"/>
      <c r="I430" s="21">
        <f t="shared" si="77"/>
        <v>1</v>
      </c>
      <c r="J430" s="717"/>
      <c r="K430" s="21">
        <f t="shared" si="78"/>
        <v>1</v>
      </c>
      <c r="L430" s="717"/>
      <c r="M430" s="21">
        <f t="shared" si="79"/>
        <v>1</v>
      </c>
      <c r="N430" s="717"/>
      <c r="O430" s="21">
        <f t="shared" si="80"/>
        <v>1</v>
      </c>
      <c r="P430" s="717"/>
      <c r="Q430" s="21">
        <f t="shared" si="81"/>
        <v>1</v>
      </c>
      <c r="R430" s="713">
        <f t="shared" si="82"/>
        <v>0</v>
      </c>
      <c r="S430" s="358">
        <f t="shared" si="83"/>
        <v>0</v>
      </c>
    </row>
    <row r="431" spans="1:19">
      <c r="A431" s="156"/>
      <c r="B431" s="56"/>
      <c r="C431" s="21">
        <f t="shared" si="74"/>
        <v>1</v>
      </c>
      <c r="D431" s="717"/>
      <c r="E431" s="21">
        <f t="shared" si="75"/>
        <v>1</v>
      </c>
      <c r="F431" s="717"/>
      <c r="G431" s="21">
        <f t="shared" si="76"/>
        <v>1</v>
      </c>
      <c r="H431" s="717"/>
      <c r="I431" s="21">
        <f t="shared" si="77"/>
        <v>1</v>
      </c>
      <c r="J431" s="717"/>
      <c r="K431" s="21">
        <f t="shared" si="78"/>
        <v>1</v>
      </c>
      <c r="L431" s="717"/>
      <c r="M431" s="21">
        <f t="shared" si="79"/>
        <v>1</v>
      </c>
      <c r="N431" s="717"/>
      <c r="O431" s="21">
        <f t="shared" si="80"/>
        <v>1</v>
      </c>
      <c r="P431" s="717"/>
      <c r="Q431" s="21">
        <f t="shared" si="81"/>
        <v>1</v>
      </c>
      <c r="R431" s="713">
        <f t="shared" si="82"/>
        <v>0</v>
      </c>
      <c r="S431" s="358">
        <f t="shared" si="83"/>
        <v>0</v>
      </c>
    </row>
    <row r="432" spans="1:19">
      <c r="A432" s="156"/>
      <c r="B432" s="56"/>
      <c r="C432" s="21">
        <f t="shared" si="74"/>
        <v>1</v>
      </c>
      <c r="D432" s="717"/>
      <c r="E432" s="21">
        <f t="shared" si="75"/>
        <v>1</v>
      </c>
      <c r="F432" s="717"/>
      <c r="G432" s="21">
        <f t="shared" si="76"/>
        <v>1</v>
      </c>
      <c r="H432" s="717"/>
      <c r="I432" s="21">
        <f t="shared" si="77"/>
        <v>1</v>
      </c>
      <c r="J432" s="717"/>
      <c r="K432" s="21">
        <f t="shared" si="78"/>
        <v>1</v>
      </c>
      <c r="L432" s="717"/>
      <c r="M432" s="21">
        <f t="shared" si="79"/>
        <v>1</v>
      </c>
      <c r="N432" s="717"/>
      <c r="O432" s="21">
        <f t="shared" si="80"/>
        <v>1</v>
      </c>
      <c r="P432" s="717"/>
      <c r="Q432" s="21">
        <f t="shared" si="81"/>
        <v>1</v>
      </c>
      <c r="R432" s="713">
        <f t="shared" si="82"/>
        <v>0</v>
      </c>
      <c r="S432" s="358">
        <f t="shared" si="83"/>
        <v>0</v>
      </c>
    </row>
    <row r="433" spans="1:19">
      <c r="A433" s="156"/>
      <c r="B433" s="56"/>
      <c r="C433" s="21">
        <f t="shared" si="74"/>
        <v>1</v>
      </c>
      <c r="D433" s="717"/>
      <c r="E433" s="21">
        <f t="shared" si="75"/>
        <v>1</v>
      </c>
      <c r="F433" s="717"/>
      <c r="G433" s="21">
        <f t="shared" si="76"/>
        <v>1</v>
      </c>
      <c r="H433" s="717"/>
      <c r="I433" s="21">
        <f t="shared" si="77"/>
        <v>1</v>
      </c>
      <c r="J433" s="717"/>
      <c r="K433" s="21">
        <f t="shared" si="78"/>
        <v>1</v>
      </c>
      <c r="L433" s="717"/>
      <c r="M433" s="21">
        <f t="shared" si="79"/>
        <v>1</v>
      </c>
      <c r="N433" s="717"/>
      <c r="O433" s="21">
        <f t="shared" si="80"/>
        <v>1</v>
      </c>
      <c r="P433" s="717"/>
      <c r="Q433" s="21">
        <f t="shared" si="81"/>
        <v>1</v>
      </c>
      <c r="R433" s="713">
        <f t="shared" si="82"/>
        <v>0</v>
      </c>
      <c r="S433" s="358">
        <f t="shared" si="83"/>
        <v>0</v>
      </c>
    </row>
    <row r="434" spans="1:19">
      <c r="A434" s="156"/>
      <c r="B434" s="56"/>
      <c r="C434" s="21">
        <f t="shared" si="74"/>
        <v>1</v>
      </c>
      <c r="D434" s="717"/>
      <c r="E434" s="21">
        <f t="shared" si="75"/>
        <v>1</v>
      </c>
      <c r="F434" s="717"/>
      <c r="G434" s="21">
        <f t="shared" si="76"/>
        <v>1</v>
      </c>
      <c r="H434" s="717"/>
      <c r="I434" s="21">
        <f t="shared" si="77"/>
        <v>1</v>
      </c>
      <c r="J434" s="717"/>
      <c r="K434" s="21">
        <f t="shared" si="78"/>
        <v>1</v>
      </c>
      <c r="L434" s="717"/>
      <c r="M434" s="21">
        <f t="shared" si="79"/>
        <v>1</v>
      </c>
      <c r="N434" s="717"/>
      <c r="O434" s="21">
        <f t="shared" si="80"/>
        <v>1</v>
      </c>
      <c r="P434" s="717"/>
      <c r="Q434" s="21">
        <f t="shared" si="81"/>
        <v>1</v>
      </c>
      <c r="R434" s="713">
        <f t="shared" si="82"/>
        <v>0</v>
      </c>
      <c r="S434" s="358">
        <f t="shared" si="83"/>
        <v>0</v>
      </c>
    </row>
    <row r="435" spans="1:19">
      <c r="A435" s="156"/>
      <c r="B435" s="56"/>
      <c r="C435" s="21">
        <f t="shared" si="74"/>
        <v>1</v>
      </c>
      <c r="D435" s="717"/>
      <c r="E435" s="21">
        <f t="shared" si="75"/>
        <v>1</v>
      </c>
      <c r="F435" s="717"/>
      <c r="G435" s="21">
        <f t="shared" si="76"/>
        <v>1</v>
      </c>
      <c r="H435" s="717"/>
      <c r="I435" s="21">
        <f t="shared" si="77"/>
        <v>1</v>
      </c>
      <c r="J435" s="717"/>
      <c r="K435" s="21">
        <f t="shared" si="78"/>
        <v>1</v>
      </c>
      <c r="L435" s="717"/>
      <c r="M435" s="21">
        <f t="shared" si="79"/>
        <v>1</v>
      </c>
      <c r="N435" s="717"/>
      <c r="O435" s="21">
        <f t="shared" si="80"/>
        <v>1</v>
      </c>
      <c r="P435" s="717"/>
      <c r="Q435" s="21">
        <f t="shared" si="81"/>
        <v>1</v>
      </c>
      <c r="R435" s="713">
        <f t="shared" si="82"/>
        <v>0</v>
      </c>
      <c r="S435" s="358">
        <f t="shared" si="83"/>
        <v>0</v>
      </c>
    </row>
    <row r="436" spans="1:19">
      <c r="A436" s="156"/>
      <c r="B436" s="56"/>
      <c r="C436" s="21">
        <f t="shared" si="74"/>
        <v>1</v>
      </c>
      <c r="D436" s="717"/>
      <c r="E436" s="21">
        <f t="shared" si="75"/>
        <v>1</v>
      </c>
      <c r="F436" s="717"/>
      <c r="G436" s="21">
        <f t="shared" si="76"/>
        <v>1</v>
      </c>
      <c r="H436" s="717"/>
      <c r="I436" s="21">
        <f t="shared" si="77"/>
        <v>1</v>
      </c>
      <c r="J436" s="717"/>
      <c r="K436" s="21">
        <f t="shared" si="78"/>
        <v>1</v>
      </c>
      <c r="L436" s="717"/>
      <c r="M436" s="21">
        <f t="shared" si="79"/>
        <v>1</v>
      </c>
      <c r="N436" s="717"/>
      <c r="O436" s="21">
        <f t="shared" si="80"/>
        <v>1</v>
      </c>
      <c r="P436" s="717"/>
      <c r="Q436" s="21">
        <f t="shared" si="81"/>
        <v>1</v>
      </c>
      <c r="R436" s="713">
        <f t="shared" si="82"/>
        <v>0</v>
      </c>
      <c r="S436" s="358">
        <f t="shared" si="83"/>
        <v>0</v>
      </c>
    </row>
    <row r="437" spans="1:19">
      <c r="A437" s="156"/>
      <c r="B437" s="56"/>
      <c r="C437" s="21">
        <f t="shared" si="74"/>
        <v>1</v>
      </c>
      <c r="D437" s="717"/>
      <c r="E437" s="21">
        <f t="shared" si="75"/>
        <v>1</v>
      </c>
      <c r="F437" s="717"/>
      <c r="G437" s="21">
        <f t="shared" si="76"/>
        <v>1</v>
      </c>
      <c r="H437" s="717"/>
      <c r="I437" s="21">
        <f t="shared" si="77"/>
        <v>1</v>
      </c>
      <c r="J437" s="717"/>
      <c r="K437" s="21">
        <f t="shared" si="78"/>
        <v>1</v>
      </c>
      <c r="L437" s="717"/>
      <c r="M437" s="21">
        <f t="shared" si="79"/>
        <v>1</v>
      </c>
      <c r="N437" s="717"/>
      <c r="O437" s="21">
        <f t="shared" si="80"/>
        <v>1</v>
      </c>
      <c r="P437" s="717"/>
      <c r="Q437" s="21">
        <f t="shared" si="81"/>
        <v>1</v>
      </c>
      <c r="R437" s="713">
        <f t="shared" si="82"/>
        <v>0</v>
      </c>
      <c r="S437" s="358">
        <f t="shared" si="83"/>
        <v>0</v>
      </c>
    </row>
    <row r="438" spans="1:19">
      <c r="A438" s="156"/>
      <c r="B438" s="56"/>
      <c r="C438" s="21">
        <f t="shared" si="74"/>
        <v>1</v>
      </c>
      <c r="D438" s="717"/>
      <c r="E438" s="21">
        <f t="shared" si="75"/>
        <v>1</v>
      </c>
      <c r="F438" s="717"/>
      <c r="G438" s="21">
        <f t="shared" si="76"/>
        <v>1</v>
      </c>
      <c r="H438" s="717"/>
      <c r="I438" s="21">
        <f t="shared" si="77"/>
        <v>1</v>
      </c>
      <c r="J438" s="717"/>
      <c r="K438" s="21">
        <f t="shared" si="78"/>
        <v>1</v>
      </c>
      <c r="L438" s="717"/>
      <c r="M438" s="21">
        <f t="shared" si="79"/>
        <v>1</v>
      </c>
      <c r="N438" s="717"/>
      <c r="O438" s="21">
        <f t="shared" si="80"/>
        <v>1</v>
      </c>
      <c r="P438" s="717"/>
      <c r="Q438" s="21">
        <f t="shared" si="81"/>
        <v>1</v>
      </c>
      <c r="R438" s="713">
        <f t="shared" si="82"/>
        <v>0</v>
      </c>
      <c r="S438" s="358">
        <f t="shared" si="83"/>
        <v>0</v>
      </c>
    </row>
    <row r="439" spans="1:19">
      <c r="A439" s="156"/>
      <c r="B439" s="56"/>
      <c r="C439" s="21">
        <f t="shared" si="74"/>
        <v>1</v>
      </c>
      <c r="D439" s="717"/>
      <c r="E439" s="21">
        <f t="shared" si="75"/>
        <v>1</v>
      </c>
      <c r="F439" s="717"/>
      <c r="G439" s="21">
        <f t="shared" si="76"/>
        <v>1</v>
      </c>
      <c r="H439" s="717"/>
      <c r="I439" s="21">
        <f t="shared" si="77"/>
        <v>1</v>
      </c>
      <c r="J439" s="717"/>
      <c r="K439" s="21">
        <f t="shared" si="78"/>
        <v>1</v>
      </c>
      <c r="L439" s="717"/>
      <c r="M439" s="21">
        <f t="shared" si="79"/>
        <v>1</v>
      </c>
      <c r="N439" s="717"/>
      <c r="O439" s="21">
        <f t="shared" si="80"/>
        <v>1</v>
      </c>
      <c r="P439" s="717"/>
      <c r="Q439" s="21">
        <f t="shared" si="81"/>
        <v>1</v>
      </c>
      <c r="R439" s="713">
        <f t="shared" si="82"/>
        <v>0</v>
      </c>
      <c r="S439" s="358">
        <f t="shared" si="83"/>
        <v>0</v>
      </c>
    </row>
    <row r="440" spans="1:19">
      <c r="A440" s="156"/>
      <c r="B440" s="56"/>
      <c r="C440" s="21">
        <f t="shared" si="74"/>
        <v>1</v>
      </c>
      <c r="D440" s="717"/>
      <c r="E440" s="21">
        <f t="shared" si="75"/>
        <v>1</v>
      </c>
      <c r="F440" s="717"/>
      <c r="G440" s="21">
        <f t="shared" si="76"/>
        <v>1</v>
      </c>
      <c r="H440" s="717"/>
      <c r="I440" s="21">
        <f t="shared" si="77"/>
        <v>1</v>
      </c>
      <c r="J440" s="717"/>
      <c r="K440" s="21">
        <f t="shared" si="78"/>
        <v>1</v>
      </c>
      <c r="L440" s="717"/>
      <c r="M440" s="21">
        <f t="shared" si="79"/>
        <v>1</v>
      </c>
      <c r="N440" s="717"/>
      <c r="O440" s="21">
        <f t="shared" si="80"/>
        <v>1</v>
      </c>
      <c r="P440" s="717"/>
      <c r="Q440" s="21">
        <f t="shared" si="81"/>
        <v>1</v>
      </c>
      <c r="R440" s="713">
        <f t="shared" si="82"/>
        <v>0</v>
      </c>
      <c r="S440" s="358">
        <f t="shared" si="83"/>
        <v>0</v>
      </c>
    </row>
    <row r="441" spans="1:19">
      <c r="A441" s="156"/>
      <c r="B441" s="56"/>
      <c r="C441" s="21">
        <f t="shared" si="74"/>
        <v>1</v>
      </c>
      <c r="D441" s="717"/>
      <c r="E441" s="21">
        <f t="shared" si="75"/>
        <v>1</v>
      </c>
      <c r="F441" s="717"/>
      <c r="G441" s="21">
        <f t="shared" si="76"/>
        <v>1</v>
      </c>
      <c r="H441" s="717"/>
      <c r="I441" s="21">
        <f t="shared" si="77"/>
        <v>1</v>
      </c>
      <c r="J441" s="717"/>
      <c r="K441" s="21">
        <f t="shared" si="78"/>
        <v>1</v>
      </c>
      <c r="L441" s="717"/>
      <c r="M441" s="21">
        <f t="shared" si="79"/>
        <v>1</v>
      </c>
      <c r="N441" s="717"/>
      <c r="O441" s="21">
        <f t="shared" si="80"/>
        <v>1</v>
      </c>
      <c r="P441" s="717"/>
      <c r="Q441" s="21">
        <f t="shared" si="81"/>
        <v>1</v>
      </c>
      <c r="R441" s="713">
        <f t="shared" si="82"/>
        <v>0</v>
      </c>
      <c r="S441" s="358">
        <f t="shared" si="83"/>
        <v>0</v>
      </c>
    </row>
    <row r="442" spans="1:19">
      <c r="A442" s="156"/>
      <c r="B442" s="56"/>
      <c r="C442" s="21">
        <f t="shared" si="74"/>
        <v>1</v>
      </c>
      <c r="D442" s="717"/>
      <c r="E442" s="21">
        <f t="shared" si="75"/>
        <v>1</v>
      </c>
      <c r="F442" s="717"/>
      <c r="G442" s="21">
        <f t="shared" si="76"/>
        <v>1</v>
      </c>
      <c r="H442" s="717"/>
      <c r="I442" s="21">
        <f t="shared" si="77"/>
        <v>1</v>
      </c>
      <c r="J442" s="717"/>
      <c r="K442" s="21">
        <f t="shared" si="78"/>
        <v>1</v>
      </c>
      <c r="L442" s="717"/>
      <c r="M442" s="21">
        <f t="shared" si="79"/>
        <v>1</v>
      </c>
      <c r="N442" s="717"/>
      <c r="O442" s="21">
        <f t="shared" si="80"/>
        <v>1</v>
      </c>
      <c r="P442" s="717"/>
      <c r="Q442" s="21">
        <f t="shared" si="81"/>
        <v>1</v>
      </c>
      <c r="R442" s="713">
        <f t="shared" si="82"/>
        <v>0</v>
      </c>
      <c r="S442" s="358">
        <f t="shared" si="83"/>
        <v>0</v>
      </c>
    </row>
    <row r="443" spans="1:19">
      <c r="A443" s="156"/>
      <c r="B443" s="56"/>
      <c r="C443" s="21">
        <f t="shared" si="74"/>
        <v>1</v>
      </c>
      <c r="D443" s="717"/>
      <c r="E443" s="21">
        <f t="shared" si="75"/>
        <v>1</v>
      </c>
      <c r="F443" s="717"/>
      <c r="G443" s="21">
        <f t="shared" si="76"/>
        <v>1</v>
      </c>
      <c r="H443" s="717"/>
      <c r="I443" s="21">
        <f t="shared" si="77"/>
        <v>1</v>
      </c>
      <c r="J443" s="717"/>
      <c r="K443" s="21">
        <f t="shared" si="78"/>
        <v>1</v>
      </c>
      <c r="L443" s="717"/>
      <c r="M443" s="21">
        <f t="shared" si="79"/>
        <v>1</v>
      </c>
      <c r="N443" s="717"/>
      <c r="O443" s="21">
        <f t="shared" si="80"/>
        <v>1</v>
      </c>
      <c r="P443" s="717"/>
      <c r="Q443" s="21">
        <f t="shared" si="81"/>
        <v>1</v>
      </c>
      <c r="R443" s="713">
        <f t="shared" si="82"/>
        <v>0</v>
      </c>
      <c r="S443" s="358">
        <f t="shared" si="83"/>
        <v>0</v>
      </c>
    </row>
    <row r="444" spans="1:19">
      <c r="A444" s="156"/>
      <c r="B444" s="56"/>
      <c r="C444" s="21">
        <f t="shared" si="74"/>
        <v>1</v>
      </c>
      <c r="D444" s="717"/>
      <c r="E444" s="21">
        <f t="shared" si="75"/>
        <v>1</v>
      </c>
      <c r="F444" s="717"/>
      <c r="G444" s="21">
        <f t="shared" si="76"/>
        <v>1</v>
      </c>
      <c r="H444" s="717"/>
      <c r="I444" s="21">
        <f t="shared" si="77"/>
        <v>1</v>
      </c>
      <c r="J444" s="717"/>
      <c r="K444" s="21">
        <f t="shared" si="78"/>
        <v>1</v>
      </c>
      <c r="L444" s="717"/>
      <c r="M444" s="21">
        <f t="shared" si="79"/>
        <v>1</v>
      </c>
      <c r="N444" s="717"/>
      <c r="O444" s="21">
        <f t="shared" si="80"/>
        <v>1</v>
      </c>
      <c r="P444" s="717"/>
      <c r="Q444" s="21">
        <f t="shared" si="81"/>
        <v>1</v>
      </c>
      <c r="R444" s="713">
        <f t="shared" si="82"/>
        <v>0</v>
      </c>
      <c r="S444" s="358">
        <f t="shared" si="83"/>
        <v>0</v>
      </c>
    </row>
    <row r="445" spans="1:19">
      <c r="A445" s="156"/>
      <c r="B445" s="56"/>
      <c r="C445" s="21">
        <f t="shared" si="74"/>
        <v>1</v>
      </c>
      <c r="D445" s="717"/>
      <c r="E445" s="21">
        <f t="shared" si="75"/>
        <v>1</v>
      </c>
      <c r="F445" s="717"/>
      <c r="G445" s="21">
        <f t="shared" si="76"/>
        <v>1</v>
      </c>
      <c r="H445" s="717"/>
      <c r="I445" s="21">
        <f t="shared" si="77"/>
        <v>1</v>
      </c>
      <c r="J445" s="717"/>
      <c r="K445" s="21">
        <f t="shared" si="78"/>
        <v>1</v>
      </c>
      <c r="L445" s="717"/>
      <c r="M445" s="21">
        <f t="shared" si="79"/>
        <v>1</v>
      </c>
      <c r="N445" s="717"/>
      <c r="O445" s="21">
        <f t="shared" si="80"/>
        <v>1</v>
      </c>
      <c r="P445" s="717"/>
      <c r="Q445" s="21">
        <f t="shared" si="81"/>
        <v>1</v>
      </c>
      <c r="R445" s="713">
        <f t="shared" si="82"/>
        <v>0</v>
      </c>
      <c r="S445" s="358">
        <f t="shared" si="83"/>
        <v>0</v>
      </c>
    </row>
    <row r="446" spans="1:19">
      <c r="A446" s="156"/>
      <c r="B446" s="56"/>
      <c r="C446" s="21">
        <f t="shared" si="74"/>
        <v>1</v>
      </c>
      <c r="D446" s="717"/>
      <c r="E446" s="21">
        <f t="shared" si="75"/>
        <v>1</v>
      </c>
      <c r="F446" s="717"/>
      <c r="G446" s="21">
        <f t="shared" si="76"/>
        <v>1</v>
      </c>
      <c r="H446" s="717"/>
      <c r="I446" s="21">
        <f t="shared" si="77"/>
        <v>1</v>
      </c>
      <c r="J446" s="717"/>
      <c r="K446" s="21">
        <f t="shared" si="78"/>
        <v>1</v>
      </c>
      <c r="L446" s="717"/>
      <c r="M446" s="21">
        <f t="shared" si="79"/>
        <v>1</v>
      </c>
      <c r="N446" s="717"/>
      <c r="O446" s="21">
        <f t="shared" si="80"/>
        <v>1</v>
      </c>
      <c r="P446" s="717"/>
      <c r="Q446" s="21">
        <f t="shared" si="81"/>
        <v>1</v>
      </c>
      <c r="R446" s="713">
        <f t="shared" si="82"/>
        <v>0</v>
      </c>
      <c r="S446" s="358">
        <f t="shared" si="83"/>
        <v>0</v>
      </c>
    </row>
    <row r="447" spans="1:19">
      <c r="A447" s="156"/>
      <c r="B447" s="56"/>
      <c r="C447" s="21">
        <f t="shared" si="74"/>
        <v>1</v>
      </c>
      <c r="D447" s="717"/>
      <c r="E447" s="21">
        <f t="shared" si="75"/>
        <v>1</v>
      </c>
      <c r="F447" s="717"/>
      <c r="G447" s="21">
        <f t="shared" si="76"/>
        <v>1</v>
      </c>
      <c r="H447" s="717"/>
      <c r="I447" s="21">
        <f t="shared" si="77"/>
        <v>1</v>
      </c>
      <c r="J447" s="717"/>
      <c r="K447" s="21">
        <f t="shared" si="78"/>
        <v>1</v>
      </c>
      <c r="L447" s="717"/>
      <c r="M447" s="21">
        <f t="shared" si="79"/>
        <v>1</v>
      </c>
      <c r="N447" s="717"/>
      <c r="O447" s="21">
        <f t="shared" si="80"/>
        <v>1</v>
      </c>
      <c r="P447" s="717"/>
      <c r="Q447" s="21">
        <f t="shared" si="81"/>
        <v>1</v>
      </c>
      <c r="R447" s="713">
        <f t="shared" si="82"/>
        <v>0</v>
      </c>
      <c r="S447" s="358">
        <f t="shared" si="83"/>
        <v>0</v>
      </c>
    </row>
    <row r="448" spans="1:19">
      <c r="A448" s="156"/>
      <c r="B448" s="56"/>
      <c r="C448" s="21">
        <f t="shared" si="74"/>
        <v>1</v>
      </c>
      <c r="D448" s="717"/>
      <c r="E448" s="21">
        <f t="shared" si="75"/>
        <v>1</v>
      </c>
      <c r="F448" s="717"/>
      <c r="G448" s="21">
        <f t="shared" si="76"/>
        <v>1</v>
      </c>
      <c r="H448" s="717"/>
      <c r="I448" s="21">
        <f t="shared" si="77"/>
        <v>1</v>
      </c>
      <c r="J448" s="717"/>
      <c r="K448" s="21">
        <f t="shared" si="78"/>
        <v>1</v>
      </c>
      <c r="L448" s="717"/>
      <c r="M448" s="21">
        <f t="shared" si="79"/>
        <v>1</v>
      </c>
      <c r="N448" s="717"/>
      <c r="O448" s="21">
        <f t="shared" si="80"/>
        <v>1</v>
      </c>
      <c r="P448" s="717"/>
      <c r="Q448" s="21">
        <f t="shared" si="81"/>
        <v>1</v>
      </c>
      <c r="R448" s="713">
        <f t="shared" si="82"/>
        <v>0</v>
      </c>
      <c r="S448" s="358">
        <f t="shared" si="83"/>
        <v>0</v>
      </c>
    </row>
    <row r="449" spans="1:19">
      <c r="A449" s="156"/>
      <c r="B449" s="56"/>
      <c r="C449" s="21">
        <f t="shared" si="74"/>
        <v>1</v>
      </c>
      <c r="D449" s="717"/>
      <c r="E449" s="21">
        <f t="shared" si="75"/>
        <v>1</v>
      </c>
      <c r="F449" s="717"/>
      <c r="G449" s="21">
        <f t="shared" si="76"/>
        <v>1</v>
      </c>
      <c r="H449" s="717"/>
      <c r="I449" s="21">
        <f t="shared" si="77"/>
        <v>1</v>
      </c>
      <c r="J449" s="717"/>
      <c r="K449" s="21">
        <f t="shared" si="78"/>
        <v>1</v>
      </c>
      <c r="L449" s="717"/>
      <c r="M449" s="21">
        <f t="shared" si="79"/>
        <v>1</v>
      </c>
      <c r="N449" s="717"/>
      <c r="O449" s="21">
        <f t="shared" si="80"/>
        <v>1</v>
      </c>
      <c r="P449" s="717"/>
      <c r="Q449" s="21">
        <f t="shared" si="81"/>
        <v>1</v>
      </c>
      <c r="R449" s="713">
        <f t="shared" si="82"/>
        <v>0</v>
      </c>
      <c r="S449" s="358">
        <f t="shared" si="83"/>
        <v>0</v>
      </c>
    </row>
    <row r="450" spans="1:19">
      <c r="A450" s="156"/>
      <c r="B450" s="56"/>
      <c r="C450" s="21">
        <f t="shared" si="74"/>
        <v>1</v>
      </c>
      <c r="D450" s="717"/>
      <c r="E450" s="21">
        <f t="shared" si="75"/>
        <v>1</v>
      </c>
      <c r="F450" s="717"/>
      <c r="G450" s="21">
        <f t="shared" si="76"/>
        <v>1</v>
      </c>
      <c r="H450" s="717"/>
      <c r="I450" s="21">
        <f t="shared" si="77"/>
        <v>1</v>
      </c>
      <c r="J450" s="717"/>
      <c r="K450" s="21">
        <f t="shared" si="78"/>
        <v>1</v>
      </c>
      <c r="L450" s="717"/>
      <c r="M450" s="21">
        <f t="shared" si="79"/>
        <v>1</v>
      </c>
      <c r="N450" s="717"/>
      <c r="O450" s="21">
        <f t="shared" si="80"/>
        <v>1</v>
      </c>
      <c r="P450" s="717"/>
      <c r="Q450" s="21">
        <f t="shared" si="81"/>
        <v>1</v>
      </c>
      <c r="R450" s="713">
        <f t="shared" si="82"/>
        <v>0</v>
      </c>
      <c r="S450" s="358">
        <f t="shared" si="83"/>
        <v>0</v>
      </c>
    </row>
    <row r="451" spans="1:19">
      <c r="A451" s="156"/>
      <c r="B451" s="56"/>
      <c r="C451" s="21">
        <f t="shared" si="74"/>
        <v>1</v>
      </c>
      <c r="D451" s="717"/>
      <c r="E451" s="21">
        <f t="shared" si="75"/>
        <v>1</v>
      </c>
      <c r="F451" s="717"/>
      <c r="G451" s="21">
        <f t="shared" si="76"/>
        <v>1</v>
      </c>
      <c r="H451" s="717"/>
      <c r="I451" s="21">
        <f t="shared" si="77"/>
        <v>1</v>
      </c>
      <c r="J451" s="717"/>
      <c r="K451" s="21">
        <f t="shared" si="78"/>
        <v>1</v>
      </c>
      <c r="L451" s="717"/>
      <c r="M451" s="21">
        <f t="shared" si="79"/>
        <v>1</v>
      </c>
      <c r="N451" s="717"/>
      <c r="O451" s="21">
        <f t="shared" si="80"/>
        <v>1</v>
      </c>
      <c r="P451" s="717"/>
      <c r="Q451" s="21">
        <f t="shared" si="81"/>
        <v>1</v>
      </c>
      <c r="R451" s="713">
        <f t="shared" si="82"/>
        <v>0</v>
      </c>
      <c r="S451" s="358">
        <f t="shared" si="83"/>
        <v>0</v>
      </c>
    </row>
    <row r="452" spans="1:19">
      <c r="A452" s="156"/>
      <c r="B452" s="56"/>
      <c r="C452" s="21">
        <f t="shared" si="74"/>
        <v>1</v>
      </c>
      <c r="D452" s="717"/>
      <c r="E452" s="21">
        <f t="shared" si="75"/>
        <v>1</v>
      </c>
      <c r="F452" s="717"/>
      <c r="G452" s="21">
        <f t="shared" si="76"/>
        <v>1</v>
      </c>
      <c r="H452" s="717"/>
      <c r="I452" s="21">
        <f t="shared" si="77"/>
        <v>1</v>
      </c>
      <c r="J452" s="717"/>
      <c r="K452" s="21">
        <f t="shared" si="78"/>
        <v>1</v>
      </c>
      <c r="L452" s="717"/>
      <c r="M452" s="21">
        <f t="shared" si="79"/>
        <v>1</v>
      </c>
      <c r="N452" s="717"/>
      <c r="O452" s="21">
        <f t="shared" si="80"/>
        <v>1</v>
      </c>
      <c r="P452" s="717"/>
      <c r="Q452" s="21">
        <f t="shared" si="81"/>
        <v>1</v>
      </c>
      <c r="R452" s="713">
        <f t="shared" si="82"/>
        <v>0</v>
      </c>
      <c r="S452" s="358">
        <f t="shared" si="83"/>
        <v>0</v>
      </c>
    </row>
    <row r="453" spans="1:19">
      <c r="A453" s="156"/>
      <c r="B453" s="56"/>
      <c r="C453" s="21">
        <f t="shared" si="74"/>
        <v>1</v>
      </c>
      <c r="D453" s="717"/>
      <c r="E453" s="21">
        <f t="shared" si="75"/>
        <v>1</v>
      </c>
      <c r="F453" s="717"/>
      <c r="G453" s="21">
        <f t="shared" si="76"/>
        <v>1</v>
      </c>
      <c r="H453" s="717"/>
      <c r="I453" s="21">
        <f t="shared" si="77"/>
        <v>1</v>
      </c>
      <c r="J453" s="717"/>
      <c r="K453" s="21">
        <f t="shared" si="78"/>
        <v>1</v>
      </c>
      <c r="L453" s="717"/>
      <c r="M453" s="21">
        <f t="shared" si="79"/>
        <v>1</v>
      </c>
      <c r="N453" s="717"/>
      <c r="O453" s="21">
        <f t="shared" si="80"/>
        <v>1</v>
      </c>
      <c r="P453" s="717"/>
      <c r="Q453" s="21">
        <f t="shared" si="81"/>
        <v>1</v>
      </c>
      <c r="R453" s="713">
        <f t="shared" si="82"/>
        <v>0</v>
      </c>
      <c r="S453" s="358">
        <f t="shared" si="83"/>
        <v>0</v>
      </c>
    </row>
    <row r="454" spans="1:19">
      <c r="A454" s="156"/>
      <c r="B454" s="56"/>
      <c r="C454" s="21">
        <f t="shared" si="74"/>
        <v>1</v>
      </c>
      <c r="D454" s="717"/>
      <c r="E454" s="21">
        <f t="shared" si="75"/>
        <v>1</v>
      </c>
      <c r="F454" s="717"/>
      <c r="G454" s="21">
        <f t="shared" si="76"/>
        <v>1</v>
      </c>
      <c r="H454" s="717"/>
      <c r="I454" s="21">
        <f t="shared" si="77"/>
        <v>1</v>
      </c>
      <c r="J454" s="717"/>
      <c r="K454" s="21">
        <f t="shared" si="78"/>
        <v>1</v>
      </c>
      <c r="L454" s="717"/>
      <c r="M454" s="21">
        <f t="shared" si="79"/>
        <v>1</v>
      </c>
      <c r="N454" s="717"/>
      <c r="O454" s="21">
        <f t="shared" si="80"/>
        <v>1</v>
      </c>
      <c r="P454" s="717"/>
      <c r="Q454" s="21">
        <f t="shared" si="81"/>
        <v>1</v>
      </c>
      <c r="R454" s="713">
        <f t="shared" si="82"/>
        <v>0</v>
      </c>
      <c r="S454" s="358">
        <f t="shared" si="83"/>
        <v>0</v>
      </c>
    </row>
    <row r="455" spans="1:19">
      <c r="A455" s="156"/>
      <c r="B455" s="56"/>
      <c r="C455" s="21">
        <f t="shared" si="74"/>
        <v>1</v>
      </c>
      <c r="D455" s="717"/>
      <c r="E455" s="21">
        <f t="shared" si="75"/>
        <v>1</v>
      </c>
      <c r="F455" s="717"/>
      <c r="G455" s="21">
        <f t="shared" si="76"/>
        <v>1</v>
      </c>
      <c r="H455" s="717"/>
      <c r="I455" s="21">
        <f t="shared" si="77"/>
        <v>1</v>
      </c>
      <c r="J455" s="717"/>
      <c r="K455" s="21">
        <f t="shared" si="78"/>
        <v>1</v>
      </c>
      <c r="L455" s="717"/>
      <c r="M455" s="21">
        <f t="shared" si="79"/>
        <v>1</v>
      </c>
      <c r="N455" s="717"/>
      <c r="O455" s="21">
        <f t="shared" si="80"/>
        <v>1</v>
      </c>
      <c r="P455" s="717"/>
      <c r="Q455" s="21">
        <f t="shared" si="81"/>
        <v>1</v>
      </c>
      <c r="R455" s="713">
        <f t="shared" si="82"/>
        <v>0</v>
      </c>
      <c r="S455" s="358">
        <f t="shared" si="83"/>
        <v>0</v>
      </c>
    </row>
    <row r="456" spans="1:19">
      <c r="A456" s="156"/>
      <c r="B456" s="56"/>
      <c r="C456" s="21">
        <f t="shared" si="74"/>
        <v>1</v>
      </c>
      <c r="D456" s="717"/>
      <c r="E456" s="21">
        <f t="shared" si="75"/>
        <v>1</v>
      </c>
      <c r="F456" s="717"/>
      <c r="G456" s="21">
        <f t="shared" si="76"/>
        <v>1</v>
      </c>
      <c r="H456" s="717"/>
      <c r="I456" s="21">
        <f t="shared" si="77"/>
        <v>1</v>
      </c>
      <c r="J456" s="717"/>
      <c r="K456" s="21">
        <f t="shared" si="78"/>
        <v>1</v>
      </c>
      <c r="L456" s="717"/>
      <c r="M456" s="21">
        <f t="shared" si="79"/>
        <v>1</v>
      </c>
      <c r="N456" s="717"/>
      <c r="O456" s="21">
        <f t="shared" si="80"/>
        <v>1</v>
      </c>
      <c r="P456" s="717"/>
      <c r="Q456" s="21">
        <f t="shared" si="81"/>
        <v>1</v>
      </c>
      <c r="R456" s="713">
        <f t="shared" si="82"/>
        <v>0</v>
      </c>
      <c r="S456" s="358">
        <f t="shared" si="83"/>
        <v>0</v>
      </c>
    </row>
    <row r="457" spans="1:19">
      <c r="A457" s="156"/>
      <c r="B457" s="56"/>
      <c r="C457" s="21">
        <f t="shared" si="74"/>
        <v>1</v>
      </c>
      <c r="D457" s="717"/>
      <c r="E457" s="21">
        <f t="shared" si="75"/>
        <v>1</v>
      </c>
      <c r="F457" s="717"/>
      <c r="G457" s="21">
        <f t="shared" si="76"/>
        <v>1</v>
      </c>
      <c r="H457" s="717"/>
      <c r="I457" s="21">
        <f t="shared" si="77"/>
        <v>1</v>
      </c>
      <c r="J457" s="717"/>
      <c r="K457" s="21">
        <f t="shared" si="78"/>
        <v>1</v>
      </c>
      <c r="L457" s="717"/>
      <c r="M457" s="21">
        <f t="shared" si="79"/>
        <v>1</v>
      </c>
      <c r="N457" s="717"/>
      <c r="O457" s="21">
        <f t="shared" si="80"/>
        <v>1</v>
      </c>
      <c r="P457" s="717"/>
      <c r="Q457" s="21">
        <f t="shared" si="81"/>
        <v>1</v>
      </c>
      <c r="R457" s="713">
        <f t="shared" si="82"/>
        <v>0</v>
      </c>
      <c r="S457" s="358">
        <f t="shared" si="83"/>
        <v>0</v>
      </c>
    </row>
    <row r="458" spans="1:19">
      <c r="A458" s="156"/>
      <c r="B458" s="56"/>
      <c r="C458" s="21">
        <f t="shared" si="74"/>
        <v>1</v>
      </c>
      <c r="D458" s="717"/>
      <c r="E458" s="21">
        <f t="shared" si="75"/>
        <v>1</v>
      </c>
      <c r="F458" s="717"/>
      <c r="G458" s="21">
        <f t="shared" si="76"/>
        <v>1</v>
      </c>
      <c r="H458" s="717"/>
      <c r="I458" s="21">
        <f t="shared" si="77"/>
        <v>1</v>
      </c>
      <c r="J458" s="717"/>
      <c r="K458" s="21">
        <f t="shared" si="78"/>
        <v>1</v>
      </c>
      <c r="L458" s="717"/>
      <c r="M458" s="21">
        <f t="shared" si="79"/>
        <v>1</v>
      </c>
      <c r="N458" s="717"/>
      <c r="O458" s="21">
        <f t="shared" si="80"/>
        <v>1</v>
      </c>
      <c r="P458" s="717"/>
      <c r="Q458" s="21">
        <f t="shared" si="81"/>
        <v>1</v>
      </c>
      <c r="R458" s="713">
        <f t="shared" si="82"/>
        <v>0</v>
      </c>
      <c r="S458" s="358">
        <f t="shared" si="83"/>
        <v>0</v>
      </c>
    </row>
    <row r="459" spans="1:19">
      <c r="A459" s="156"/>
      <c r="B459" s="56"/>
      <c r="C459" s="21">
        <f t="shared" si="74"/>
        <v>1</v>
      </c>
      <c r="D459" s="717"/>
      <c r="E459" s="21">
        <f t="shared" si="75"/>
        <v>1</v>
      </c>
      <c r="F459" s="717"/>
      <c r="G459" s="21">
        <f t="shared" si="76"/>
        <v>1</v>
      </c>
      <c r="H459" s="717"/>
      <c r="I459" s="21">
        <f t="shared" si="77"/>
        <v>1</v>
      </c>
      <c r="J459" s="717"/>
      <c r="K459" s="21">
        <f t="shared" si="78"/>
        <v>1</v>
      </c>
      <c r="L459" s="717"/>
      <c r="M459" s="21">
        <f t="shared" si="79"/>
        <v>1</v>
      </c>
      <c r="N459" s="717"/>
      <c r="O459" s="21">
        <f t="shared" si="80"/>
        <v>1</v>
      </c>
      <c r="P459" s="717"/>
      <c r="Q459" s="21">
        <f t="shared" si="81"/>
        <v>1</v>
      </c>
      <c r="R459" s="713">
        <f t="shared" si="82"/>
        <v>0</v>
      </c>
      <c r="S459" s="358">
        <f t="shared" si="83"/>
        <v>0</v>
      </c>
    </row>
    <row r="460" spans="1:19">
      <c r="A460" s="156"/>
      <c r="B460" s="56"/>
      <c r="C460" s="21">
        <f t="shared" si="74"/>
        <v>1</v>
      </c>
      <c r="D460" s="717"/>
      <c r="E460" s="21">
        <f t="shared" si="75"/>
        <v>1</v>
      </c>
      <c r="F460" s="717"/>
      <c r="G460" s="21">
        <f t="shared" si="76"/>
        <v>1</v>
      </c>
      <c r="H460" s="717"/>
      <c r="I460" s="21">
        <f t="shared" si="77"/>
        <v>1</v>
      </c>
      <c r="J460" s="717"/>
      <c r="K460" s="21">
        <f t="shared" si="78"/>
        <v>1</v>
      </c>
      <c r="L460" s="717"/>
      <c r="M460" s="21">
        <f t="shared" si="79"/>
        <v>1</v>
      </c>
      <c r="N460" s="717"/>
      <c r="O460" s="21">
        <f t="shared" si="80"/>
        <v>1</v>
      </c>
      <c r="P460" s="717"/>
      <c r="Q460" s="21">
        <f t="shared" si="81"/>
        <v>1</v>
      </c>
      <c r="R460" s="713">
        <f t="shared" si="82"/>
        <v>0</v>
      </c>
      <c r="S460" s="358">
        <f t="shared" si="83"/>
        <v>0</v>
      </c>
    </row>
    <row r="461" spans="1:19">
      <c r="A461" s="156"/>
      <c r="B461" s="56"/>
      <c r="C461" s="21">
        <f t="shared" si="74"/>
        <v>1</v>
      </c>
      <c r="D461" s="717"/>
      <c r="E461" s="21">
        <f t="shared" si="75"/>
        <v>1</v>
      </c>
      <c r="F461" s="717"/>
      <c r="G461" s="21">
        <f t="shared" si="76"/>
        <v>1</v>
      </c>
      <c r="H461" s="717"/>
      <c r="I461" s="21">
        <f t="shared" si="77"/>
        <v>1</v>
      </c>
      <c r="J461" s="717"/>
      <c r="K461" s="21">
        <f t="shared" si="78"/>
        <v>1</v>
      </c>
      <c r="L461" s="717"/>
      <c r="M461" s="21">
        <f t="shared" si="79"/>
        <v>1</v>
      </c>
      <c r="N461" s="717"/>
      <c r="O461" s="21">
        <f t="shared" si="80"/>
        <v>1</v>
      </c>
      <c r="P461" s="717"/>
      <c r="Q461" s="21">
        <f t="shared" si="81"/>
        <v>1</v>
      </c>
      <c r="R461" s="713">
        <f t="shared" si="82"/>
        <v>0</v>
      </c>
      <c r="S461" s="358">
        <f t="shared" si="83"/>
        <v>0</v>
      </c>
    </row>
    <row r="462" spans="1:19">
      <c r="A462" s="156"/>
      <c r="B462" s="56"/>
      <c r="C462" s="21">
        <f t="shared" si="74"/>
        <v>1</v>
      </c>
      <c r="D462" s="717"/>
      <c r="E462" s="21">
        <f t="shared" si="75"/>
        <v>1</v>
      </c>
      <c r="F462" s="717"/>
      <c r="G462" s="21">
        <f t="shared" si="76"/>
        <v>1</v>
      </c>
      <c r="H462" s="717"/>
      <c r="I462" s="21">
        <f t="shared" si="77"/>
        <v>1</v>
      </c>
      <c r="J462" s="717"/>
      <c r="K462" s="21">
        <f t="shared" si="78"/>
        <v>1</v>
      </c>
      <c r="L462" s="717"/>
      <c r="M462" s="21">
        <f t="shared" si="79"/>
        <v>1</v>
      </c>
      <c r="N462" s="717"/>
      <c r="O462" s="21">
        <f t="shared" si="80"/>
        <v>1</v>
      </c>
      <c r="P462" s="717"/>
      <c r="Q462" s="21">
        <f t="shared" si="81"/>
        <v>1</v>
      </c>
      <c r="R462" s="713">
        <f t="shared" si="82"/>
        <v>0</v>
      </c>
      <c r="S462" s="358">
        <f t="shared" si="83"/>
        <v>0</v>
      </c>
    </row>
    <row r="463" spans="1:19">
      <c r="A463" s="156"/>
      <c r="B463" s="56"/>
      <c r="C463" s="21">
        <f t="shared" si="74"/>
        <v>1</v>
      </c>
      <c r="D463" s="717"/>
      <c r="E463" s="21">
        <f t="shared" si="75"/>
        <v>1</v>
      </c>
      <c r="F463" s="717"/>
      <c r="G463" s="21">
        <f t="shared" si="76"/>
        <v>1</v>
      </c>
      <c r="H463" s="717"/>
      <c r="I463" s="21">
        <f t="shared" si="77"/>
        <v>1</v>
      </c>
      <c r="J463" s="717"/>
      <c r="K463" s="21">
        <f t="shared" si="78"/>
        <v>1</v>
      </c>
      <c r="L463" s="717"/>
      <c r="M463" s="21">
        <f t="shared" si="79"/>
        <v>1</v>
      </c>
      <c r="N463" s="717"/>
      <c r="O463" s="21">
        <f t="shared" si="80"/>
        <v>1</v>
      </c>
      <c r="P463" s="717"/>
      <c r="Q463" s="21">
        <f t="shared" si="81"/>
        <v>1</v>
      </c>
      <c r="R463" s="713">
        <f t="shared" si="82"/>
        <v>0</v>
      </c>
      <c r="S463" s="358">
        <f t="shared" si="83"/>
        <v>0</v>
      </c>
    </row>
    <row r="464" spans="1:19">
      <c r="A464" s="156"/>
      <c r="B464" s="56"/>
      <c r="C464" s="21">
        <f t="shared" si="74"/>
        <v>1</v>
      </c>
      <c r="D464" s="717"/>
      <c r="E464" s="21">
        <f t="shared" si="75"/>
        <v>1</v>
      </c>
      <c r="F464" s="717"/>
      <c r="G464" s="21">
        <f t="shared" si="76"/>
        <v>1</v>
      </c>
      <c r="H464" s="717"/>
      <c r="I464" s="21">
        <f t="shared" si="77"/>
        <v>1</v>
      </c>
      <c r="J464" s="717"/>
      <c r="K464" s="21">
        <f t="shared" si="78"/>
        <v>1</v>
      </c>
      <c r="L464" s="717"/>
      <c r="M464" s="21">
        <f t="shared" si="79"/>
        <v>1</v>
      </c>
      <c r="N464" s="717"/>
      <c r="O464" s="21">
        <f t="shared" si="80"/>
        <v>1</v>
      </c>
      <c r="P464" s="717"/>
      <c r="Q464" s="21">
        <f t="shared" si="81"/>
        <v>1</v>
      </c>
      <c r="R464" s="713">
        <f t="shared" si="82"/>
        <v>0</v>
      </c>
      <c r="S464" s="358">
        <f t="shared" si="83"/>
        <v>0</v>
      </c>
    </row>
    <row r="465" spans="1:19">
      <c r="A465" s="156"/>
      <c r="B465" s="56"/>
      <c r="C465" s="21">
        <f t="shared" si="74"/>
        <v>1</v>
      </c>
      <c r="D465" s="717"/>
      <c r="E465" s="21">
        <f t="shared" si="75"/>
        <v>1</v>
      </c>
      <c r="F465" s="717"/>
      <c r="G465" s="21">
        <f t="shared" si="76"/>
        <v>1</v>
      </c>
      <c r="H465" s="717"/>
      <c r="I465" s="21">
        <f t="shared" si="77"/>
        <v>1</v>
      </c>
      <c r="J465" s="717"/>
      <c r="K465" s="21">
        <f t="shared" si="78"/>
        <v>1</v>
      </c>
      <c r="L465" s="717"/>
      <c r="M465" s="21">
        <f t="shared" si="79"/>
        <v>1</v>
      </c>
      <c r="N465" s="717"/>
      <c r="O465" s="21">
        <f t="shared" si="80"/>
        <v>1</v>
      </c>
      <c r="P465" s="717"/>
      <c r="Q465" s="21">
        <f t="shared" si="81"/>
        <v>1</v>
      </c>
      <c r="R465" s="713">
        <f t="shared" si="82"/>
        <v>0</v>
      </c>
      <c r="S465" s="358">
        <f t="shared" si="83"/>
        <v>0</v>
      </c>
    </row>
    <row r="466" spans="1:19">
      <c r="A466" s="156"/>
      <c r="B466" s="56"/>
      <c r="C466" s="21">
        <f t="shared" si="74"/>
        <v>1</v>
      </c>
      <c r="D466" s="717"/>
      <c r="E466" s="21">
        <f t="shared" si="75"/>
        <v>1</v>
      </c>
      <c r="F466" s="717"/>
      <c r="G466" s="21">
        <f t="shared" si="76"/>
        <v>1</v>
      </c>
      <c r="H466" s="717"/>
      <c r="I466" s="21">
        <f t="shared" si="77"/>
        <v>1</v>
      </c>
      <c r="J466" s="717"/>
      <c r="K466" s="21">
        <f t="shared" si="78"/>
        <v>1</v>
      </c>
      <c r="L466" s="717"/>
      <c r="M466" s="21">
        <f t="shared" si="79"/>
        <v>1</v>
      </c>
      <c r="N466" s="717"/>
      <c r="O466" s="21">
        <f t="shared" si="80"/>
        <v>1</v>
      </c>
      <c r="P466" s="717"/>
      <c r="Q466" s="21">
        <f t="shared" si="81"/>
        <v>1</v>
      </c>
      <c r="R466" s="713">
        <f t="shared" si="82"/>
        <v>0</v>
      </c>
      <c r="S466" s="358">
        <f t="shared" si="83"/>
        <v>0</v>
      </c>
    </row>
    <row r="467" spans="1:19">
      <c r="A467" s="156"/>
      <c r="B467" s="56"/>
      <c r="C467" s="21">
        <f t="shared" si="74"/>
        <v>1</v>
      </c>
      <c r="D467" s="717"/>
      <c r="E467" s="21">
        <f t="shared" si="75"/>
        <v>1</v>
      </c>
      <c r="F467" s="717"/>
      <c r="G467" s="21">
        <f t="shared" si="76"/>
        <v>1</v>
      </c>
      <c r="H467" s="717"/>
      <c r="I467" s="21">
        <f t="shared" si="77"/>
        <v>1</v>
      </c>
      <c r="J467" s="717"/>
      <c r="K467" s="21">
        <f t="shared" si="78"/>
        <v>1</v>
      </c>
      <c r="L467" s="717"/>
      <c r="M467" s="21">
        <f t="shared" si="79"/>
        <v>1</v>
      </c>
      <c r="N467" s="717"/>
      <c r="O467" s="21">
        <f t="shared" si="80"/>
        <v>1</v>
      </c>
      <c r="P467" s="717"/>
      <c r="Q467" s="21">
        <f t="shared" si="81"/>
        <v>1</v>
      </c>
      <c r="R467" s="713">
        <f t="shared" si="82"/>
        <v>0</v>
      </c>
      <c r="S467" s="358">
        <f t="shared" si="83"/>
        <v>0</v>
      </c>
    </row>
    <row r="468" spans="1:19">
      <c r="A468" s="156"/>
      <c r="B468" s="56"/>
      <c r="C468" s="21">
        <f t="shared" si="74"/>
        <v>1</v>
      </c>
      <c r="D468" s="717"/>
      <c r="E468" s="21">
        <f t="shared" si="75"/>
        <v>1</v>
      </c>
      <c r="F468" s="717"/>
      <c r="G468" s="21">
        <f t="shared" si="76"/>
        <v>1</v>
      </c>
      <c r="H468" s="717"/>
      <c r="I468" s="21">
        <f t="shared" si="77"/>
        <v>1</v>
      </c>
      <c r="J468" s="717"/>
      <c r="K468" s="21">
        <f t="shared" si="78"/>
        <v>1</v>
      </c>
      <c r="L468" s="717"/>
      <c r="M468" s="21">
        <f t="shared" si="79"/>
        <v>1</v>
      </c>
      <c r="N468" s="717"/>
      <c r="O468" s="21">
        <f t="shared" si="80"/>
        <v>1</v>
      </c>
      <c r="P468" s="717"/>
      <c r="Q468" s="21">
        <f t="shared" si="81"/>
        <v>1</v>
      </c>
      <c r="R468" s="713">
        <f t="shared" si="82"/>
        <v>0</v>
      </c>
      <c r="S468" s="358">
        <f t="shared" ref="S468:S497" si="84">ROUND(R468*B468/10000,0)</f>
        <v>0</v>
      </c>
    </row>
    <row r="469" spans="1:19">
      <c r="A469" s="156"/>
      <c r="B469" s="56"/>
      <c r="C469" s="21">
        <f t="shared" si="74"/>
        <v>1</v>
      </c>
      <c r="D469" s="717"/>
      <c r="E469" s="21">
        <f t="shared" si="75"/>
        <v>1</v>
      </c>
      <c r="F469" s="717"/>
      <c r="G469" s="21">
        <f t="shared" si="76"/>
        <v>1</v>
      </c>
      <c r="H469" s="717"/>
      <c r="I469" s="21">
        <f t="shared" si="77"/>
        <v>1</v>
      </c>
      <c r="J469" s="717"/>
      <c r="K469" s="21">
        <f t="shared" si="78"/>
        <v>1</v>
      </c>
      <c r="L469" s="717"/>
      <c r="M469" s="21">
        <f t="shared" si="79"/>
        <v>1</v>
      </c>
      <c r="N469" s="717"/>
      <c r="O469" s="21">
        <f t="shared" si="80"/>
        <v>1</v>
      </c>
      <c r="P469" s="717"/>
      <c r="Q469" s="21">
        <f t="shared" si="81"/>
        <v>1</v>
      </c>
      <c r="R469" s="713">
        <f t="shared" si="82"/>
        <v>0</v>
      </c>
      <c r="S469" s="358">
        <f t="shared" si="84"/>
        <v>0</v>
      </c>
    </row>
    <row r="470" spans="1:19">
      <c r="A470" s="156"/>
      <c r="B470" s="56"/>
      <c r="C470" s="21">
        <f t="shared" si="74"/>
        <v>1</v>
      </c>
      <c r="D470" s="717"/>
      <c r="E470" s="21">
        <f t="shared" si="75"/>
        <v>1</v>
      </c>
      <c r="F470" s="717"/>
      <c r="G470" s="21">
        <f t="shared" si="76"/>
        <v>1</v>
      </c>
      <c r="H470" s="717"/>
      <c r="I470" s="21">
        <f t="shared" si="77"/>
        <v>1</v>
      </c>
      <c r="J470" s="717"/>
      <c r="K470" s="21">
        <f t="shared" si="78"/>
        <v>1</v>
      </c>
      <c r="L470" s="717"/>
      <c r="M470" s="21">
        <f t="shared" si="79"/>
        <v>1</v>
      </c>
      <c r="N470" s="717"/>
      <c r="O470" s="21">
        <f t="shared" si="80"/>
        <v>1</v>
      </c>
      <c r="P470" s="717"/>
      <c r="Q470" s="21">
        <f t="shared" si="81"/>
        <v>1</v>
      </c>
      <c r="R470" s="713">
        <f t="shared" si="82"/>
        <v>0</v>
      </c>
      <c r="S470" s="358">
        <f t="shared" si="84"/>
        <v>0</v>
      </c>
    </row>
    <row r="471" spans="1:19">
      <c r="A471" s="156"/>
      <c r="B471" s="56"/>
      <c r="C471" s="21">
        <f t="shared" si="74"/>
        <v>1</v>
      </c>
      <c r="D471" s="717"/>
      <c r="E471" s="21">
        <f t="shared" si="75"/>
        <v>1</v>
      </c>
      <c r="F471" s="717"/>
      <c r="G471" s="21">
        <f t="shared" si="76"/>
        <v>1</v>
      </c>
      <c r="H471" s="717"/>
      <c r="I471" s="21">
        <f t="shared" si="77"/>
        <v>1</v>
      </c>
      <c r="J471" s="717"/>
      <c r="K471" s="21">
        <f t="shared" si="78"/>
        <v>1</v>
      </c>
      <c r="L471" s="717"/>
      <c r="M471" s="21">
        <f t="shared" si="79"/>
        <v>1</v>
      </c>
      <c r="N471" s="717"/>
      <c r="O471" s="21">
        <f t="shared" si="80"/>
        <v>1</v>
      </c>
      <c r="P471" s="717"/>
      <c r="Q471" s="21">
        <f t="shared" si="81"/>
        <v>1</v>
      </c>
      <c r="R471" s="713">
        <f t="shared" si="82"/>
        <v>0</v>
      </c>
      <c r="S471" s="358">
        <f t="shared" si="84"/>
        <v>0</v>
      </c>
    </row>
    <row r="472" spans="1:19">
      <c r="A472" s="156"/>
      <c r="B472" s="56"/>
      <c r="C472" s="21">
        <f t="shared" si="74"/>
        <v>1</v>
      </c>
      <c r="D472" s="717"/>
      <c r="E472" s="21">
        <f t="shared" si="75"/>
        <v>1</v>
      </c>
      <c r="F472" s="717"/>
      <c r="G472" s="21">
        <f t="shared" si="76"/>
        <v>1</v>
      </c>
      <c r="H472" s="717"/>
      <c r="I472" s="21">
        <f t="shared" si="77"/>
        <v>1</v>
      </c>
      <c r="J472" s="717"/>
      <c r="K472" s="21">
        <f t="shared" si="78"/>
        <v>1</v>
      </c>
      <c r="L472" s="717"/>
      <c r="M472" s="21">
        <f t="shared" si="79"/>
        <v>1</v>
      </c>
      <c r="N472" s="717"/>
      <c r="O472" s="21">
        <f t="shared" si="80"/>
        <v>1</v>
      </c>
      <c r="P472" s="717"/>
      <c r="Q472" s="21">
        <f t="shared" si="81"/>
        <v>1</v>
      </c>
      <c r="R472" s="713">
        <f t="shared" si="82"/>
        <v>0</v>
      </c>
      <c r="S472" s="358">
        <f t="shared" si="84"/>
        <v>0</v>
      </c>
    </row>
    <row r="473" spans="1:19">
      <c r="A473" s="156"/>
      <c r="B473" s="56"/>
      <c r="C473" s="21">
        <f t="shared" si="74"/>
        <v>1</v>
      </c>
      <c r="D473" s="717"/>
      <c r="E473" s="21">
        <f t="shared" si="75"/>
        <v>1</v>
      </c>
      <c r="F473" s="717"/>
      <c r="G473" s="21">
        <f t="shared" si="76"/>
        <v>1</v>
      </c>
      <c r="H473" s="717"/>
      <c r="I473" s="21">
        <f t="shared" si="77"/>
        <v>1</v>
      </c>
      <c r="J473" s="717"/>
      <c r="K473" s="21">
        <f t="shared" si="78"/>
        <v>1</v>
      </c>
      <c r="L473" s="717"/>
      <c r="M473" s="21">
        <f t="shared" si="79"/>
        <v>1</v>
      </c>
      <c r="N473" s="717"/>
      <c r="O473" s="21">
        <f t="shared" si="80"/>
        <v>1</v>
      </c>
      <c r="P473" s="717"/>
      <c r="Q473" s="21">
        <f t="shared" si="81"/>
        <v>1</v>
      </c>
      <c r="R473" s="713">
        <f t="shared" si="82"/>
        <v>0</v>
      </c>
      <c r="S473" s="358">
        <f t="shared" si="84"/>
        <v>0</v>
      </c>
    </row>
    <row r="474" spans="1:19">
      <c r="A474" s="156"/>
      <c r="B474" s="56"/>
      <c r="C474" s="21">
        <f t="shared" ref="C474:C524" si="85">IF(B474="",1,(LOOKUP(B474,$3:$3,$4:$4)-LOOKUP($B$24,$3:$3,$4:$4)+100)/100)</f>
        <v>1</v>
      </c>
      <c r="D474" s="717"/>
      <c r="E474" s="21">
        <f t="shared" ref="E474:E524" si="86">(SUMIF($5:$5,D474,$6:$6)-SUMIF($5:$5,$D$24,$6:$6)+100)/100</f>
        <v>1</v>
      </c>
      <c r="F474" s="717"/>
      <c r="G474" s="21">
        <f t="shared" ref="G474:G524" si="87">(SUMIF($7:$7,F474,$8:$8)-SUMIF($7:$7,$F$24,$8:$8)+100)/100</f>
        <v>1</v>
      </c>
      <c r="H474" s="717"/>
      <c r="I474" s="21">
        <f t="shared" ref="I474:I524" si="88">(SUMIF($9:$9,H474,$10:$10)-SUMIF($9:$9,$H$24,$10:$10)+100)/100</f>
        <v>1</v>
      </c>
      <c r="J474" s="717"/>
      <c r="K474" s="21">
        <f t="shared" ref="K474:K524" si="89">(SUMIF($11:$11,J474,$12:$12)-SUMIF($11:$11,$J$24,$12:$12)+100)/100</f>
        <v>1</v>
      </c>
      <c r="L474" s="717"/>
      <c r="M474" s="21">
        <f t="shared" ref="M474:M524" si="90">(SUMIF($13:$13,L474,$14:$14)-SUMIF($13:$13,$L$24,$14:$14)+100)/100</f>
        <v>1</v>
      </c>
      <c r="N474" s="717"/>
      <c r="O474" s="21">
        <f t="shared" ref="O474:O524" si="91">(SUMIF($15:$15,N474,$16:$16)-SUMIF($15:$15,$N$24,$16:$16)+100)/100</f>
        <v>1</v>
      </c>
      <c r="P474" s="717"/>
      <c r="Q474" s="21">
        <f t="shared" ref="Q474:Q524" si="92">(SUMIF($17:$17,P474,$18:$18)-SUMIF($17:$17,$P$24,$18:$18)+100)/100</f>
        <v>1</v>
      </c>
      <c r="R474" s="713">
        <f t="shared" ref="R474:R524" si="93">IF(B474="",0,ROUND($R$24*C474*E474*G474*I474*K474*M474*O474*Q474,0))</f>
        <v>0</v>
      </c>
      <c r="S474" s="358">
        <f t="shared" si="84"/>
        <v>0</v>
      </c>
    </row>
    <row r="475" spans="1:19">
      <c r="A475" s="156"/>
      <c r="B475" s="56"/>
      <c r="C475" s="21">
        <f t="shared" si="85"/>
        <v>1</v>
      </c>
      <c r="D475" s="717"/>
      <c r="E475" s="21">
        <f t="shared" si="86"/>
        <v>1</v>
      </c>
      <c r="F475" s="717"/>
      <c r="G475" s="21">
        <f t="shared" si="87"/>
        <v>1</v>
      </c>
      <c r="H475" s="717"/>
      <c r="I475" s="21">
        <f t="shared" si="88"/>
        <v>1</v>
      </c>
      <c r="J475" s="717"/>
      <c r="K475" s="21">
        <f t="shared" si="89"/>
        <v>1</v>
      </c>
      <c r="L475" s="717"/>
      <c r="M475" s="21">
        <f t="shared" si="90"/>
        <v>1</v>
      </c>
      <c r="N475" s="717"/>
      <c r="O475" s="21">
        <f t="shared" si="91"/>
        <v>1</v>
      </c>
      <c r="P475" s="717"/>
      <c r="Q475" s="21">
        <f t="shared" si="92"/>
        <v>1</v>
      </c>
      <c r="R475" s="713">
        <f t="shared" si="93"/>
        <v>0</v>
      </c>
      <c r="S475" s="358">
        <f t="shared" si="84"/>
        <v>0</v>
      </c>
    </row>
    <row r="476" spans="1:19">
      <c r="A476" s="156"/>
      <c r="B476" s="56"/>
      <c r="C476" s="21">
        <f t="shared" si="85"/>
        <v>1</v>
      </c>
      <c r="D476" s="717"/>
      <c r="E476" s="21">
        <f t="shared" si="86"/>
        <v>1</v>
      </c>
      <c r="F476" s="717"/>
      <c r="G476" s="21">
        <f t="shared" si="87"/>
        <v>1</v>
      </c>
      <c r="H476" s="717"/>
      <c r="I476" s="21">
        <f t="shared" si="88"/>
        <v>1</v>
      </c>
      <c r="J476" s="717"/>
      <c r="K476" s="21">
        <f t="shared" si="89"/>
        <v>1</v>
      </c>
      <c r="L476" s="717"/>
      <c r="M476" s="21">
        <f t="shared" si="90"/>
        <v>1</v>
      </c>
      <c r="N476" s="717"/>
      <c r="O476" s="21">
        <f t="shared" si="91"/>
        <v>1</v>
      </c>
      <c r="P476" s="717"/>
      <c r="Q476" s="21">
        <f t="shared" si="92"/>
        <v>1</v>
      </c>
      <c r="R476" s="713">
        <f t="shared" si="93"/>
        <v>0</v>
      </c>
      <c r="S476" s="358">
        <f t="shared" si="84"/>
        <v>0</v>
      </c>
    </row>
    <row r="477" spans="1:19">
      <c r="A477" s="156"/>
      <c r="B477" s="56"/>
      <c r="C477" s="21">
        <f t="shared" si="85"/>
        <v>1</v>
      </c>
      <c r="D477" s="717"/>
      <c r="E477" s="21">
        <f t="shared" si="86"/>
        <v>1</v>
      </c>
      <c r="F477" s="717"/>
      <c r="G477" s="21">
        <f t="shared" si="87"/>
        <v>1</v>
      </c>
      <c r="H477" s="717"/>
      <c r="I477" s="21">
        <f t="shared" si="88"/>
        <v>1</v>
      </c>
      <c r="J477" s="717"/>
      <c r="K477" s="21">
        <f t="shared" si="89"/>
        <v>1</v>
      </c>
      <c r="L477" s="717"/>
      <c r="M477" s="21">
        <f t="shared" si="90"/>
        <v>1</v>
      </c>
      <c r="N477" s="717"/>
      <c r="O477" s="21">
        <f t="shared" si="91"/>
        <v>1</v>
      </c>
      <c r="P477" s="717"/>
      <c r="Q477" s="21">
        <f t="shared" si="92"/>
        <v>1</v>
      </c>
      <c r="R477" s="713">
        <f t="shared" si="93"/>
        <v>0</v>
      </c>
      <c r="S477" s="358">
        <f t="shared" si="84"/>
        <v>0</v>
      </c>
    </row>
    <row r="478" spans="1:19">
      <c r="A478" s="156"/>
      <c r="B478" s="56"/>
      <c r="C478" s="21">
        <f t="shared" si="85"/>
        <v>1</v>
      </c>
      <c r="D478" s="717"/>
      <c r="E478" s="21">
        <f t="shared" si="86"/>
        <v>1</v>
      </c>
      <c r="F478" s="717"/>
      <c r="G478" s="21">
        <f t="shared" si="87"/>
        <v>1</v>
      </c>
      <c r="H478" s="717"/>
      <c r="I478" s="21">
        <f t="shared" si="88"/>
        <v>1</v>
      </c>
      <c r="J478" s="717"/>
      <c r="K478" s="21">
        <f t="shared" si="89"/>
        <v>1</v>
      </c>
      <c r="L478" s="717"/>
      <c r="M478" s="21">
        <f t="shared" si="90"/>
        <v>1</v>
      </c>
      <c r="N478" s="717"/>
      <c r="O478" s="21">
        <f t="shared" si="91"/>
        <v>1</v>
      </c>
      <c r="P478" s="717"/>
      <c r="Q478" s="21">
        <f t="shared" si="92"/>
        <v>1</v>
      </c>
      <c r="R478" s="713">
        <f t="shared" si="93"/>
        <v>0</v>
      </c>
      <c r="S478" s="358">
        <f t="shared" si="84"/>
        <v>0</v>
      </c>
    </row>
    <row r="479" spans="1:19">
      <c r="A479" s="156"/>
      <c r="B479" s="56"/>
      <c r="C479" s="21">
        <f t="shared" si="85"/>
        <v>1</v>
      </c>
      <c r="D479" s="717"/>
      <c r="E479" s="21">
        <f t="shared" si="86"/>
        <v>1</v>
      </c>
      <c r="F479" s="717"/>
      <c r="G479" s="21">
        <f t="shared" si="87"/>
        <v>1</v>
      </c>
      <c r="H479" s="717"/>
      <c r="I479" s="21">
        <f t="shared" si="88"/>
        <v>1</v>
      </c>
      <c r="J479" s="717"/>
      <c r="K479" s="21">
        <f t="shared" si="89"/>
        <v>1</v>
      </c>
      <c r="L479" s="717"/>
      <c r="M479" s="21">
        <f t="shared" si="90"/>
        <v>1</v>
      </c>
      <c r="N479" s="717"/>
      <c r="O479" s="21">
        <f t="shared" si="91"/>
        <v>1</v>
      </c>
      <c r="P479" s="717"/>
      <c r="Q479" s="21">
        <f t="shared" si="92"/>
        <v>1</v>
      </c>
      <c r="R479" s="713">
        <f t="shared" si="93"/>
        <v>0</v>
      </c>
      <c r="S479" s="358">
        <f t="shared" si="84"/>
        <v>0</v>
      </c>
    </row>
    <row r="480" spans="1:19">
      <c r="A480" s="156"/>
      <c r="B480" s="56"/>
      <c r="C480" s="21">
        <f t="shared" si="85"/>
        <v>1</v>
      </c>
      <c r="D480" s="717"/>
      <c r="E480" s="21">
        <f t="shared" si="86"/>
        <v>1</v>
      </c>
      <c r="F480" s="717"/>
      <c r="G480" s="21">
        <f t="shared" si="87"/>
        <v>1</v>
      </c>
      <c r="H480" s="717"/>
      <c r="I480" s="21">
        <f t="shared" si="88"/>
        <v>1</v>
      </c>
      <c r="J480" s="717"/>
      <c r="K480" s="21">
        <f t="shared" si="89"/>
        <v>1</v>
      </c>
      <c r="L480" s="717"/>
      <c r="M480" s="21">
        <f t="shared" si="90"/>
        <v>1</v>
      </c>
      <c r="N480" s="717"/>
      <c r="O480" s="21">
        <f t="shared" si="91"/>
        <v>1</v>
      </c>
      <c r="P480" s="717"/>
      <c r="Q480" s="21">
        <f t="shared" si="92"/>
        <v>1</v>
      </c>
      <c r="R480" s="713">
        <f t="shared" si="93"/>
        <v>0</v>
      </c>
      <c r="S480" s="358">
        <f t="shared" si="84"/>
        <v>0</v>
      </c>
    </row>
    <row r="481" spans="1:19">
      <c r="A481" s="156"/>
      <c r="B481" s="56"/>
      <c r="C481" s="21">
        <f t="shared" si="85"/>
        <v>1</v>
      </c>
      <c r="D481" s="717"/>
      <c r="E481" s="21">
        <f t="shared" si="86"/>
        <v>1</v>
      </c>
      <c r="F481" s="717"/>
      <c r="G481" s="21">
        <f t="shared" si="87"/>
        <v>1</v>
      </c>
      <c r="H481" s="717"/>
      <c r="I481" s="21">
        <f t="shared" si="88"/>
        <v>1</v>
      </c>
      <c r="J481" s="717"/>
      <c r="K481" s="21">
        <f t="shared" si="89"/>
        <v>1</v>
      </c>
      <c r="L481" s="717"/>
      <c r="M481" s="21">
        <f t="shared" si="90"/>
        <v>1</v>
      </c>
      <c r="N481" s="717"/>
      <c r="O481" s="21">
        <f t="shared" si="91"/>
        <v>1</v>
      </c>
      <c r="P481" s="717"/>
      <c r="Q481" s="21">
        <f t="shared" si="92"/>
        <v>1</v>
      </c>
      <c r="R481" s="713">
        <f t="shared" si="93"/>
        <v>0</v>
      </c>
      <c r="S481" s="358">
        <f t="shared" si="84"/>
        <v>0</v>
      </c>
    </row>
    <row r="482" spans="1:19">
      <c r="A482" s="156"/>
      <c r="B482" s="56"/>
      <c r="C482" s="21">
        <f t="shared" si="85"/>
        <v>1</v>
      </c>
      <c r="D482" s="717"/>
      <c r="E482" s="21">
        <f t="shared" si="86"/>
        <v>1</v>
      </c>
      <c r="F482" s="717"/>
      <c r="G482" s="21">
        <f t="shared" si="87"/>
        <v>1</v>
      </c>
      <c r="H482" s="717"/>
      <c r="I482" s="21">
        <f t="shared" si="88"/>
        <v>1</v>
      </c>
      <c r="J482" s="717"/>
      <c r="K482" s="21">
        <f t="shared" si="89"/>
        <v>1</v>
      </c>
      <c r="L482" s="717"/>
      <c r="M482" s="21">
        <f t="shared" si="90"/>
        <v>1</v>
      </c>
      <c r="N482" s="717"/>
      <c r="O482" s="21">
        <f t="shared" si="91"/>
        <v>1</v>
      </c>
      <c r="P482" s="717"/>
      <c r="Q482" s="21">
        <f t="shared" si="92"/>
        <v>1</v>
      </c>
      <c r="R482" s="713">
        <f t="shared" si="93"/>
        <v>0</v>
      </c>
      <c r="S482" s="358">
        <f t="shared" si="84"/>
        <v>0</v>
      </c>
    </row>
    <row r="483" spans="1:19">
      <c r="A483" s="156"/>
      <c r="B483" s="56"/>
      <c r="C483" s="21">
        <f t="shared" si="85"/>
        <v>1</v>
      </c>
      <c r="D483" s="717"/>
      <c r="E483" s="21">
        <f t="shared" si="86"/>
        <v>1</v>
      </c>
      <c r="F483" s="717"/>
      <c r="G483" s="21">
        <f t="shared" si="87"/>
        <v>1</v>
      </c>
      <c r="H483" s="717"/>
      <c r="I483" s="21">
        <f t="shared" si="88"/>
        <v>1</v>
      </c>
      <c r="J483" s="717"/>
      <c r="K483" s="21">
        <f t="shared" si="89"/>
        <v>1</v>
      </c>
      <c r="L483" s="717"/>
      <c r="M483" s="21">
        <f t="shared" si="90"/>
        <v>1</v>
      </c>
      <c r="N483" s="717"/>
      <c r="O483" s="21">
        <f t="shared" si="91"/>
        <v>1</v>
      </c>
      <c r="P483" s="717"/>
      <c r="Q483" s="21">
        <f t="shared" si="92"/>
        <v>1</v>
      </c>
      <c r="R483" s="713">
        <f t="shared" si="93"/>
        <v>0</v>
      </c>
      <c r="S483" s="358">
        <f t="shared" si="84"/>
        <v>0</v>
      </c>
    </row>
    <row r="484" spans="1:19">
      <c r="A484" s="156"/>
      <c r="B484" s="56"/>
      <c r="C484" s="21">
        <f t="shared" si="85"/>
        <v>1</v>
      </c>
      <c r="D484" s="717"/>
      <c r="E484" s="21">
        <f t="shared" si="86"/>
        <v>1</v>
      </c>
      <c r="F484" s="717"/>
      <c r="G484" s="21">
        <f t="shared" si="87"/>
        <v>1</v>
      </c>
      <c r="H484" s="717"/>
      <c r="I484" s="21">
        <f t="shared" si="88"/>
        <v>1</v>
      </c>
      <c r="J484" s="717"/>
      <c r="K484" s="21">
        <f t="shared" si="89"/>
        <v>1</v>
      </c>
      <c r="L484" s="717"/>
      <c r="M484" s="21">
        <f t="shared" si="90"/>
        <v>1</v>
      </c>
      <c r="N484" s="717"/>
      <c r="O484" s="21">
        <f t="shared" si="91"/>
        <v>1</v>
      </c>
      <c r="P484" s="717"/>
      <c r="Q484" s="21">
        <f t="shared" si="92"/>
        <v>1</v>
      </c>
      <c r="R484" s="713">
        <f t="shared" si="93"/>
        <v>0</v>
      </c>
      <c r="S484" s="358">
        <f t="shared" si="84"/>
        <v>0</v>
      </c>
    </row>
    <row r="485" spans="1:19">
      <c r="A485" s="156"/>
      <c r="B485" s="56"/>
      <c r="C485" s="21">
        <f t="shared" si="85"/>
        <v>1</v>
      </c>
      <c r="D485" s="717"/>
      <c r="E485" s="21">
        <f t="shared" si="86"/>
        <v>1</v>
      </c>
      <c r="F485" s="717"/>
      <c r="G485" s="21">
        <f t="shared" si="87"/>
        <v>1</v>
      </c>
      <c r="H485" s="717"/>
      <c r="I485" s="21">
        <f t="shared" si="88"/>
        <v>1</v>
      </c>
      <c r="J485" s="717"/>
      <c r="K485" s="21">
        <f t="shared" si="89"/>
        <v>1</v>
      </c>
      <c r="L485" s="717"/>
      <c r="M485" s="21">
        <f t="shared" si="90"/>
        <v>1</v>
      </c>
      <c r="N485" s="717"/>
      <c r="O485" s="21">
        <f t="shared" si="91"/>
        <v>1</v>
      </c>
      <c r="P485" s="717"/>
      <c r="Q485" s="21">
        <f t="shared" si="92"/>
        <v>1</v>
      </c>
      <c r="R485" s="713">
        <f t="shared" si="93"/>
        <v>0</v>
      </c>
      <c r="S485" s="358">
        <f t="shared" si="84"/>
        <v>0</v>
      </c>
    </row>
    <row r="486" spans="1:19">
      <c r="A486" s="156"/>
      <c r="B486" s="56"/>
      <c r="C486" s="21">
        <f t="shared" si="85"/>
        <v>1</v>
      </c>
      <c r="D486" s="717"/>
      <c r="E486" s="21">
        <f t="shared" si="86"/>
        <v>1</v>
      </c>
      <c r="F486" s="717"/>
      <c r="G486" s="21">
        <f t="shared" si="87"/>
        <v>1</v>
      </c>
      <c r="H486" s="717"/>
      <c r="I486" s="21">
        <f t="shared" si="88"/>
        <v>1</v>
      </c>
      <c r="J486" s="717"/>
      <c r="K486" s="21">
        <f t="shared" si="89"/>
        <v>1</v>
      </c>
      <c r="L486" s="717"/>
      <c r="M486" s="21">
        <f t="shared" si="90"/>
        <v>1</v>
      </c>
      <c r="N486" s="717"/>
      <c r="O486" s="21">
        <f t="shared" si="91"/>
        <v>1</v>
      </c>
      <c r="P486" s="717"/>
      <c r="Q486" s="21">
        <f t="shared" si="92"/>
        <v>1</v>
      </c>
      <c r="R486" s="713">
        <f t="shared" si="93"/>
        <v>0</v>
      </c>
      <c r="S486" s="358">
        <f t="shared" si="84"/>
        <v>0</v>
      </c>
    </row>
    <row r="487" spans="1:19">
      <c r="A487" s="156"/>
      <c r="B487" s="56"/>
      <c r="C487" s="21">
        <f t="shared" si="85"/>
        <v>1</v>
      </c>
      <c r="D487" s="717"/>
      <c r="E487" s="21">
        <f t="shared" si="86"/>
        <v>1</v>
      </c>
      <c r="F487" s="717"/>
      <c r="G487" s="21">
        <f t="shared" si="87"/>
        <v>1</v>
      </c>
      <c r="H487" s="717"/>
      <c r="I487" s="21">
        <f t="shared" si="88"/>
        <v>1</v>
      </c>
      <c r="J487" s="717"/>
      <c r="K487" s="21">
        <f t="shared" si="89"/>
        <v>1</v>
      </c>
      <c r="L487" s="717"/>
      <c r="M487" s="21">
        <f t="shared" si="90"/>
        <v>1</v>
      </c>
      <c r="N487" s="717"/>
      <c r="O487" s="21">
        <f t="shared" si="91"/>
        <v>1</v>
      </c>
      <c r="P487" s="717"/>
      <c r="Q487" s="21">
        <f t="shared" si="92"/>
        <v>1</v>
      </c>
      <c r="R487" s="713">
        <f t="shared" si="93"/>
        <v>0</v>
      </c>
      <c r="S487" s="358">
        <f t="shared" si="84"/>
        <v>0</v>
      </c>
    </row>
    <row r="488" spans="1:19">
      <c r="A488" s="156"/>
      <c r="B488" s="56"/>
      <c r="C488" s="21">
        <f t="shared" si="85"/>
        <v>1</v>
      </c>
      <c r="D488" s="717"/>
      <c r="E488" s="21">
        <f t="shared" si="86"/>
        <v>1</v>
      </c>
      <c r="F488" s="717"/>
      <c r="G488" s="21">
        <f t="shared" si="87"/>
        <v>1</v>
      </c>
      <c r="H488" s="717"/>
      <c r="I488" s="21">
        <f t="shared" si="88"/>
        <v>1</v>
      </c>
      <c r="J488" s="717"/>
      <c r="K488" s="21">
        <f t="shared" si="89"/>
        <v>1</v>
      </c>
      <c r="L488" s="717"/>
      <c r="M488" s="21">
        <f t="shared" si="90"/>
        <v>1</v>
      </c>
      <c r="N488" s="717"/>
      <c r="O488" s="21">
        <f t="shared" si="91"/>
        <v>1</v>
      </c>
      <c r="P488" s="717"/>
      <c r="Q488" s="21">
        <f t="shared" si="92"/>
        <v>1</v>
      </c>
      <c r="R488" s="713">
        <f t="shared" si="93"/>
        <v>0</v>
      </c>
      <c r="S488" s="358">
        <f t="shared" si="84"/>
        <v>0</v>
      </c>
    </row>
    <row r="489" spans="1:19">
      <c r="A489" s="156"/>
      <c r="B489" s="56"/>
      <c r="C489" s="21">
        <f t="shared" si="85"/>
        <v>1</v>
      </c>
      <c r="D489" s="717"/>
      <c r="E489" s="21">
        <f t="shared" si="86"/>
        <v>1</v>
      </c>
      <c r="F489" s="717"/>
      <c r="G489" s="21">
        <f t="shared" si="87"/>
        <v>1</v>
      </c>
      <c r="H489" s="717"/>
      <c r="I489" s="21">
        <f t="shared" si="88"/>
        <v>1</v>
      </c>
      <c r="J489" s="717"/>
      <c r="K489" s="21">
        <f t="shared" si="89"/>
        <v>1</v>
      </c>
      <c r="L489" s="717"/>
      <c r="M489" s="21">
        <f t="shared" si="90"/>
        <v>1</v>
      </c>
      <c r="N489" s="717"/>
      <c r="O489" s="21">
        <f t="shared" si="91"/>
        <v>1</v>
      </c>
      <c r="P489" s="717"/>
      <c r="Q489" s="21">
        <f t="shared" si="92"/>
        <v>1</v>
      </c>
      <c r="R489" s="713">
        <f t="shared" si="93"/>
        <v>0</v>
      </c>
      <c r="S489" s="358">
        <f t="shared" si="84"/>
        <v>0</v>
      </c>
    </row>
    <row r="490" spans="1:19">
      <c r="A490" s="156"/>
      <c r="B490" s="56"/>
      <c r="C490" s="21">
        <f t="shared" si="85"/>
        <v>1</v>
      </c>
      <c r="D490" s="717"/>
      <c r="E490" s="21">
        <f t="shared" si="86"/>
        <v>1</v>
      </c>
      <c r="F490" s="717"/>
      <c r="G490" s="21">
        <f t="shared" si="87"/>
        <v>1</v>
      </c>
      <c r="H490" s="717"/>
      <c r="I490" s="21">
        <f t="shared" si="88"/>
        <v>1</v>
      </c>
      <c r="J490" s="717"/>
      <c r="K490" s="21">
        <f t="shared" si="89"/>
        <v>1</v>
      </c>
      <c r="L490" s="717"/>
      <c r="M490" s="21">
        <f t="shared" si="90"/>
        <v>1</v>
      </c>
      <c r="N490" s="717"/>
      <c r="O490" s="21">
        <f t="shared" si="91"/>
        <v>1</v>
      </c>
      <c r="P490" s="717"/>
      <c r="Q490" s="21">
        <f t="shared" si="92"/>
        <v>1</v>
      </c>
      <c r="R490" s="713">
        <f t="shared" si="93"/>
        <v>0</v>
      </c>
      <c r="S490" s="358">
        <f t="shared" si="84"/>
        <v>0</v>
      </c>
    </row>
    <row r="491" spans="1:19">
      <c r="A491" s="156"/>
      <c r="B491" s="56"/>
      <c r="C491" s="21">
        <f t="shared" si="85"/>
        <v>1</v>
      </c>
      <c r="D491" s="717"/>
      <c r="E491" s="21">
        <f t="shared" si="86"/>
        <v>1</v>
      </c>
      <c r="F491" s="717"/>
      <c r="G491" s="21">
        <f t="shared" si="87"/>
        <v>1</v>
      </c>
      <c r="H491" s="717"/>
      <c r="I491" s="21">
        <f t="shared" si="88"/>
        <v>1</v>
      </c>
      <c r="J491" s="717"/>
      <c r="K491" s="21">
        <f t="shared" si="89"/>
        <v>1</v>
      </c>
      <c r="L491" s="717"/>
      <c r="M491" s="21">
        <f t="shared" si="90"/>
        <v>1</v>
      </c>
      <c r="N491" s="717"/>
      <c r="O491" s="21">
        <f t="shared" si="91"/>
        <v>1</v>
      </c>
      <c r="P491" s="717"/>
      <c r="Q491" s="21">
        <f t="shared" si="92"/>
        <v>1</v>
      </c>
      <c r="R491" s="713">
        <f t="shared" si="93"/>
        <v>0</v>
      </c>
      <c r="S491" s="358">
        <f t="shared" si="84"/>
        <v>0</v>
      </c>
    </row>
    <row r="492" spans="1:19">
      <c r="A492" s="156"/>
      <c r="B492" s="56"/>
      <c r="C492" s="21">
        <f t="shared" si="85"/>
        <v>1</v>
      </c>
      <c r="D492" s="717"/>
      <c r="E492" s="21">
        <f t="shared" si="86"/>
        <v>1</v>
      </c>
      <c r="F492" s="717"/>
      <c r="G492" s="21">
        <f t="shared" si="87"/>
        <v>1</v>
      </c>
      <c r="H492" s="717"/>
      <c r="I492" s="21">
        <f t="shared" si="88"/>
        <v>1</v>
      </c>
      <c r="J492" s="717"/>
      <c r="K492" s="21">
        <f t="shared" si="89"/>
        <v>1</v>
      </c>
      <c r="L492" s="717"/>
      <c r="M492" s="21">
        <f t="shared" si="90"/>
        <v>1</v>
      </c>
      <c r="N492" s="717"/>
      <c r="O492" s="21">
        <f t="shared" si="91"/>
        <v>1</v>
      </c>
      <c r="P492" s="717"/>
      <c r="Q492" s="21">
        <f t="shared" si="92"/>
        <v>1</v>
      </c>
      <c r="R492" s="713">
        <f t="shared" si="93"/>
        <v>0</v>
      </c>
      <c r="S492" s="358">
        <f t="shared" si="84"/>
        <v>0</v>
      </c>
    </row>
    <row r="493" spans="1:19">
      <c r="A493" s="156"/>
      <c r="B493" s="56"/>
      <c r="C493" s="21">
        <f t="shared" si="85"/>
        <v>1</v>
      </c>
      <c r="D493" s="717"/>
      <c r="E493" s="21">
        <f t="shared" si="86"/>
        <v>1</v>
      </c>
      <c r="F493" s="717"/>
      <c r="G493" s="21">
        <f t="shared" si="87"/>
        <v>1</v>
      </c>
      <c r="H493" s="717"/>
      <c r="I493" s="21">
        <f t="shared" si="88"/>
        <v>1</v>
      </c>
      <c r="J493" s="717"/>
      <c r="K493" s="21">
        <f t="shared" si="89"/>
        <v>1</v>
      </c>
      <c r="L493" s="717"/>
      <c r="M493" s="21">
        <f t="shared" si="90"/>
        <v>1</v>
      </c>
      <c r="N493" s="717"/>
      <c r="O493" s="21">
        <f t="shared" si="91"/>
        <v>1</v>
      </c>
      <c r="P493" s="717"/>
      <c r="Q493" s="21">
        <f t="shared" si="92"/>
        <v>1</v>
      </c>
      <c r="R493" s="713">
        <f t="shared" si="93"/>
        <v>0</v>
      </c>
      <c r="S493" s="358">
        <f t="shared" si="84"/>
        <v>0</v>
      </c>
    </row>
    <row r="494" spans="1:19">
      <c r="A494" s="156"/>
      <c r="B494" s="56"/>
      <c r="C494" s="21">
        <f t="shared" si="85"/>
        <v>1</v>
      </c>
      <c r="D494" s="717"/>
      <c r="E494" s="21">
        <f t="shared" si="86"/>
        <v>1</v>
      </c>
      <c r="F494" s="717"/>
      <c r="G494" s="21">
        <f t="shared" si="87"/>
        <v>1</v>
      </c>
      <c r="H494" s="717"/>
      <c r="I494" s="21">
        <f t="shared" si="88"/>
        <v>1</v>
      </c>
      <c r="J494" s="717"/>
      <c r="K494" s="21">
        <f t="shared" si="89"/>
        <v>1</v>
      </c>
      <c r="L494" s="717"/>
      <c r="M494" s="21">
        <f t="shared" si="90"/>
        <v>1</v>
      </c>
      <c r="N494" s="717"/>
      <c r="O494" s="21">
        <f t="shared" si="91"/>
        <v>1</v>
      </c>
      <c r="P494" s="717"/>
      <c r="Q494" s="21">
        <f t="shared" si="92"/>
        <v>1</v>
      </c>
      <c r="R494" s="713">
        <f t="shared" si="93"/>
        <v>0</v>
      </c>
      <c r="S494" s="358">
        <f t="shared" si="84"/>
        <v>0</v>
      </c>
    </row>
    <row r="495" spans="1:19">
      <c r="A495" s="156"/>
      <c r="B495" s="56"/>
      <c r="C495" s="21">
        <f t="shared" si="85"/>
        <v>1</v>
      </c>
      <c r="D495" s="717"/>
      <c r="E495" s="21">
        <f t="shared" si="86"/>
        <v>1</v>
      </c>
      <c r="F495" s="717"/>
      <c r="G495" s="21">
        <f t="shared" si="87"/>
        <v>1</v>
      </c>
      <c r="H495" s="717"/>
      <c r="I495" s="21">
        <f t="shared" si="88"/>
        <v>1</v>
      </c>
      <c r="J495" s="717"/>
      <c r="K495" s="21">
        <f t="shared" si="89"/>
        <v>1</v>
      </c>
      <c r="L495" s="717"/>
      <c r="M495" s="21">
        <f t="shared" si="90"/>
        <v>1</v>
      </c>
      <c r="N495" s="717"/>
      <c r="O495" s="21">
        <f t="shared" si="91"/>
        <v>1</v>
      </c>
      <c r="P495" s="717"/>
      <c r="Q495" s="21">
        <f t="shared" si="92"/>
        <v>1</v>
      </c>
      <c r="R495" s="713">
        <f t="shared" si="93"/>
        <v>0</v>
      </c>
      <c r="S495" s="358">
        <f t="shared" si="84"/>
        <v>0</v>
      </c>
    </row>
    <row r="496" spans="1:19">
      <c r="A496" s="156"/>
      <c r="B496" s="56"/>
      <c r="C496" s="21">
        <f t="shared" si="85"/>
        <v>1</v>
      </c>
      <c r="D496" s="717"/>
      <c r="E496" s="21">
        <f t="shared" si="86"/>
        <v>1</v>
      </c>
      <c r="F496" s="717"/>
      <c r="G496" s="21">
        <f t="shared" si="87"/>
        <v>1</v>
      </c>
      <c r="H496" s="717"/>
      <c r="I496" s="21">
        <f t="shared" si="88"/>
        <v>1</v>
      </c>
      <c r="J496" s="717"/>
      <c r="K496" s="21">
        <f t="shared" si="89"/>
        <v>1</v>
      </c>
      <c r="L496" s="717"/>
      <c r="M496" s="21">
        <f t="shared" si="90"/>
        <v>1</v>
      </c>
      <c r="N496" s="717"/>
      <c r="O496" s="21">
        <f t="shared" si="91"/>
        <v>1</v>
      </c>
      <c r="P496" s="717"/>
      <c r="Q496" s="21">
        <f t="shared" si="92"/>
        <v>1</v>
      </c>
      <c r="R496" s="713">
        <f t="shared" si="93"/>
        <v>0</v>
      </c>
      <c r="S496" s="358">
        <f t="shared" si="84"/>
        <v>0</v>
      </c>
    </row>
    <row r="497" spans="1:19">
      <c r="A497" s="156"/>
      <c r="B497" s="56"/>
      <c r="C497" s="21">
        <f t="shared" si="85"/>
        <v>1</v>
      </c>
      <c r="D497" s="717"/>
      <c r="E497" s="21">
        <f t="shared" si="86"/>
        <v>1</v>
      </c>
      <c r="F497" s="717"/>
      <c r="G497" s="21">
        <f t="shared" si="87"/>
        <v>1</v>
      </c>
      <c r="H497" s="717"/>
      <c r="I497" s="21">
        <f t="shared" si="88"/>
        <v>1</v>
      </c>
      <c r="J497" s="717"/>
      <c r="K497" s="21">
        <f t="shared" si="89"/>
        <v>1</v>
      </c>
      <c r="L497" s="717"/>
      <c r="M497" s="21">
        <f t="shared" si="90"/>
        <v>1</v>
      </c>
      <c r="N497" s="717"/>
      <c r="O497" s="21">
        <f t="shared" si="91"/>
        <v>1</v>
      </c>
      <c r="P497" s="717"/>
      <c r="Q497" s="21">
        <f t="shared" si="92"/>
        <v>1</v>
      </c>
      <c r="R497" s="713">
        <f t="shared" si="93"/>
        <v>0</v>
      </c>
      <c r="S497" s="358">
        <f t="shared" si="84"/>
        <v>0</v>
      </c>
    </row>
    <row r="498" spans="1:19">
      <c r="A498" s="156"/>
      <c r="B498" s="56"/>
      <c r="C498" s="21">
        <f t="shared" si="85"/>
        <v>1</v>
      </c>
      <c r="D498" s="717"/>
      <c r="E498" s="21">
        <f t="shared" si="86"/>
        <v>1</v>
      </c>
      <c r="F498" s="717"/>
      <c r="G498" s="21">
        <f t="shared" si="87"/>
        <v>1</v>
      </c>
      <c r="H498" s="717"/>
      <c r="I498" s="21">
        <f t="shared" si="88"/>
        <v>1</v>
      </c>
      <c r="J498" s="717"/>
      <c r="K498" s="21">
        <f t="shared" si="89"/>
        <v>1</v>
      </c>
      <c r="L498" s="717"/>
      <c r="M498" s="21">
        <f t="shared" si="90"/>
        <v>1</v>
      </c>
      <c r="N498" s="717"/>
      <c r="O498" s="21">
        <f t="shared" si="91"/>
        <v>1</v>
      </c>
      <c r="P498" s="717"/>
      <c r="Q498" s="21">
        <f t="shared" si="92"/>
        <v>1</v>
      </c>
      <c r="R498" s="713">
        <f t="shared" si="93"/>
        <v>0</v>
      </c>
      <c r="S498" s="358">
        <f t="shared" ref="S498:S524" si="94">ROUND(R498*B498/10000,0)</f>
        <v>0</v>
      </c>
    </row>
    <row r="499" spans="1:19">
      <c r="A499" s="156"/>
      <c r="B499" s="56"/>
      <c r="C499" s="21">
        <f t="shared" si="85"/>
        <v>1</v>
      </c>
      <c r="D499" s="717"/>
      <c r="E499" s="21">
        <f t="shared" si="86"/>
        <v>1</v>
      </c>
      <c r="F499" s="717"/>
      <c r="G499" s="21">
        <f t="shared" si="87"/>
        <v>1</v>
      </c>
      <c r="H499" s="717"/>
      <c r="I499" s="21">
        <f t="shared" si="88"/>
        <v>1</v>
      </c>
      <c r="J499" s="717"/>
      <c r="K499" s="21">
        <f t="shared" si="89"/>
        <v>1</v>
      </c>
      <c r="L499" s="717"/>
      <c r="M499" s="21">
        <f t="shared" si="90"/>
        <v>1</v>
      </c>
      <c r="N499" s="717"/>
      <c r="O499" s="21">
        <f t="shared" si="91"/>
        <v>1</v>
      </c>
      <c r="P499" s="717"/>
      <c r="Q499" s="21">
        <f t="shared" si="92"/>
        <v>1</v>
      </c>
      <c r="R499" s="713">
        <f t="shared" si="93"/>
        <v>0</v>
      </c>
      <c r="S499" s="358">
        <f t="shared" si="94"/>
        <v>0</v>
      </c>
    </row>
    <row r="500" spans="1:19">
      <c r="A500" s="156"/>
      <c r="B500" s="56"/>
      <c r="C500" s="21">
        <f t="shared" si="85"/>
        <v>1</v>
      </c>
      <c r="D500" s="717"/>
      <c r="E500" s="21">
        <f t="shared" si="86"/>
        <v>1</v>
      </c>
      <c r="F500" s="717"/>
      <c r="G500" s="21">
        <f t="shared" si="87"/>
        <v>1</v>
      </c>
      <c r="H500" s="717"/>
      <c r="I500" s="21">
        <f t="shared" si="88"/>
        <v>1</v>
      </c>
      <c r="J500" s="717"/>
      <c r="K500" s="21">
        <f t="shared" si="89"/>
        <v>1</v>
      </c>
      <c r="L500" s="717"/>
      <c r="M500" s="21">
        <f t="shared" si="90"/>
        <v>1</v>
      </c>
      <c r="N500" s="717"/>
      <c r="O500" s="21">
        <f t="shared" si="91"/>
        <v>1</v>
      </c>
      <c r="P500" s="717"/>
      <c r="Q500" s="21">
        <f t="shared" si="92"/>
        <v>1</v>
      </c>
      <c r="R500" s="713">
        <f t="shared" si="93"/>
        <v>0</v>
      </c>
      <c r="S500" s="358">
        <f t="shared" si="94"/>
        <v>0</v>
      </c>
    </row>
    <row r="501" spans="1:19">
      <c r="A501" s="156"/>
      <c r="B501" s="56"/>
      <c r="C501" s="21">
        <f t="shared" si="85"/>
        <v>1</v>
      </c>
      <c r="D501" s="717"/>
      <c r="E501" s="21">
        <f t="shared" si="86"/>
        <v>1</v>
      </c>
      <c r="F501" s="717"/>
      <c r="G501" s="21">
        <f t="shared" si="87"/>
        <v>1</v>
      </c>
      <c r="H501" s="717"/>
      <c r="I501" s="21">
        <f t="shared" si="88"/>
        <v>1</v>
      </c>
      <c r="J501" s="717"/>
      <c r="K501" s="21">
        <f t="shared" si="89"/>
        <v>1</v>
      </c>
      <c r="L501" s="717"/>
      <c r="M501" s="21">
        <f t="shared" si="90"/>
        <v>1</v>
      </c>
      <c r="N501" s="717"/>
      <c r="O501" s="21">
        <f t="shared" si="91"/>
        <v>1</v>
      </c>
      <c r="P501" s="717"/>
      <c r="Q501" s="21">
        <f t="shared" si="92"/>
        <v>1</v>
      </c>
      <c r="R501" s="713">
        <f t="shared" si="93"/>
        <v>0</v>
      </c>
      <c r="S501" s="358">
        <f t="shared" si="94"/>
        <v>0</v>
      </c>
    </row>
    <row r="502" spans="1:19">
      <c r="A502" s="156"/>
      <c r="B502" s="56"/>
      <c r="C502" s="21">
        <f t="shared" si="85"/>
        <v>1</v>
      </c>
      <c r="D502" s="717"/>
      <c r="E502" s="21">
        <f t="shared" si="86"/>
        <v>1</v>
      </c>
      <c r="F502" s="717"/>
      <c r="G502" s="21">
        <f t="shared" si="87"/>
        <v>1</v>
      </c>
      <c r="H502" s="717"/>
      <c r="I502" s="21">
        <f t="shared" si="88"/>
        <v>1</v>
      </c>
      <c r="J502" s="717"/>
      <c r="K502" s="21">
        <f t="shared" si="89"/>
        <v>1</v>
      </c>
      <c r="L502" s="717"/>
      <c r="M502" s="21">
        <f t="shared" si="90"/>
        <v>1</v>
      </c>
      <c r="N502" s="717"/>
      <c r="O502" s="21">
        <f t="shared" si="91"/>
        <v>1</v>
      </c>
      <c r="P502" s="717"/>
      <c r="Q502" s="21">
        <f t="shared" si="92"/>
        <v>1</v>
      </c>
      <c r="R502" s="713">
        <f t="shared" si="93"/>
        <v>0</v>
      </c>
      <c r="S502" s="358">
        <f t="shared" si="94"/>
        <v>0</v>
      </c>
    </row>
    <row r="503" spans="1:19">
      <c r="A503" s="156"/>
      <c r="B503" s="56"/>
      <c r="C503" s="21">
        <f t="shared" si="85"/>
        <v>1</v>
      </c>
      <c r="D503" s="717"/>
      <c r="E503" s="21">
        <f t="shared" si="86"/>
        <v>1</v>
      </c>
      <c r="F503" s="717"/>
      <c r="G503" s="21">
        <f t="shared" si="87"/>
        <v>1</v>
      </c>
      <c r="H503" s="717"/>
      <c r="I503" s="21">
        <f t="shared" si="88"/>
        <v>1</v>
      </c>
      <c r="J503" s="717"/>
      <c r="K503" s="21">
        <f t="shared" si="89"/>
        <v>1</v>
      </c>
      <c r="L503" s="717"/>
      <c r="M503" s="21">
        <f t="shared" si="90"/>
        <v>1</v>
      </c>
      <c r="N503" s="717"/>
      <c r="O503" s="21">
        <f t="shared" si="91"/>
        <v>1</v>
      </c>
      <c r="P503" s="717"/>
      <c r="Q503" s="21">
        <f t="shared" si="92"/>
        <v>1</v>
      </c>
      <c r="R503" s="713">
        <f t="shared" si="93"/>
        <v>0</v>
      </c>
      <c r="S503" s="358">
        <f t="shared" si="94"/>
        <v>0</v>
      </c>
    </row>
    <row r="504" spans="1:19">
      <c r="A504" s="156"/>
      <c r="B504" s="56"/>
      <c r="C504" s="21">
        <f t="shared" si="85"/>
        <v>1</v>
      </c>
      <c r="D504" s="717"/>
      <c r="E504" s="21">
        <f t="shared" si="86"/>
        <v>1</v>
      </c>
      <c r="F504" s="717"/>
      <c r="G504" s="21">
        <f t="shared" si="87"/>
        <v>1</v>
      </c>
      <c r="H504" s="717"/>
      <c r="I504" s="21">
        <f t="shared" si="88"/>
        <v>1</v>
      </c>
      <c r="J504" s="717"/>
      <c r="K504" s="21">
        <f t="shared" si="89"/>
        <v>1</v>
      </c>
      <c r="L504" s="717"/>
      <c r="M504" s="21">
        <f t="shared" si="90"/>
        <v>1</v>
      </c>
      <c r="N504" s="717"/>
      <c r="O504" s="21">
        <f t="shared" si="91"/>
        <v>1</v>
      </c>
      <c r="P504" s="717"/>
      <c r="Q504" s="21">
        <f t="shared" si="92"/>
        <v>1</v>
      </c>
      <c r="R504" s="713">
        <f t="shared" si="93"/>
        <v>0</v>
      </c>
      <c r="S504" s="358">
        <f t="shared" si="94"/>
        <v>0</v>
      </c>
    </row>
    <row r="505" spans="1:19">
      <c r="A505" s="156"/>
      <c r="B505" s="56"/>
      <c r="C505" s="21">
        <f t="shared" si="85"/>
        <v>1</v>
      </c>
      <c r="D505" s="717"/>
      <c r="E505" s="21">
        <f t="shared" si="86"/>
        <v>1</v>
      </c>
      <c r="F505" s="717"/>
      <c r="G505" s="21">
        <f t="shared" si="87"/>
        <v>1</v>
      </c>
      <c r="H505" s="717"/>
      <c r="I505" s="21">
        <f t="shared" si="88"/>
        <v>1</v>
      </c>
      <c r="J505" s="717"/>
      <c r="K505" s="21">
        <f t="shared" si="89"/>
        <v>1</v>
      </c>
      <c r="L505" s="717"/>
      <c r="M505" s="21">
        <f t="shared" si="90"/>
        <v>1</v>
      </c>
      <c r="N505" s="717"/>
      <c r="O505" s="21">
        <f t="shared" si="91"/>
        <v>1</v>
      </c>
      <c r="P505" s="717"/>
      <c r="Q505" s="21">
        <f t="shared" si="92"/>
        <v>1</v>
      </c>
      <c r="R505" s="713">
        <f t="shared" si="93"/>
        <v>0</v>
      </c>
      <c r="S505" s="358">
        <f t="shared" si="94"/>
        <v>0</v>
      </c>
    </row>
    <row r="506" spans="1:19">
      <c r="A506" s="156"/>
      <c r="B506" s="56"/>
      <c r="C506" s="21">
        <f t="shared" si="85"/>
        <v>1</v>
      </c>
      <c r="D506" s="717"/>
      <c r="E506" s="21">
        <f t="shared" si="86"/>
        <v>1</v>
      </c>
      <c r="F506" s="717"/>
      <c r="G506" s="21">
        <f t="shared" si="87"/>
        <v>1</v>
      </c>
      <c r="H506" s="717"/>
      <c r="I506" s="21">
        <f t="shared" si="88"/>
        <v>1</v>
      </c>
      <c r="J506" s="717"/>
      <c r="K506" s="21">
        <f t="shared" si="89"/>
        <v>1</v>
      </c>
      <c r="L506" s="717"/>
      <c r="M506" s="21">
        <f t="shared" si="90"/>
        <v>1</v>
      </c>
      <c r="N506" s="717"/>
      <c r="O506" s="21">
        <f t="shared" si="91"/>
        <v>1</v>
      </c>
      <c r="P506" s="717"/>
      <c r="Q506" s="21">
        <f t="shared" si="92"/>
        <v>1</v>
      </c>
      <c r="R506" s="713">
        <f t="shared" si="93"/>
        <v>0</v>
      </c>
      <c r="S506" s="358">
        <f t="shared" si="94"/>
        <v>0</v>
      </c>
    </row>
    <row r="507" spans="1:19">
      <c r="A507" s="156"/>
      <c r="B507" s="56"/>
      <c r="C507" s="21">
        <f t="shared" si="85"/>
        <v>1</v>
      </c>
      <c r="D507" s="717"/>
      <c r="E507" s="21">
        <f t="shared" si="86"/>
        <v>1</v>
      </c>
      <c r="F507" s="717"/>
      <c r="G507" s="21">
        <f t="shared" si="87"/>
        <v>1</v>
      </c>
      <c r="H507" s="717"/>
      <c r="I507" s="21">
        <f t="shared" si="88"/>
        <v>1</v>
      </c>
      <c r="J507" s="717"/>
      <c r="K507" s="21">
        <f t="shared" si="89"/>
        <v>1</v>
      </c>
      <c r="L507" s="717"/>
      <c r="M507" s="21">
        <f t="shared" si="90"/>
        <v>1</v>
      </c>
      <c r="N507" s="717"/>
      <c r="O507" s="21">
        <f t="shared" si="91"/>
        <v>1</v>
      </c>
      <c r="P507" s="717"/>
      <c r="Q507" s="21">
        <f t="shared" si="92"/>
        <v>1</v>
      </c>
      <c r="R507" s="713">
        <f t="shared" si="93"/>
        <v>0</v>
      </c>
      <c r="S507" s="358">
        <f t="shared" si="94"/>
        <v>0</v>
      </c>
    </row>
    <row r="508" spans="1:19">
      <c r="A508" s="156"/>
      <c r="B508" s="56"/>
      <c r="C508" s="21">
        <f t="shared" si="85"/>
        <v>1</v>
      </c>
      <c r="D508" s="717"/>
      <c r="E508" s="21">
        <f t="shared" si="86"/>
        <v>1</v>
      </c>
      <c r="F508" s="717"/>
      <c r="G508" s="21">
        <f t="shared" si="87"/>
        <v>1</v>
      </c>
      <c r="H508" s="717"/>
      <c r="I508" s="21">
        <f t="shared" si="88"/>
        <v>1</v>
      </c>
      <c r="J508" s="717"/>
      <c r="K508" s="21">
        <f t="shared" si="89"/>
        <v>1</v>
      </c>
      <c r="L508" s="717"/>
      <c r="M508" s="21">
        <f t="shared" si="90"/>
        <v>1</v>
      </c>
      <c r="N508" s="717"/>
      <c r="O508" s="21">
        <f t="shared" si="91"/>
        <v>1</v>
      </c>
      <c r="P508" s="717"/>
      <c r="Q508" s="21">
        <f t="shared" si="92"/>
        <v>1</v>
      </c>
      <c r="R508" s="713">
        <f t="shared" si="93"/>
        <v>0</v>
      </c>
      <c r="S508" s="358">
        <f t="shared" si="94"/>
        <v>0</v>
      </c>
    </row>
    <row r="509" spans="1:19">
      <c r="A509" s="156"/>
      <c r="B509" s="56"/>
      <c r="C509" s="21">
        <f t="shared" si="85"/>
        <v>1</v>
      </c>
      <c r="D509" s="717"/>
      <c r="E509" s="21">
        <f t="shared" si="86"/>
        <v>1</v>
      </c>
      <c r="F509" s="717"/>
      <c r="G509" s="21">
        <f t="shared" si="87"/>
        <v>1</v>
      </c>
      <c r="H509" s="717"/>
      <c r="I509" s="21">
        <f t="shared" si="88"/>
        <v>1</v>
      </c>
      <c r="J509" s="717"/>
      <c r="K509" s="21">
        <f t="shared" si="89"/>
        <v>1</v>
      </c>
      <c r="L509" s="717"/>
      <c r="M509" s="21">
        <f t="shared" si="90"/>
        <v>1</v>
      </c>
      <c r="N509" s="717"/>
      <c r="O509" s="21">
        <f t="shared" si="91"/>
        <v>1</v>
      </c>
      <c r="P509" s="717"/>
      <c r="Q509" s="21">
        <f t="shared" si="92"/>
        <v>1</v>
      </c>
      <c r="R509" s="713">
        <f t="shared" si="93"/>
        <v>0</v>
      </c>
      <c r="S509" s="358">
        <f t="shared" si="94"/>
        <v>0</v>
      </c>
    </row>
    <row r="510" spans="1:19">
      <c r="A510" s="156"/>
      <c r="B510" s="56"/>
      <c r="C510" s="21">
        <f t="shared" si="85"/>
        <v>1</v>
      </c>
      <c r="D510" s="717"/>
      <c r="E510" s="21">
        <f t="shared" si="86"/>
        <v>1</v>
      </c>
      <c r="F510" s="717"/>
      <c r="G510" s="21">
        <f t="shared" si="87"/>
        <v>1</v>
      </c>
      <c r="H510" s="717"/>
      <c r="I510" s="21">
        <f t="shared" si="88"/>
        <v>1</v>
      </c>
      <c r="J510" s="717"/>
      <c r="K510" s="21">
        <f t="shared" si="89"/>
        <v>1</v>
      </c>
      <c r="L510" s="717"/>
      <c r="M510" s="21">
        <f t="shared" si="90"/>
        <v>1</v>
      </c>
      <c r="N510" s="717"/>
      <c r="O510" s="21">
        <f t="shared" si="91"/>
        <v>1</v>
      </c>
      <c r="P510" s="717"/>
      <c r="Q510" s="21">
        <f t="shared" si="92"/>
        <v>1</v>
      </c>
      <c r="R510" s="713">
        <f t="shared" si="93"/>
        <v>0</v>
      </c>
      <c r="S510" s="358">
        <f t="shared" si="94"/>
        <v>0</v>
      </c>
    </row>
    <row r="511" spans="1:19">
      <c r="A511" s="156"/>
      <c r="B511" s="56"/>
      <c r="C511" s="21">
        <f t="shared" si="85"/>
        <v>1</v>
      </c>
      <c r="D511" s="717"/>
      <c r="E511" s="21">
        <f t="shared" si="86"/>
        <v>1</v>
      </c>
      <c r="F511" s="717"/>
      <c r="G511" s="21">
        <f t="shared" si="87"/>
        <v>1</v>
      </c>
      <c r="H511" s="717"/>
      <c r="I511" s="21">
        <f t="shared" si="88"/>
        <v>1</v>
      </c>
      <c r="J511" s="717"/>
      <c r="K511" s="21">
        <f t="shared" si="89"/>
        <v>1</v>
      </c>
      <c r="L511" s="717"/>
      <c r="M511" s="21">
        <f t="shared" si="90"/>
        <v>1</v>
      </c>
      <c r="N511" s="717"/>
      <c r="O511" s="21">
        <f t="shared" si="91"/>
        <v>1</v>
      </c>
      <c r="P511" s="717"/>
      <c r="Q511" s="21">
        <f t="shared" si="92"/>
        <v>1</v>
      </c>
      <c r="R511" s="713">
        <f t="shared" si="93"/>
        <v>0</v>
      </c>
      <c r="S511" s="358">
        <f t="shared" si="94"/>
        <v>0</v>
      </c>
    </row>
    <row r="512" spans="1:19">
      <c r="A512" s="156"/>
      <c r="B512" s="56"/>
      <c r="C512" s="21">
        <f t="shared" si="85"/>
        <v>1</v>
      </c>
      <c r="D512" s="717"/>
      <c r="E512" s="21">
        <f t="shared" si="86"/>
        <v>1</v>
      </c>
      <c r="F512" s="717"/>
      <c r="G512" s="21">
        <f t="shared" si="87"/>
        <v>1</v>
      </c>
      <c r="H512" s="717"/>
      <c r="I512" s="21">
        <f t="shared" si="88"/>
        <v>1</v>
      </c>
      <c r="J512" s="717"/>
      <c r="K512" s="21">
        <f t="shared" si="89"/>
        <v>1</v>
      </c>
      <c r="L512" s="717"/>
      <c r="M512" s="21">
        <f t="shared" si="90"/>
        <v>1</v>
      </c>
      <c r="N512" s="717"/>
      <c r="O512" s="21">
        <f t="shared" si="91"/>
        <v>1</v>
      </c>
      <c r="P512" s="717"/>
      <c r="Q512" s="21">
        <f t="shared" si="92"/>
        <v>1</v>
      </c>
      <c r="R512" s="713">
        <f t="shared" si="93"/>
        <v>0</v>
      </c>
      <c r="S512" s="358">
        <f t="shared" si="94"/>
        <v>0</v>
      </c>
    </row>
    <row r="513" spans="1:19">
      <c r="A513" s="156"/>
      <c r="B513" s="56"/>
      <c r="C513" s="21">
        <f t="shared" si="85"/>
        <v>1</v>
      </c>
      <c r="D513" s="717"/>
      <c r="E513" s="21">
        <f t="shared" si="86"/>
        <v>1</v>
      </c>
      <c r="F513" s="717"/>
      <c r="G513" s="21">
        <f t="shared" si="87"/>
        <v>1</v>
      </c>
      <c r="H513" s="717"/>
      <c r="I513" s="21">
        <f t="shared" si="88"/>
        <v>1</v>
      </c>
      <c r="J513" s="717"/>
      <c r="K513" s="21">
        <f t="shared" si="89"/>
        <v>1</v>
      </c>
      <c r="L513" s="717"/>
      <c r="M513" s="21">
        <f t="shared" si="90"/>
        <v>1</v>
      </c>
      <c r="N513" s="717"/>
      <c r="O513" s="21">
        <f t="shared" si="91"/>
        <v>1</v>
      </c>
      <c r="P513" s="717"/>
      <c r="Q513" s="21">
        <f t="shared" si="92"/>
        <v>1</v>
      </c>
      <c r="R513" s="713">
        <f t="shared" si="93"/>
        <v>0</v>
      </c>
      <c r="S513" s="358">
        <f t="shared" si="94"/>
        <v>0</v>
      </c>
    </row>
    <row r="514" spans="1:19">
      <c r="A514" s="156"/>
      <c r="B514" s="56"/>
      <c r="C514" s="21">
        <f t="shared" si="85"/>
        <v>1</v>
      </c>
      <c r="D514" s="717"/>
      <c r="E514" s="21">
        <f t="shared" si="86"/>
        <v>1</v>
      </c>
      <c r="F514" s="717"/>
      <c r="G514" s="21">
        <f t="shared" si="87"/>
        <v>1</v>
      </c>
      <c r="H514" s="717"/>
      <c r="I514" s="21">
        <f t="shared" si="88"/>
        <v>1</v>
      </c>
      <c r="J514" s="717"/>
      <c r="K514" s="21">
        <f t="shared" si="89"/>
        <v>1</v>
      </c>
      <c r="L514" s="717"/>
      <c r="M514" s="21">
        <f t="shared" si="90"/>
        <v>1</v>
      </c>
      <c r="N514" s="717"/>
      <c r="O514" s="21">
        <f t="shared" si="91"/>
        <v>1</v>
      </c>
      <c r="P514" s="717"/>
      <c r="Q514" s="21">
        <f t="shared" si="92"/>
        <v>1</v>
      </c>
      <c r="R514" s="713">
        <f t="shared" si="93"/>
        <v>0</v>
      </c>
      <c r="S514" s="358">
        <f t="shared" si="94"/>
        <v>0</v>
      </c>
    </row>
    <row r="515" spans="1:19">
      <c r="A515" s="156"/>
      <c r="B515" s="56"/>
      <c r="C515" s="21">
        <f t="shared" si="85"/>
        <v>1</v>
      </c>
      <c r="D515" s="717"/>
      <c r="E515" s="21">
        <f t="shared" si="86"/>
        <v>1</v>
      </c>
      <c r="F515" s="717"/>
      <c r="G515" s="21">
        <f t="shared" si="87"/>
        <v>1</v>
      </c>
      <c r="H515" s="717"/>
      <c r="I515" s="21">
        <f t="shared" si="88"/>
        <v>1</v>
      </c>
      <c r="J515" s="717"/>
      <c r="K515" s="21">
        <f t="shared" si="89"/>
        <v>1</v>
      </c>
      <c r="L515" s="717"/>
      <c r="M515" s="21">
        <f t="shared" si="90"/>
        <v>1</v>
      </c>
      <c r="N515" s="717"/>
      <c r="O515" s="21">
        <f t="shared" si="91"/>
        <v>1</v>
      </c>
      <c r="P515" s="717"/>
      <c r="Q515" s="21">
        <f t="shared" si="92"/>
        <v>1</v>
      </c>
      <c r="R515" s="713">
        <f t="shared" si="93"/>
        <v>0</v>
      </c>
      <c r="S515" s="358">
        <f t="shared" si="94"/>
        <v>0</v>
      </c>
    </row>
    <row r="516" spans="1:19">
      <c r="A516" s="156"/>
      <c r="B516" s="56"/>
      <c r="C516" s="21">
        <f t="shared" si="85"/>
        <v>1</v>
      </c>
      <c r="D516" s="717"/>
      <c r="E516" s="21">
        <f t="shared" si="86"/>
        <v>1</v>
      </c>
      <c r="F516" s="717"/>
      <c r="G516" s="21">
        <f t="shared" si="87"/>
        <v>1</v>
      </c>
      <c r="H516" s="717"/>
      <c r="I516" s="21">
        <f t="shared" si="88"/>
        <v>1</v>
      </c>
      <c r="J516" s="717"/>
      <c r="K516" s="21">
        <f t="shared" si="89"/>
        <v>1</v>
      </c>
      <c r="L516" s="717"/>
      <c r="M516" s="21">
        <f t="shared" si="90"/>
        <v>1</v>
      </c>
      <c r="N516" s="717"/>
      <c r="O516" s="21">
        <f t="shared" si="91"/>
        <v>1</v>
      </c>
      <c r="P516" s="717"/>
      <c r="Q516" s="21">
        <f t="shared" si="92"/>
        <v>1</v>
      </c>
      <c r="R516" s="713">
        <f t="shared" si="93"/>
        <v>0</v>
      </c>
      <c r="S516" s="358">
        <f t="shared" si="94"/>
        <v>0</v>
      </c>
    </row>
    <row r="517" spans="1:19">
      <c r="A517" s="156"/>
      <c r="B517" s="56"/>
      <c r="C517" s="21">
        <f t="shared" si="85"/>
        <v>1</v>
      </c>
      <c r="D517" s="717"/>
      <c r="E517" s="21">
        <f t="shared" si="86"/>
        <v>1</v>
      </c>
      <c r="F517" s="717"/>
      <c r="G517" s="21">
        <f t="shared" si="87"/>
        <v>1</v>
      </c>
      <c r="H517" s="717"/>
      <c r="I517" s="21">
        <f t="shared" si="88"/>
        <v>1</v>
      </c>
      <c r="J517" s="717"/>
      <c r="K517" s="21">
        <f t="shared" si="89"/>
        <v>1</v>
      </c>
      <c r="L517" s="717"/>
      <c r="M517" s="21">
        <f t="shared" si="90"/>
        <v>1</v>
      </c>
      <c r="N517" s="717"/>
      <c r="O517" s="21">
        <f t="shared" si="91"/>
        <v>1</v>
      </c>
      <c r="P517" s="717"/>
      <c r="Q517" s="21">
        <f t="shared" si="92"/>
        <v>1</v>
      </c>
      <c r="R517" s="713">
        <f t="shared" si="93"/>
        <v>0</v>
      </c>
      <c r="S517" s="358">
        <f t="shared" si="94"/>
        <v>0</v>
      </c>
    </row>
    <row r="518" spans="1:19">
      <c r="A518" s="156"/>
      <c r="B518" s="56"/>
      <c r="C518" s="21">
        <f t="shared" si="85"/>
        <v>1</v>
      </c>
      <c r="D518" s="717"/>
      <c r="E518" s="21">
        <f t="shared" si="86"/>
        <v>1</v>
      </c>
      <c r="F518" s="717"/>
      <c r="G518" s="21">
        <f t="shared" si="87"/>
        <v>1</v>
      </c>
      <c r="H518" s="717"/>
      <c r="I518" s="21">
        <f t="shared" si="88"/>
        <v>1</v>
      </c>
      <c r="J518" s="717"/>
      <c r="K518" s="21">
        <f t="shared" si="89"/>
        <v>1</v>
      </c>
      <c r="L518" s="717"/>
      <c r="M518" s="21">
        <f t="shared" si="90"/>
        <v>1</v>
      </c>
      <c r="N518" s="717"/>
      <c r="O518" s="21">
        <f t="shared" si="91"/>
        <v>1</v>
      </c>
      <c r="P518" s="717"/>
      <c r="Q518" s="21">
        <f t="shared" si="92"/>
        <v>1</v>
      </c>
      <c r="R518" s="713">
        <f t="shared" si="93"/>
        <v>0</v>
      </c>
      <c r="S518" s="358">
        <f t="shared" si="94"/>
        <v>0</v>
      </c>
    </row>
    <row r="519" spans="1:19">
      <c r="A519" s="156"/>
      <c r="B519" s="56"/>
      <c r="C519" s="21">
        <f t="shared" si="85"/>
        <v>1</v>
      </c>
      <c r="D519" s="717"/>
      <c r="E519" s="21">
        <f t="shared" si="86"/>
        <v>1</v>
      </c>
      <c r="F519" s="717"/>
      <c r="G519" s="21">
        <f t="shared" si="87"/>
        <v>1</v>
      </c>
      <c r="H519" s="717"/>
      <c r="I519" s="21">
        <f t="shared" si="88"/>
        <v>1</v>
      </c>
      <c r="J519" s="717"/>
      <c r="K519" s="21">
        <f t="shared" si="89"/>
        <v>1</v>
      </c>
      <c r="L519" s="717"/>
      <c r="M519" s="21">
        <f t="shared" si="90"/>
        <v>1</v>
      </c>
      <c r="N519" s="717"/>
      <c r="O519" s="21">
        <f t="shared" si="91"/>
        <v>1</v>
      </c>
      <c r="P519" s="717"/>
      <c r="Q519" s="21">
        <f t="shared" si="92"/>
        <v>1</v>
      </c>
      <c r="R519" s="713">
        <f t="shared" si="93"/>
        <v>0</v>
      </c>
      <c r="S519" s="358">
        <f t="shared" si="94"/>
        <v>0</v>
      </c>
    </row>
    <row r="520" spans="1:19">
      <c r="A520" s="156"/>
      <c r="B520" s="56"/>
      <c r="C520" s="21">
        <f t="shared" si="85"/>
        <v>1</v>
      </c>
      <c r="D520" s="717"/>
      <c r="E520" s="21">
        <f t="shared" si="86"/>
        <v>1</v>
      </c>
      <c r="F520" s="717"/>
      <c r="G520" s="21">
        <f t="shared" si="87"/>
        <v>1</v>
      </c>
      <c r="H520" s="717"/>
      <c r="I520" s="21">
        <f t="shared" si="88"/>
        <v>1</v>
      </c>
      <c r="J520" s="717"/>
      <c r="K520" s="21">
        <f t="shared" si="89"/>
        <v>1</v>
      </c>
      <c r="L520" s="717"/>
      <c r="M520" s="21">
        <f t="shared" si="90"/>
        <v>1</v>
      </c>
      <c r="N520" s="717"/>
      <c r="O520" s="21">
        <f t="shared" si="91"/>
        <v>1</v>
      </c>
      <c r="P520" s="717"/>
      <c r="Q520" s="21">
        <f t="shared" si="92"/>
        <v>1</v>
      </c>
      <c r="R520" s="713">
        <f t="shared" si="93"/>
        <v>0</v>
      </c>
      <c r="S520" s="358">
        <f t="shared" si="94"/>
        <v>0</v>
      </c>
    </row>
    <row r="521" spans="1:19">
      <c r="A521" s="156"/>
      <c r="B521" s="56"/>
      <c r="C521" s="21">
        <f t="shared" si="85"/>
        <v>1</v>
      </c>
      <c r="D521" s="717"/>
      <c r="E521" s="21">
        <f t="shared" si="86"/>
        <v>1</v>
      </c>
      <c r="F521" s="717"/>
      <c r="G521" s="21">
        <f t="shared" si="87"/>
        <v>1</v>
      </c>
      <c r="H521" s="717"/>
      <c r="I521" s="21">
        <f t="shared" si="88"/>
        <v>1</v>
      </c>
      <c r="J521" s="717"/>
      <c r="K521" s="21">
        <f t="shared" si="89"/>
        <v>1</v>
      </c>
      <c r="L521" s="717"/>
      <c r="M521" s="21">
        <f t="shared" si="90"/>
        <v>1</v>
      </c>
      <c r="N521" s="717"/>
      <c r="O521" s="21">
        <f t="shared" si="91"/>
        <v>1</v>
      </c>
      <c r="P521" s="717"/>
      <c r="Q521" s="21">
        <f t="shared" si="92"/>
        <v>1</v>
      </c>
      <c r="R521" s="713">
        <f t="shared" si="93"/>
        <v>0</v>
      </c>
      <c r="S521" s="358">
        <f t="shared" si="94"/>
        <v>0</v>
      </c>
    </row>
    <row r="522" spans="1:19">
      <c r="A522" s="156"/>
      <c r="B522" s="56"/>
      <c r="C522" s="21">
        <f t="shared" si="85"/>
        <v>1</v>
      </c>
      <c r="D522" s="717"/>
      <c r="E522" s="21">
        <f t="shared" si="86"/>
        <v>1</v>
      </c>
      <c r="F522" s="717"/>
      <c r="G522" s="21">
        <f t="shared" si="87"/>
        <v>1</v>
      </c>
      <c r="H522" s="717"/>
      <c r="I522" s="21">
        <f t="shared" si="88"/>
        <v>1</v>
      </c>
      <c r="J522" s="717"/>
      <c r="K522" s="21">
        <f t="shared" si="89"/>
        <v>1</v>
      </c>
      <c r="L522" s="717"/>
      <c r="M522" s="21">
        <f t="shared" si="90"/>
        <v>1</v>
      </c>
      <c r="N522" s="717"/>
      <c r="O522" s="21">
        <f t="shared" si="91"/>
        <v>1</v>
      </c>
      <c r="P522" s="717"/>
      <c r="Q522" s="21">
        <f t="shared" si="92"/>
        <v>1</v>
      </c>
      <c r="R522" s="713">
        <f t="shared" si="93"/>
        <v>0</v>
      </c>
      <c r="S522" s="358">
        <f t="shared" si="94"/>
        <v>0</v>
      </c>
    </row>
    <row r="523" spans="1:19">
      <c r="A523" s="156"/>
      <c r="B523" s="56"/>
      <c r="C523" s="21">
        <f t="shared" si="85"/>
        <v>1</v>
      </c>
      <c r="D523" s="717"/>
      <c r="E523" s="21">
        <f t="shared" si="86"/>
        <v>1</v>
      </c>
      <c r="F523" s="717"/>
      <c r="G523" s="21">
        <f t="shared" si="87"/>
        <v>1</v>
      </c>
      <c r="H523" s="717"/>
      <c r="I523" s="21">
        <f t="shared" si="88"/>
        <v>1</v>
      </c>
      <c r="J523" s="717"/>
      <c r="K523" s="21">
        <f t="shared" si="89"/>
        <v>1</v>
      </c>
      <c r="L523" s="717"/>
      <c r="M523" s="21">
        <f t="shared" si="90"/>
        <v>1</v>
      </c>
      <c r="N523" s="717"/>
      <c r="O523" s="21">
        <f t="shared" si="91"/>
        <v>1</v>
      </c>
      <c r="P523" s="717"/>
      <c r="Q523" s="21">
        <f t="shared" si="92"/>
        <v>1</v>
      </c>
      <c r="R523" s="713">
        <f t="shared" si="93"/>
        <v>0</v>
      </c>
      <c r="S523" s="358">
        <f t="shared" si="94"/>
        <v>0</v>
      </c>
    </row>
    <row r="524" spans="1:19">
      <c r="A524" s="156"/>
      <c r="B524" s="56"/>
      <c r="C524" s="21">
        <f t="shared" si="85"/>
        <v>1</v>
      </c>
      <c r="D524" s="717"/>
      <c r="E524" s="21">
        <f t="shared" si="86"/>
        <v>1</v>
      </c>
      <c r="F524" s="717"/>
      <c r="G524" s="21">
        <f t="shared" si="87"/>
        <v>1</v>
      </c>
      <c r="H524" s="717"/>
      <c r="I524" s="21">
        <f t="shared" si="88"/>
        <v>1</v>
      </c>
      <c r="J524" s="717"/>
      <c r="K524" s="21">
        <f t="shared" si="89"/>
        <v>1</v>
      </c>
      <c r="L524" s="717"/>
      <c r="M524" s="21">
        <f t="shared" si="90"/>
        <v>1</v>
      </c>
      <c r="N524" s="717"/>
      <c r="O524" s="21">
        <f t="shared" si="91"/>
        <v>1</v>
      </c>
      <c r="P524" s="717"/>
      <c r="Q524" s="21">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59</v>
      </c>
      <c r="B1" s="238"/>
      <c r="C1" s="239"/>
      <c r="D1" s="239"/>
      <c r="E1" s="239"/>
      <c r="F1" s="239"/>
      <c r="G1" s="240"/>
    </row>
    <row r="2" spans="1:7" s="241" customFormat="1" ht="18" customHeight="1">
      <c r="A2" s="242" t="s">
        <v>60</v>
      </c>
      <c r="B2" s="243">
        <f ca="1">C52</f>
        <v>42190</v>
      </c>
      <c r="C2" s="2" t="s">
        <v>109</v>
      </c>
      <c r="D2" s="240"/>
      <c r="E2" s="240"/>
      <c r="F2" s="240"/>
      <c r="G2" s="240"/>
    </row>
    <row r="3" spans="1:7" s="241" customFormat="1" ht="18" customHeight="1" thickBot="1">
      <c r="A3" s="244" t="s">
        <v>61</v>
      </c>
      <c r="B3" s="245">
        <f ca="1">ROUND(B2*10000/'数据-汇总表'!E3,0)</f>
        <v>9167</v>
      </c>
      <c r="C3" s="2" t="s">
        <v>110</v>
      </c>
      <c r="D3" s="240"/>
      <c r="E3" s="240"/>
      <c r="F3" s="240"/>
      <c r="G3" s="240"/>
    </row>
    <row r="4" spans="1:7" s="249" customFormat="1" ht="15.75">
      <c r="A4" s="246" t="s">
        <v>62</v>
      </c>
      <c r="B4" s="247"/>
      <c r="C4" s="247"/>
      <c r="D4" s="247"/>
      <c r="E4" s="247"/>
      <c r="F4" s="247"/>
      <c r="G4" s="248"/>
    </row>
    <row r="5" spans="1:7" s="255" customFormat="1" ht="13.5" customHeight="1">
      <c r="A5" s="296" t="s">
        <v>1026</v>
      </c>
      <c r="B5" s="251" t="s">
        <v>63</v>
      </c>
      <c r="C5" s="252">
        <f>C6+C7+C8</f>
        <v>20610</v>
      </c>
      <c r="D5" s="252" t="s">
        <v>64</v>
      </c>
      <c r="E5" s="253" t="s">
        <v>65</v>
      </c>
      <c r="F5" s="253" t="s">
        <v>66</v>
      </c>
      <c r="G5" s="254"/>
    </row>
    <row r="6" spans="1:7" s="255" customFormat="1" ht="13.5" customHeight="1">
      <c r="A6" s="946" t="s">
        <v>767</v>
      </c>
      <c r="B6" s="256" t="s">
        <v>67</v>
      </c>
      <c r="C6" s="257">
        <v>20000</v>
      </c>
      <c r="D6" s="258"/>
      <c r="E6" s="259"/>
      <c r="F6" s="259"/>
      <c r="G6" s="260"/>
    </row>
    <row r="7" spans="1:7" s="255" customFormat="1" ht="13.5" customHeight="1">
      <c r="A7" s="946" t="s">
        <v>768</v>
      </c>
      <c r="B7" s="256" t="s">
        <v>33</v>
      </c>
      <c r="C7" s="261">
        <f>ROUND(C6*F7,0)</f>
        <v>610</v>
      </c>
      <c r="D7" s="261"/>
      <c r="E7" s="259"/>
      <c r="F7" s="262">
        <f>'数据-取费表'!B48+'数据-取费表'!B49</f>
        <v>3.0499999999999999E-2</v>
      </c>
      <c r="G7" s="260"/>
    </row>
    <row r="8" spans="1:7" s="264" customFormat="1">
      <c r="A8" s="946" t="s">
        <v>769</v>
      </c>
      <c r="B8" s="256" t="s">
        <v>68</v>
      </c>
      <c r="C8" s="261" t="str">
        <f>IF(G8="已包含在土地购买价格中","0",'数据-取费表'!B29)</f>
        <v>0</v>
      </c>
      <c r="D8" s="263"/>
      <c r="E8" s="261"/>
      <c r="F8" s="262"/>
      <c r="G8" s="1" t="s">
        <v>1120</v>
      </c>
    </row>
    <row r="9" spans="1:7" s="255" customFormat="1" ht="13.5" customHeight="1">
      <c r="A9" s="947" t="s">
        <v>776</v>
      </c>
      <c r="B9" s="265" t="s">
        <v>69</v>
      </c>
      <c r="C9" s="266">
        <f>ROUND(D9*E9/10000,0)</f>
        <v>593</v>
      </c>
      <c r="D9" s="1029">
        <f>'数据-汇总表'!E5</f>
        <v>37043.53</v>
      </c>
      <c r="E9" s="266">
        <f>'数据-取费表'!B27</f>
        <v>160</v>
      </c>
      <c r="F9" s="262"/>
      <c r="G9" s="267"/>
    </row>
    <row r="10" spans="1:7" s="255" customFormat="1" ht="13.5" customHeight="1">
      <c r="A10" s="947" t="s">
        <v>777</v>
      </c>
      <c r="B10" s="265" t="s">
        <v>70</v>
      </c>
      <c r="C10" s="266">
        <f>ROUND(D10*E10/10000,0)</f>
        <v>180</v>
      </c>
      <c r="D10" s="1029">
        <f>'数据-汇总表'!E6</f>
        <v>8980.4799999999959</v>
      </c>
      <c r="E10" s="266">
        <f>'数据-取费表'!B28</f>
        <v>200</v>
      </c>
      <c r="F10" s="262"/>
      <c r="G10" s="267"/>
    </row>
    <row r="11" spans="1:7" s="255" customFormat="1" ht="13.5" hidden="1" customHeight="1">
      <c r="A11" s="268" t="s">
        <v>4</v>
      </c>
      <c r="B11" s="256" t="s">
        <v>71</v>
      </c>
      <c r="C11" s="252"/>
      <c r="D11" s="1031"/>
      <c r="E11" s="259"/>
      <c r="F11" s="259"/>
      <c r="G11" s="260"/>
    </row>
    <row r="12" spans="1:7" s="255" customFormat="1" ht="13.5" hidden="1" customHeight="1">
      <c r="A12" s="268" t="s">
        <v>5</v>
      </c>
      <c r="B12" s="256" t="s">
        <v>72</v>
      </c>
      <c r="C12" s="252">
        <v>0</v>
      </c>
      <c r="D12" s="1031"/>
      <c r="E12" s="269"/>
      <c r="F12" s="262">
        <v>3.0499999999999999E-2</v>
      </c>
      <c r="G12" s="260"/>
    </row>
    <row r="13" spans="1:7" s="255" customFormat="1" ht="13.5" hidden="1" customHeight="1">
      <c r="A13" s="268" t="s">
        <v>6</v>
      </c>
      <c r="B13" s="256" t="s">
        <v>73</v>
      </c>
      <c r="C13" s="252"/>
      <c r="D13" s="1031"/>
      <c r="E13" s="259"/>
      <c r="F13" s="259"/>
      <c r="G13" s="260"/>
    </row>
    <row r="14" spans="1:7" s="255" customFormat="1" ht="13.5" hidden="1" customHeight="1">
      <c r="A14" s="268" t="s">
        <v>7</v>
      </c>
      <c r="B14" s="256" t="s">
        <v>68</v>
      </c>
      <c r="C14" s="252"/>
      <c r="D14" s="1031"/>
      <c r="E14" s="259"/>
      <c r="F14" s="259"/>
      <c r="G14" s="260" t="s">
        <v>74</v>
      </c>
    </row>
    <row r="15" spans="1:7" s="255" customFormat="1" ht="13.5" hidden="1" customHeight="1">
      <c r="A15" s="268" t="s">
        <v>8</v>
      </c>
      <c r="B15" s="256" t="s">
        <v>75</v>
      </c>
      <c r="C15" s="261"/>
      <c r="D15" s="1031"/>
      <c r="E15" s="259"/>
      <c r="F15" s="259"/>
      <c r="G15" s="260" t="s">
        <v>76</v>
      </c>
    </row>
    <row r="16" spans="1:7" s="255" customFormat="1" ht="13.5" hidden="1" customHeight="1">
      <c r="A16" s="268" t="s">
        <v>9</v>
      </c>
      <c r="B16" s="256" t="s">
        <v>68</v>
      </c>
      <c r="C16" s="261"/>
      <c r="D16" s="1031"/>
      <c r="E16" s="259"/>
      <c r="F16" s="259"/>
      <c r="G16" s="260"/>
    </row>
    <row r="17" spans="1:7" s="255" customFormat="1" ht="13.5" hidden="1" customHeight="1">
      <c r="A17" s="268" t="s">
        <v>10</v>
      </c>
      <c r="B17" s="256" t="s">
        <v>77</v>
      </c>
      <c r="C17" s="270"/>
      <c r="D17" s="1032"/>
      <c r="E17" s="270"/>
      <c r="F17" s="270"/>
      <c r="G17" s="260" t="s">
        <v>76</v>
      </c>
    </row>
    <row r="18" spans="1:7" s="255" customFormat="1" ht="13.5" hidden="1" customHeight="1">
      <c r="A18" s="268" t="s">
        <v>11</v>
      </c>
      <c r="B18" s="256" t="s">
        <v>78</v>
      </c>
      <c r="C18" s="261">
        <v>0</v>
      </c>
      <c r="D18" s="1031"/>
      <c r="E18" s="259"/>
      <c r="F18" s="262">
        <v>3.0499999999999999E-2</v>
      </c>
      <c r="G18" s="260" t="s">
        <v>79</v>
      </c>
    </row>
    <row r="19" spans="1:7" s="264" customFormat="1" ht="13.5" customHeight="1">
      <c r="A19" s="945" t="s">
        <v>1027</v>
      </c>
      <c r="B19" s="251" t="s">
        <v>87</v>
      </c>
      <c r="C19" s="252">
        <f>IF(G19="已包含在土地取得成本中","0",ROUND(D19*E19/10000,0))</f>
        <v>920</v>
      </c>
      <c r="D19" s="1033">
        <f>'数据-汇总表'!E3</f>
        <v>46024.009999999995</v>
      </c>
      <c r="E19" s="252">
        <f>'数据-取费表'!B31</f>
        <v>200</v>
      </c>
      <c r="F19" s="272"/>
      <c r="G19" s="1" t="s">
        <v>1046</v>
      </c>
    </row>
    <row r="20" spans="1:7" s="255" customFormat="1" ht="13.5" customHeight="1">
      <c r="A20" s="945" t="s">
        <v>1029</v>
      </c>
      <c r="B20" s="251" t="s">
        <v>80</v>
      </c>
      <c r="C20" s="273">
        <f>ROUND((C5+C19)*F20,0)</f>
        <v>646</v>
      </c>
      <c r="D20" s="273"/>
      <c r="E20" s="273"/>
      <c r="F20" s="274">
        <f>'数据-取费表'!B37</f>
        <v>0.03</v>
      </c>
      <c r="G20" s="1286" t="s">
        <v>1040</v>
      </c>
    </row>
    <row r="21" spans="1:7" s="255" customFormat="1" ht="13.5" customHeight="1">
      <c r="A21" s="945" t="s">
        <v>1031</v>
      </c>
      <c r="B21" s="251" t="s">
        <v>81</v>
      </c>
      <c r="C21" s="276">
        <f>F21</f>
        <v>0.03</v>
      </c>
      <c r="D21" s="277" t="s">
        <v>102</v>
      </c>
      <c r="E21" s="273"/>
      <c r="F21" s="274">
        <f>'数据-取费表'!B38</f>
        <v>0.03</v>
      </c>
      <c r="G21" s="275" t="s">
        <v>82</v>
      </c>
    </row>
    <row r="22" spans="1:7" s="255" customFormat="1" ht="13.5" customHeight="1">
      <c r="A22" s="945" t="s">
        <v>762</v>
      </c>
      <c r="B22" s="251" t="s">
        <v>83</v>
      </c>
      <c r="C22" s="1351">
        <f ca="1">ROUND(SUM(C23:C25),0)</f>
        <v>2014</v>
      </c>
      <c r="D22" s="276">
        <f ca="1">C26</f>
        <v>1.4E-3</v>
      </c>
      <c r="E22" s="277" t="s">
        <v>102</v>
      </c>
      <c r="F22" s="278">
        <f ca="1">'数据-取费表'!B40</f>
        <v>4.7500000000000001E-2</v>
      </c>
      <c r="G22" s="1286" t="str">
        <f>IF('数据-取费表'!B22&lt;=1,"单利计息","复利计息")</f>
        <v>复利计息</v>
      </c>
    </row>
    <row r="23" spans="1:7" s="255" customFormat="1" ht="13.5" customHeight="1">
      <c r="A23" s="948" t="s">
        <v>770</v>
      </c>
      <c r="B23" s="256" t="s">
        <v>1033</v>
      </c>
      <c r="C23" s="1352">
        <f ca="1">ROUND(IF('数据-取费表'!B22&lt;=1,C5*F22*'数据-取费表'!B23,C5*(POWER((1+F22),'数据-取费表'!B23)-1)),0)</f>
        <v>1900</v>
      </c>
      <c r="D23" s="279"/>
      <c r="E23" s="279"/>
      <c r="F23" s="280"/>
      <c r="G23" s="281" t="s">
        <v>84</v>
      </c>
    </row>
    <row r="24" spans="1:7" s="255" customFormat="1" ht="13.5" customHeight="1">
      <c r="A24" s="948" t="s">
        <v>768</v>
      </c>
      <c r="B24" s="256" t="s">
        <v>1028</v>
      </c>
      <c r="C24" s="1352">
        <f ca="1">ROUND(IF('数据-取费表'!B22&lt;=1,C19*F22*('数据-取费表'!B19/2+'数据-取费表'!B21),C19*(POWER((1+F22),('数据-取费表'!B19/2+'数据-取费表'!B21))-1)),0)</f>
        <v>85</v>
      </c>
      <c r="D24" s="279"/>
      <c r="E24" s="279"/>
      <c r="F24" s="280"/>
      <c r="G24" s="281" t="s">
        <v>85</v>
      </c>
    </row>
    <row r="25" spans="1:7" s="255" customFormat="1" ht="24">
      <c r="A25" s="948" t="s">
        <v>769</v>
      </c>
      <c r="B25" s="256" t="s">
        <v>1030</v>
      </c>
      <c r="C25" s="1352">
        <f ca="1">ROUND(IF('数据-取费表'!B22&lt;=1,C20*F22*'数据-取费表'!B23/2,C20*(POWER((1+F22),'数据-取费表'!B23/2)-1)),0)</f>
        <v>29</v>
      </c>
      <c r="D25" s="279"/>
      <c r="E25" s="282"/>
      <c r="F25" s="280"/>
      <c r="G25" s="283" t="s">
        <v>86</v>
      </c>
    </row>
    <row r="26" spans="1:7" s="255" customFormat="1">
      <c r="A26" s="948" t="s">
        <v>771</v>
      </c>
      <c r="B26" s="256" t="s">
        <v>1032</v>
      </c>
      <c r="C26" s="279">
        <f ca="1">ROUND(IF('数据-取费表'!B22&lt;=1,F21*F22*'数据-取费表'!B23/2,F21*(POWER((1+F22),'数据-取费表'!B23/2)-1)),4)</f>
        <v>1.4E-3</v>
      </c>
      <c r="D26" s="279"/>
      <c r="E26" s="282"/>
      <c r="F26" s="280"/>
      <c r="G26" s="284"/>
    </row>
    <row r="27" spans="1:7" s="255" customFormat="1" ht="24.75">
      <c r="A27" s="945" t="s">
        <v>763</v>
      </c>
      <c r="B27" s="285" t="s">
        <v>88</v>
      </c>
      <c r="C27" s="286">
        <f>C28</f>
        <v>632</v>
      </c>
      <c r="D27" s="276">
        <f>C29</f>
        <v>8.9999999999999998E-4</v>
      </c>
      <c r="E27" s="277" t="s">
        <v>102</v>
      </c>
      <c r="F27" s="287">
        <f>'数据-取费表'!Q16</f>
        <v>0.03</v>
      </c>
      <c r="G27" s="288" t="s">
        <v>1041</v>
      </c>
    </row>
    <row r="28" spans="1:7" s="255" customFormat="1" ht="13.5" customHeight="1">
      <c r="A28" s="948" t="s">
        <v>770</v>
      </c>
      <c r="B28" s="289" t="s">
        <v>1034</v>
      </c>
      <c r="C28" s="290">
        <f>ROUND((C5+C19+C20)*F27*'数据-取费表'!B21/'数据-取费表'!B20,0)</f>
        <v>632</v>
      </c>
      <c r="D28" s="276"/>
      <c r="E28" s="277"/>
      <c r="F28" s="287"/>
      <c r="G28" s="288"/>
    </row>
    <row r="29" spans="1:7" s="255" customFormat="1" ht="13.5" customHeight="1">
      <c r="A29" s="948" t="s">
        <v>768</v>
      </c>
      <c r="B29" s="289" t="s">
        <v>1035</v>
      </c>
      <c r="C29" s="279">
        <f>ROUND(C21*F27*'数据-取费表'!B21/'数据-取费表'!B20,4)</f>
        <v>8.9999999999999998E-4</v>
      </c>
      <c r="D29" s="276"/>
      <c r="E29" s="277"/>
      <c r="F29" s="287"/>
      <c r="G29" s="288"/>
    </row>
    <row r="30" spans="1:7" s="255" customFormat="1" ht="13.5" customHeight="1">
      <c r="A30" s="945" t="s">
        <v>764</v>
      </c>
      <c r="B30" s="251" t="s">
        <v>34</v>
      </c>
      <c r="C30" s="276">
        <f>F30</f>
        <v>5.6000000000000001E-2</v>
      </c>
      <c r="D30" s="277" t="s">
        <v>103</v>
      </c>
      <c r="E30" s="282"/>
      <c r="F30" s="278">
        <f>'数据-取费表'!B41</f>
        <v>5.6000000000000001E-2</v>
      </c>
      <c r="G30" s="275" t="s">
        <v>89</v>
      </c>
    </row>
    <row r="31" spans="1:7" ht="16.5" customHeight="1">
      <c r="A31" s="250">
        <v>1</v>
      </c>
      <c r="B31" s="251" t="s">
        <v>104</v>
      </c>
      <c r="C31" s="252">
        <f ca="1">ROUND((C5+C19+C20+C22+C27)/(1-C21-D22-D27-C30/(1+'数据-取费表'!B42)),0)</f>
        <v>27147</v>
      </c>
      <c r="D31" s="271"/>
      <c r="E31" s="252"/>
      <c r="F31" s="291"/>
      <c r="G31" s="275" t="s">
        <v>1042</v>
      </c>
    </row>
    <row r="32" spans="1:7" s="249" customFormat="1" ht="15.75">
      <c r="A32" s="293" t="s">
        <v>90</v>
      </c>
      <c r="B32" s="294"/>
      <c r="C32" s="294"/>
      <c r="D32" s="294"/>
      <c r="E32" s="294"/>
      <c r="F32" s="294"/>
      <c r="G32" s="295"/>
    </row>
    <row r="33" spans="1:7" s="255" customFormat="1" ht="13.5" customHeight="1">
      <c r="A33" s="296" t="s">
        <v>758</v>
      </c>
      <c r="B33" s="251" t="s">
        <v>91</v>
      </c>
      <c r="C33" s="297">
        <f>SUM(C34:C38)</f>
        <v>12421</v>
      </c>
      <c r="D33" s="273"/>
      <c r="E33" s="253"/>
      <c r="F33" s="282"/>
      <c r="G33" s="275"/>
    </row>
    <row r="34" spans="1:7" s="299" customFormat="1" ht="13.5" customHeight="1">
      <c r="A34" s="948" t="s">
        <v>770</v>
      </c>
      <c r="B34" s="256" t="s">
        <v>35</v>
      </c>
      <c r="C34" s="261">
        <f>IF(F34=100%,'数据-取费表'!M16-SUMIF('数据-取费表'!C:C,"公共配套",'数据-取费表'!M:M),'数据-取费表'!O16-SUMIF('数据-取费表'!C:C,"公共配套",'数据-取费表'!O:O))</f>
        <v>10615</v>
      </c>
      <c r="D34" s="258"/>
      <c r="E34" s="261"/>
      <c r="F34" s="298">
        <f>IF('数据-取费表'!B24=0,1,'数据-取费表'!N16)</f>
        <v>0.96</v>
      </c>
      <c r="G34" s="260" t="s">
        <v>92</v>
      </c>
    </row>
    <row r="35" spans="1:7" ht="13.5" customHeight="1">
      <c r="A35" s="948" t="s">
        <v>772</v>
      </c>
      <c r="B35" s="256" t="s">
        <v>36</v>
      </c>
      <c r="C35" s="261">
        <f>ROUND(C34*F35,0)</f>
        <v>318</v>
      </c>
      <c r="D35" s="261"/>
      <c r="E35" s="261"/>
      <c r="F35" s="300">
        <f>'数据-取费表'!B33</f>
        <v>0.03</v>
      </c>
      <c r="G35" s="260" t="s">
        <v>93</v>
      </c>
    </row>
    <row r="36" spans="1:7" ht="24">
      <c r="A36" s="948" t="s">
        <v>773</v>
      </c>
      <c r="B36" s="256" t="s">
        <v>37</v>
      </c>
      <c r="C36" s="261">
        <f>ROUND(IF(SUMIF('数据-取费表'!C:C,"住宅",IF(F34=100%,'数据-取费表'!M:M,'数据-取费表'!O:O))=0,0,IF(F36=0,SUMIF('数据-取费表'!C:C,"公共配套",IF(F34=100%,'数据-取费表'!M:M,'数据-取费表'!O:O)),SUMIF('数据-取费表'!C:C,"住宅",IF(F34=100%,'数据-取费表'!M:M,'数据-取费表'!O:O))*F36)),0)</f>
        <v>445</v>
      </c>
      <c r="D36" s="261"/>
      <c r="E36" s="261"/>
      <c r="F36" s="300">
        <f>'数据-取费表'!B34</f>
        <v>0.05</v>
      </c>
      <c r="G36" s="301" t="s">
        <v>38</v>
      </c>
    </row>
    <row r="37" spans="1:7" s="299" customFormat="1" ht="13.5" customHeight="1">
      <c r="A37" s="948" t="s">
        <v>774</v>
      </c>
      <c r="B37" s="256" t="s">
        <v>94</v>
      </c>
      <c r="C37" s="290">
        <f>ROUND(E37*D37*F34/10000,0)</f>
        <v>884</v>
      </c>
      <c r="D37" s="258">
        <f>'数据-汇总表'!E3</f>
        <v>46024.009999999995</v>
      </c>
      <c r="E37" s="290">
        <f>'数据-取费表'!B35</f>
        <v>200</v>
      </c>
      <c r="F37" s="300"/>
      <c r="G37" s="302" t="s">
        <v>95</v>
      </c>
    </row>
    <row r="38" spans="1:7" ht="13.5" customHeight="1">
      <c r="A38" s="948" t="s">
        <v>775</v>
      </c>
      <c r="B38" s="256" t="s">
        <v>39</v>
      </c>
      <c r="C38" s="261">
        <f>ROUND(C34*F38,0)</f>
        <v>159</v>
      </c>
      <c r="D38" s="261"/>
      <c r="E38" s="261"/>
      <c r="F38" s="300">
        <f>'数据-取费表'!B36</f>
        <v>1.4999999999999999E-2</v>
      </c>
      <c r="G38" s="260" t="s">
        <v>93</v>
      </c>
    </row>
    <row r="39" spans="1:7" s="255" customFormat="1" ht="13.5" customHeight="1">
      <c r="A39" s="945" t="s">
        <v>759</v>
      </c>
      <c r="B39" s="251" t="s">
        <v>80</v>
      </c>
      <c r="C39" s="273">
        <f>ROUND(C33*F20,0)</f>
        <v>373</v>
      </c>
      <c r="D39" s="273"/>
      <c r="E39" s="273"/>
      <c r="F39" s="274"/>
      <c r="G39" s="1286" t="s">
        <v>1043</v>
      </c>
    </row>
    <row r="40" spans="1:7" s="255" customFormat="1" ht="13.5" customHeight="1">
      <c r="A40" s="945" t="s">
        <v>760</v>
      </c>
      <c r="B40" s="251" t="s">
        <v>81</v>
      </c>
      <c r="C40" s="303">
        <f>F21</f>
        <v>0.03</v>
      </c>
      <c r="D40" s="277" t="s">
        <v>105</v>
      </c>
      <c r="E40" s="273"/>
      <c r="F40" s="274"/>
      <c r="G40" s="275" t="s">
        <v>96</v>
      </c>
    </row>
    <row r="41" spans="1:7" s="255" customFormat="1" ht="13.5" customHeight="1">
      <c r="A41" s="945" t="s">
        <v>761</v>
      </c>
      <c r="B41" s="251" t="s">
        <v>83</v>
      </c>
      <c r="C41" s="273">
        <f ca="1">ROUND(SUM(C42:C43),0)</f>
        <v>577</v>
      </c>
      <c r="D41" s="276">
        <f ca="1">C44</f>
        <v>1.4E-3</v>
      </c>
      <c r="E41" s="277" t="s">
        <v>105</v>
      </c>
      <c r="F41" s="278"/>
      <c r="G41" s="1286" t="str">
        <f>IF('数据-取费表'!B22&lt;=1,"单利计息","复利计息")</f>
        <v>复利计息</v>
      </c>
    </row>
    <row r="42" spans="1:7" ht="13.5" customHeight="1">
      <c r="A42" s="948" t="s">
        <v>770</v>
      </c>
      <c r="B42" s="256" t="s">
        <v>1033</v>
      </c>
      <c r="C42" s="279">
        <f ca="1">ROUND(IF('数据-取费表'!B22&lt;=1,C33*F22*'数据-取费表'!B21/2,C33*(POWER((1+F22),'数据-取费表'!B21/2)-1)),0)</f>
        <v>560</v>
      </c>
      <c r="D42" s="279"/>
      <c r="E42" s="279"/>
      <c r="F42" s="280"/>
      <c r="G42" s="3149" t="s">
        <v>97</v>
      </c>
    </row>
    <row r="43" spans="1:7" ht="13.5" customHeight="1">
      <c r="A43" s="948" t="s">
        <v>768</v>
      </c>
      <c r="B43" s="256" t="s">
        <v>1036</v>
      </c>
      <c r="C43" s="279">
        <f ca="1">ROUND(IF('数据-取费表'!B22&lt;=1,C39*F22*'数据-取费表'!B21/2,C39*(POWER((1+F22),'数据-取费表'!B21/2)-1)),0)</f>
        <v>17</v>
      </c>
      <c r="D43" s="279"/>
      <c r="E43" s="279"/>
      <c r="F43" s="280"/>
      <c r="G43" s="3150"/>
    </row>
    <row r="44" spans="1:7" ht="13.5" customHeight="1">
      <c r="A44" s="948" t="s">
        <v>769</v>
      </c>
      <c r="B44" s="256" t="s">
        <v>1038</v>
      </c>
      <c r="C44" s="279">
        <f ca="1">ROUND(IF('数据-取费表'!B22&lt;=1,C40*F22*'数据-取费表'!B21/2,C40*(POWER((1+F22),'数据-取费表'!B21/2)-1)),4)</f>
        <v>1.4E-3</v>
      </c>
      <c r="D44" s="279"/>
      <c r="E44" s="279"/>
      <c r="F44" s="280"/>
      <c r="G44" s="3151"/>
    </row>
    <row r="45" spans="1:7" s="255" customFormat="1" ht="13.5" customHeight="1">
      <c r="A45" s="945" t="s">
        <v>762</v>
      </c>
      <c r="B45" s="285" t="s">
        <v>88</v>
      </c>
      <c r="C45" s="286">
        <f>C46</f>
        <v>384</v>
      </c>
      <c r="D45" s="276">
        <f>C47</f>
        <v>8.9999999999999998E-4</v>
      </c>
      <c r="E45" s="277" t="s">
        <v>105</v>
      </c>
      <c r="F45" s="287"/>
      <c r="G45" s="288" t="s">
        <v>1044</v>
      </c>
    </row>
    <row r="46" spans="1:7" s="255" customFormat="1" ht="13.5" customHeight="1">
      <c r="A46" s="948" t="s">
        <v>770</v>
      </c>
      <c r="B46" s="289" t="s">
        <v>1037</v>
      </c>
      <c r="C46" s="290">
        <f>ROUND((C33+C39)*F27,0)</f>
        <v>384</v>
      </c>
      <c r="D46" s="304"/>
      <c r="E46" s="277"/>
      <c r="F46" s="287"/>
      <c r="G46" s="288"/>
    </row>
    <row r="47" spans="1:7" s="255" customFormat="1" ht="13.5" customHeight="1">
      <c r="A47" s="948" t="s">
        <v>768</v>
      </c>
      <c r="B47" s="289" t="s">
        <v>1039</v>
      </c>
      <c r="C47" s="279">
        <f>ROUND(C40*F27,4)</f>
        <v>8.9999999999999998E-4</v>
      </c>
      <c r="D47" s="304"/>
      <c r="E47" s="277"/>
      <c r="F47" s="287"/>
      <c r="G47" s="288"/>
    </row>
    <row r="48" spans="1:7" s="255" customFormat="1" ht="13.5" customHeight="1">
      <c r="A48" s="945" t="s">
        <v>763</v>
      </c>
      <c r="B48" s="251" t="s">
        <v>98</v>
      </c>
      <c r="C48" s="303">
        <f>F30</f>
        <v>5.6000000000000001E-2</v>
      </c>
      <c r="D48" s="277" t="s">
        <v>106</v>
      </c>
      <c r="E48" s="273"/>
      <c r="F48" s="278"/>
      <c r="G48" s="275" t="s">
        <v>99</v>
      </c>
    </row>
    <row r="49" spans="1:7" ht="16.5" customHeight="1">
      <c r="A49" s="945" t="s">
        <v>764</v>
      </c>
      <c r="B49" s="251" t="s">
        <v>107</v>
      </c>
      <c r="C49" s="273">
        <f ca="1">ROUND((C33+C39+C41+C45)/(1-C40-D41-D45-C48/(1+'数据-取费表'!B42)),0)</f>
        <v>15043</v>
      </c>
      <c r="D49" s="273"/>
      <c r="E49" s="273"/>
      <c r="F49" s="305"/>
      <c r="G49" s="275" t="s">
        <v>1045</v>
      </c>
    </row>
    <row r="50" spans="1:7" s="299" customFormat="1" ht="24">
      <c r="A50" s="945" t="s">
        <v>765</v>
      </c>
      <c r="B50" s="251" t="s">
        <v>100</v>
      </c>
      <c r="C50" s="273"/>
      <c r="D50" s="273"/>
      <c r="E50" s="273"/>
      <c r="F50" s="305">
        <f>IF('数据-取费表'!B24=0,'数据-取费表'!N16,1)</f>
        <v>1</v>
      </c>
      <c r="G50" s="288" t="s">
        <v>101</v>
      </c>
    </row>
    <row r="51" spans="1:7" ht="16.5" customHeight="1">
      <c r="A51" s="945" t="s">
        <v>766</v>
      </c>
      <c r="B51" s="251" t="s">
        <v>108</v>
      </c>
      <c r="C51" s="273">
        <f ca="1">ROUND(C49*F50,0)</f>
        <v>15043</v>
      </c>
      <c r="D51" s="273"/>
      <c r="E51" s="273"/>
      <c r="F51" s="305"/>
      <c r="G51" s="275" t="s">
        <v>40</v>
      </c>
    </row>
    <row r="52" spans="1:7" s="249" customFormat="1" ht="16.5" thickBot="1">
      <c r="A52" s="306" t="s">
        <v>41</v>
      </c>
      <c r="B52" s="307"/>
      <c r="C52" s="308">
        <f ca="1">C31+C51</f>
        <v>42190</v>
      </c>
      <c r="D52" s="307"/>
      <c r="E52" s="307"/>
      <c r="F52" s="307"/>
      <c r="G52" s="309"/>
    </row>
    <row r="55" spans="1:7" ht="15">
      <c r="B55" s="311" t="s">
        <v>42</v>
      </c>
      <c r="C55" s="312"/>
    </row>
    <row r="56" spans="1:7">
      <c r="B56" s="314" t="s">
        <v>43</v>
      </c>
      <c r="C56" s="315">
        <f ca="1">ROUND(C51/C52,3)</f>
        <v>0.35699999999999998</v>
      </c>
    </row>
    <row r="57" spans="1:7">
      <c r="B57" s="314" t="s">
        <v>44</v>
      </c>
      <c r="C57" s="316">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1591</v>
      </c>
      <c r="B1" s="1955"/>
      <c r="C1" s="1955"/>
      <c r="D1" s="1955"/>
      <c r="E1" s="1955"/>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7"/>
      <c r="B4" s="2965" t="s">
        <v>1600</v>
      </c>
      <c r="C4" s="2965"/>
      <c r="D4" s="2965"/>
      <c r="E4" s="1957"/>
    </row>
    <row r="5" spans="1:5" ht="16.5" thickTop="1">
      <c r="A5" s="1955"/>
      <c r="B5" s="2963" t="s">
        <v>1592</v>
      </c>
      <c r="C5" s="1958" t="s">
        <v>1593</v>
      </c>
      <c r="D5" s="1037">
        <f ca="1">结果表!H101</f>
        <v>51925</v>
      </c>
      <c r="E5" s="1955"/>
    </row>
    <row r="6" spans="1:5" ht="15.75">
      <c r="A6" s="1955"/>
      <c r="B6" s="2963"/>
      <c r="C6" s="1958" t="s">
        <v>1594</v>
      </c>
      <c r="D6" s="1037" t="str">
        <f ca="1">NUMBERSTRING(INT(D5*10000),2)&amp;"元整"</f>
        <v>伍亿壹仟玖佰贰拾伍万元整</v>
      </c>
      <c r="E6" s="1955"/>
    </row>
    <row r="7" spans="1:5" ht="15.75">
      <c r="A7" s="1955"/>
      <c r="B7" s="2968"/>
      <c r="C7" s="1959" t="s">
        <v>1595</v>
      </c>
      <c r="D7" s="1038">
        <f ca="1">结果表!H102</f>
        <v>11282</v>
      </c>
      <c r="E7" s="1955"/>
    </row>
    <row r="8" spans="1:5" ht="15.75">
      <c r="A8" s="1955"/>
      <c r="B8" s="2969" t="str">
        <f>结果表!E103</f>
        <v>2.估价师知悉的法定优先受偿款</v>
      </c>
      <c r="C8" s="1960" t="s">
        <v>1596</v>
      </c>
      <c r="D8" s="1038">
        <f>结果表!H103</f>
        <v>0</v>
      </c>
      <c r="E8" s="1955"/>
    </row>
    <row r="9" spans="1:5" ht="15.75">
      <c r="A9" s="1955"/>
      <c r="B9" s="2971"/>
      <c r="C9" s="1958" t="s">
        <v>1594</v>
      </c>
      <c r="D9" s="1037" t="str">
        <f>NUMBERSTRING(INT(D8*10000),2)&amp;"元整"</f>
        <v>零元整</v>
      </c>
      <c r="E9" s="1955"/>
    </row>
    <row r="10" spans="1:5" ht="15">
      <c r="A10" s="1955"/>
      <c r="B10" s="1961" t="s">
        <v>1599</v>
      </c>
      <c r="C10" s="1962" t="s">
        <v>1597</v>
      </c>
      <c r="D10" s="1039">
        <f>结果表!H104</f>
        <v>0</v>
      </c>
      <c r="E10" s="1955"/>
    </row>
    <row r="11" spans="1:5" ht="15">
      <c r="A11" s="1955"/>
      <c r="B11" s="1961" t="s">
        <v>1601</v>
      </c>
      <c r="C11" s="1962" t="s">
        <v>1602</v>
      </c>
      <c r="D11" s="1039">
        <f>结果表!H105</f>
        <v>0</v>
      </c>
      <c r="E11" s="1955"/>
    </row>
    <row r="12" spans="1:5" ht="15">
      <c r="A12" s="1955"/>
      <c r="B12" s="1961" t="s">
        <v>1603</v>
      </c>
      <c r="C12" s="1962" t="s">
        <v>1602</v>
      </c>
      <c r="D12" s="1039">
        <f>结果表!H106</f>
        <v>0</v>
      </c>
      <c r="E12" s="1955"/>
    </row>
    <row r="13" spans="1:5" ht="15.75">
      <c r="A13" s="1955"/>
      <c r="B13" s="2962" t="str">
        <f>结果表!E107</f>
        <v>3.房地产抵押价值</v>
      </c>
      <c r="C13" s="1963" t="s">
        <v>1593</v>
      </c>
      <c r="D13" s="1040">
        <f ca="1">结果表!H107</f>
        <v>51925</v>
      </c>
      <c r="E13" s="1955"/>
    </row>
    <row r="14" spans="1:5" ht="15.75">
      <c r="A14" s="1955"/>
      <c r="B14" s="2963"/>
      <c r="C14" s="1958" t="s">
        <v>1594</v>
      </c>
      <c r="D14" s="1037" t="str">
        <f ca="1">NUMBERSTRING(INT(D13*10000),2)&amp;"元整"</f>
        <v>伍亿壹仟玖佰贰拾伍万元整</v>
      </c>
      <c r="E14" s="1955"/>
    </row>
    <row r="15" spans="1:5" ht="15">
      <c r="A15" s="1955"/>
      <c r="B15" s="2968"/>
      <c r="C15" s="1959" t="s">
        <v>1604</v>
      </c>
      <c r="D15" s="1049">
        <f ca="1">结果表!H108</f>
        <v>11282</v>
      </c>
      <c r="E15" s="1955"/>
    </row>
    <row r="16" spans="1:5" ht="15">
      <c r="A16" s="1955"/>
      <c r="B16" s="2969" t="str">
        <f>结果表!E109</f>
        <v>——</v>
      </c>
      <c r="C16" s="1963" t="s">
        <v>1605</v>
      </c>
      <c r="D16" s="1964" t="str">
        <f>结果表!H109</f>
        <v>——</v>
      </c>
      <c r="E16" s="1955"/>
    </row>
    <row r="17" spans="1:5" ht="15.75">
      <c r="A17" s="1955"/>
      <c r="B17" s="2970"/>
      <c r="C17" s="1958" t="s">
        <v>1606</v>
      </c>
      <c r="D17" s="1037" t="e">
        <f>NUMBERSTRING(INT(D16*10000),2)&amp;"元整"</f>
        <v>#VALUE!</v>
      </c>
      <c r="E17" s="1955"/>
    </row>
    <row r="18" spans="1:5" ht="15">
      <c r="A18" s="1955"/>
      <c r="B18" s="2971"/>
      <c r="C18" s="1959" t="s">
        <v>1595</v>
      </c>
      <c r="D18" s="1049" t="str">
        <f>结果表!H110</f>
        <v>——</v>
      </c>
      <c r="E18" s="1955"/>
    </row>
    <row r="19" spans="1:5" ht="15.75">
      <c r="A19" s="1955"/>
      <c r="B19" s="2962" t="str">
        <f>结果表!E111</f>
        <v>4.抵押净值</v>
      </c>
      <c r="C19" s="1963" t="s">
        <v>1593</v>
      </c>
      <c r="D19" s="1038">
        <f ca="1">结果表!H111</f>
        <v>44765</v>
      </c>
      <c r="E19" s="1955"/>
    </row>
    <row r="20" spans="1:5" ht="15.75">
      <c r="A20" s="1955"/>
      <c r="B20" s="2963"/>
      <c r="C20" s="1958" t="s">
        <v>1606</v>
      </c>
      <c r="D20" s="1037" t="str">
        <f ca="1">NUMBERSTRING(INT(D19*10000),2)&amp;"元整"</f>
        <v>肆亿肆仟柒佰陆拾伍万元整</v>
      </c>
      <c r="E20" s="1955"/>
    </row>
    <row r="21" spans="1:5" ht="15.75" thickBot="1">
      <c r="A21" s="1955"/>
      <c r="B21" s="2964"/>
      <c r="C21" s="1965" t="s">
        <v>1604</v>
      </c>
      <c r="D21" s="1050">
        <f ca="1">结果表!H112</f>
        <v>9726</v>
      </c>
      <c r="E21" s="1955"/>
    </row>
    <row r="22" spans="1:5" ht="15" thickTop="1">
      <c r="A22" s="1955"/>
      <c r="B22" s="1966" t="s">
        <v>1607</v>
      </c>
      <c r="C22" s="1955"/>
      <c r="D22" s="1955"/>
      <c r="E22" s="1955"/>
    </row>
    <row r="23" spans="1:5">
      <c r="A23" s="1955"/>
      <c r="B23" s="1955"/>
      <c r="C23" s="1955"/>
      <c r="D23" s="1955"/>
      <c r="E23" s="1955"/>
    </row>
    <row r="24" spans="1:5" ht="18.75">
      <c r="A24" s="1967"/>
      <c r="B24" s="1968" t="s">
        <v>1598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8" t="s">
        <v>132</v>
      </c>
      <c r="B1" s="3288"/>
      <c r="C1" s="3288"/>
      <c r="D1" s="3288"/>
      <c r="E1" s="3288"/>
      <c r="F1" s="3288"/>
      <c r="H1" s="827" t="s">
        <v>133</v>
      </c>
      <c r="I1" s="828" t="s">
        <v>134</v>
      </c>
      <c r="J1" s="828" t="s">
        <v>135</v>
      </c>
      <c r="K1" s="828" t="s">
        <v>136</v>
      </c>
      <c r="L1" s="828" t="s">
        <v>137</v>
      </c>
      <c r="M1" s="828" t="s">
        <v>138</v>
      </c>
      <c r="N1" s="828" t="s">
        <v>139</v>
      </c>
      <c r="O1" s="828" t="s">
        <v>140</v>
      </c>
      <c r="P1" s="828" t="s">
        <v>141</v>
      </c>
      <c r="Q1" s="828" t="s">
        <v>142</v>
      </c>
      <c r="R1" s="828" t="s">
        <v>143</v>
      </c>
      <c r="S1" s="829" t="s">
        <v>144</v>
      </c>
    </row>
    <row r="2" spans="1:19" ht="14.25" thickBot="1">
      <c r="A2" s="3289" t="s">
        <v>145</v>
      </c>
      <c r="B2" s="3289"/>
      <c r="C2" s="3289"/>
      <c r="D2" s="3289"/>
      <c r="E2" s="3289"/>
      <c r="F2" s="3289"/>
      <c r="H2" s="830" t="s">
        <v>146</v>
      </c>
      <c r="I2" s="831" t="s">
        <v>147</v>
      </c>
      <c r="J2" s="831" t="s">
        <v>148</v>
      </c>
      <c r="K2" s="831" t="s">
        <v>149</v>
      </c>
      <c r="L2" s="831" t="s">
        <v>150</v>
      </c>
      <c r="M2" s="831" t="s">
        <v>151</v>
      </c>
      <c r="N2" s="831" t="s">
        <v>152</v>
      </c>
      <c r="O2" s="831" t="s">
        <v>153</v>
      </c>
      <c r="P2" s="831" t="s">
        <v>154</v>
      </c>
      <c r="Q2" s="831" t="s">
        <v>155</v>
      </c>
      <c r="R2" s="831" t="s">
        <v>156</v>
      </c>
      <c r="S2" s="831" t="s">
        <v>157</v>
      </c>
    </row>
    <row r="3" spans="1:19" s="826" customFormat="1" ht="19.5" customHeight="1">
      <c r="A3" s="3290" t="s">
        <v>158</v>
      </c>
      <c r="B3" s="832"/>
      <c r="C3" s="833" t="s">
        <v>159</v>
      </c>
      <c r="D3" s="833" t="s">
        <v>160</v>
      </c>
      <c r="E3" s="833" t="s">
        <v>727</v>
      </c>
      <c r="F3" s="833" t="s">
        <v>162</v>
      </c>
      <c r="G3" s="834"/>
      <c r="H3" s="830" t="s">
        <v>163</v>
      </c>
      <c r="I3" s="831" t="s">
        <v>164</v>
      </c>
      <c r="J3" s="831" t="s">
        <v>165</v>
      </c>
      <c r="K3" s="831" t="s">
        <v>166</v>
      </c>
      <c r="L3" s="831" t="s">
        <v>167</v>
      </c>
      <c r="M3" s="831" t="s">
        <v>168</v>
      </c>
      <c r="N3" s="831" t="s">
        <v>169</v>
      </c>
      <c r="O3" s="831" t="s">
        <v>170</v>
      </c>
      <c r="P3" s="831" t="s">
        <v>171</v>
      </c>
      <c r="Q3" s="831" t="s">
        <v>172</v>
      </c>
      <c r="R3" s="831" t="s">
        <v>173</v>
      </c>
      <c r="S3" s="831" t="s">
        <v>174</v>
      </c>
    </row>
    <row r="4" spans="1:19" s="826" customFormat="1" ht="19.5" customHeight="1" thickBot="1">
      <c r="A4" s="3291"/>
      <c r="B4" s="835" t="s">
        <v>175</v>
      </c>
      <c r="C4" s="835" t="s">
        <v>176</v>
      </c>
      <c r="D4" s="835" t="s">
        <v>176</v>
      </c>
      <c r="E4" s="835" t="s">
        <v>176</v>
      </c>
      <c r="F4" s="836" t="s">
        <v>176</v>
      </c>
      <c r="G4" s="834"/>
      <c r="H4" s="830" t="s">
        <v>177</v>
      </c>
      <c r="I4" s="831" t="s">
        <v>114</v>
      </c>
      <c r="J4" s="831" t="s">
        <v>178</v>
      </c>
      <c r="K4" s="831" t="s">
        <v>179</v>
      </c>
      <c r="L4" s="831" t="s">
        <v>180</v>
      </c>
      <c r="M4" s="831" t="s">
        <v>181</v>
      </c>
      <c r="N4" s="831" t="s">
        <v>182</v>
      </c>
      <c r="O4" s="831" t="s">
        <v>183</v>
      </c>
      <c r="P4" s="831" t="s">
        <v>184</v>
      </c>
      <c r="Q4" s="831" t="s">
        <v>185</v>
      </c>
      <c r="R4" s="831" t="s">
        <v>186</v>
      </c>
      <c r="S4" s="831" t="s">
        <v>187</v>
      </c>
    </row>
    <row r="5" spans="1:19" ht="14.25" customHeight="1" thickBot="1">
      <c r="A5" s="837" t="s">
        <v>792</v>
      </c>
      <c r="B5" s="838" t="s">
        <v>793</v>
      </c>
      <c r="C5" s="838">
        <v>29530</v>
      </c>
      <c r="D5" s="838">
        <v>28130</v>
      </c>
      <c r="E5" s="838">
        <v>27930</v>
      </c>
      <c r="F5" s="839">
        <v>11300</v>
      </c>
      <c r="G5" s="834"/>
      <c r="H5" s="830" t="s">
        <v>189</v>
      </c>
      <c r="I5" s="831" t="s">
        <v>190</v>
      </c>
      <c r="J5" s="831" t="s">
        <v>191</v>
      </c>
      <c r="K5" s="831" t="s">
        <v>192</v>
      </c>
      <c r="L5" s="831" t="s">
        <v>193</v>
      </c>
      <c r="M5" s="831" t="s">
        <v>194</v>
      </c>
      <c r="N5" s="831" t="s">
        <v>195</v>
      </c>
      <c r="O5" s="831" t="s">
        <v>196</v>
      </c>
      <c r="P5" s="831" t="s">
        <v>197</v>
      </c>
      <c r="Q5" s="831" t="s">
        <v>198</v>
      </c>
      <c r="R5" s="831" t="s">
        <v>199</v>
      </c>
      <c r="S5" s="831" t="s">
        <v>200</v>
      </c>
    </row>
    <row r="6" spans="1:19" ht="14.25" customHeight="1" thickBot="1">
      <c r="A6" s="837" t="s">
        <v>188</v>
      </c>
      <c r="B6" s="831" t="s">
        <v>163</v>
      </c>
      <c r="C6" s="831">
        <v>30290</v>
      </c>
      <c r="D6" s="831">
        <v>29210</v>
      </c>
      <c r="E6" s="831">
        <v>28860</v>
      </c>
      <c r="F6" s="840">
        <v>12600</v>
      </c>
      <c r="G6" s="834"/>
      <c r="H6" s="830" t="s">
        <v>201</v>
      </c>
      <c r="I6" s="831" t="s">
        <v>202</v>
      </c>
      <c r="J6" s="831" t="s">
        <v>203</v>
      </c>
      <c r="K6" s="831" t="s">
        <v>204</v>
      </c>
      <c r="L6" s="831" t="s">
        <v>205</v>
      </c>
      <c r="M6" s="831" t="s">
        <v>206</v>
      </c>
      <c r="N6" s="831" t="s">
        <v>207</v>
      </c>
      <c r="O6" s="831" t="s">
        <v>208</v>
      </c>
      <c r="P6" s="831" t="s">
        <v>209</v>
      </c>
      <c r="Q6" s="831" t="s">
        <v>210</v>
      </c>
      <c r="R6" s="831" t="s">
        <v>211</v>
      </c>
      <c r="S6" s="831" t="s">
        <v>212</v>
      </c>
    </row>
    <row r="7" spans="1:19" ht="14.25" customHeight="1" thickBot="1">
      <c r="A7" s="837" t="s">
        <v>188</v>
      </c>
      <c r="B7" s="841" t="s">
        <v>177</v>
      </c>
      <c r="C7" s="831">
        <v>29350</v>
      </c>
      <c r="D7" s="831">
        <v>28410</v>
      </c>
      <c r="E7" s="831">
        <v>27990</v>
      </c>
      <c r="F7" s="840">
        <v>12300</v>
      </c>
      <c r="G7" s="834"/>
      <c r="I7" s="831" t="s">
        <v>213</v>
      </c>
      <c r="J7" s="831" t="s">
        <v>214</v>
      </c>
      <c r="K7" s="831" t="s">
        <v>215</v>
      </c>
      <c r="L7" s="831" t="s">
        <v>216</v>
      </c>
      <c r="M7" s="831" t="s">
        <v>217</v>
      </c>
      <c r="N7" s="831" t="s">
        <v>218</v>
      </c>
      <c r="O7" s="831" t="s">
        <v>219</v>
      </c>
      <c r="P7" s="831" t="s">
        <v>220</v>
      </c>
      <c r="Q7" s="831" t="s">
        <v>221</v>
      </c>
      <c r="R7" s="831" t="s">
        <v>222</v>
      </c>
      <c r="S7" s="841" t="s">
        <v>223</v>
      </c>
    </row>
    <row r="8" spans="1:19" ht="14.25" customHeight="1" thickBot="1">
      <c r="A8" s="837" t="s">
        <v>188</v>
      </c>
      <c r="B8" s="831" t="s">
        <v>189</v>
      </c>
      <c r="C8" s="831">
        <v>30890</v>
      </c>
      <c r="D8" s="831">
        <v>29780</v>
      </c>
      <c r="E8" s="831">
        <v>29270</v>
      </c>
      <c r="F8" s="840">
        <v>11600</v>
      </c>
      <c r="G8" s="834"/>
      <c r="I8" s="831" t="s">
        <v>224</v>
      </c>
      <c r="J8" s="831" t="s">
        <v>225</v>
      </c>
      <c r="K8" s="831" t="s">
        <v>226</v>
      </c>
      <c r="L8" s="831" t="s">
        <v>227</v>
      </c>
      <c r="M8" s="831" t="s">
        <v>228</v>
      </c>
      <c r="N8" s="831" t="s">
        <v>229</v>
      </c>
      <c r="O8" s="831" t="s">
        <v>230</v>
      </c>
      <c r="P8" s="831" t="s">
        <v>231</v>
      </c>
      <c r="Q8" s="831" t="s">
        <v>232</v>
      </c>
      <c r="R8" s="831" t="s">
        <v>233</v>
      </c>
      <c r="S8" s="831" t="s">
        <v>234</v>
      </c>
    </row>
    <row r="9" spans="1:19" ht="14.25" customHeight="1" thickBot="1">
      <c r="A9" s="837" t="s">
        <v>188</v>
      </c>
      <c r="B9" s="842" t="s">
        <v>201</v>
      </c>
      <c r="C9" s="843">
        <v>28140</v>
      </c>
      <c r="D9" s="843"/>
      <c r="E9" s="843"/>
      <c r="F9" s="844"/>
      <c r="G9" s="834"/>
      <c r="I9" s="831" t="s">
        <v>235</v>
      </c>
      <c r="J9" s="831" t="s">
        <v>236</v>
      </c>
      <c r="K9" s="831" t="s">
        <v>237</v>
      </c>
      <c r="L9" s="831" t="s">
        <v>238</v>
      </c>
      <c r="M9" s="831" t="s">
        <v>239</v>
      </c>
      <c r="N9" s="831" t="s">
        <v>240</v>
      </c>
      <c r="O9" s="831" t="s">
        <v>241</v>
      </c>
      <c r="P9" s="831" t="s">
        <v>242</v>
      </c>
      <c r="Q9" s="831" t="s">
        <v>243</v>
      </c>
      <c r="R9" s="831" t="s">
        <v>244</v>
      </c>
    </row>
    <row r="10" spans="1:19" ht="14.25" customHeight="1" thickBot="1">
      <c r="A10" s="837" t="s">
        <v>245</v>
      </c>
      <c r="B10" s="838" t="s">
        <v>246</v>
      </c>
      <c r="C10" s="838">
        <v>27450</v>
      </c>
      <c r="D10" s="838">
        <v>26180</v>
      </c>
      <c r="E10" s="838">
        <v>25980</v>
      </c>
      <c r="F10" s="839">
        <v>8910</v>
      </c>
      <c r="G10" s="834"/>
      <c r="I10" s="831" t="s">
        <v>247</v>
      </c>
      <c r="J10" s="831" t="s">
        <v>248</v>
      </c>
      <c r="K10" s="831" t="s">
        <v>249</v>
      </c>
      <c r="L10" s="831" t="s">
        <v>250</v>
      </c>
      <c r="M10" s="831" t="s">
        <v>251</v>
      </c>
      <c r="N10" s="831" t="s">
        <v>252</v>
      </c>
      <c r="O10" s="831" t="s">
        <v>253</v>
      </c>
      <c r="P10" s="831" t="s">
        <v>254</v>
      </c>
      <c r="Q10" s="831" t="s">
        <v>255</v>
      </c>
      <c r="R10" s="831" t="s">
        <v>256</v>
      </c>
    </row>
    <row r="11" spans="1:19" ht="14.25" customHeight="1" thickBot="1">
      <c r="A11" s="837" t="s">
        <v>245</v>
      </c>
      <c r="B11" s="841" t="s">
        <v>164</v>
      </c>
      <c r="C11" s="831">
        <v>22950</v>
      </c>
      <c r="D11" s="831">
        <v>22630</v>
      </c>
      <c r="E11" s="831">
        <v>22030</v>
      </c>
      <c r="F11" s="845">
        <v>8330</v>
      </c>
      <c r="G11" s="834"/>
      <c r="I11" s="831" t="s">
        <v>257</v>
      </c>
      <c r="J11" s="831" t="s">
        <v>258</v>
      </c>
      <c r="K11" s="831" t="s">
        <v>259</v>
      </c>
      <c r="L11" s="831" t="s">
        <v>260</v>
      </c>
      <c r="M11" s="831" t="s">
        <v>261</v>
      </c>
      <c r="N11" s="831" t="s">
        <v>262</v>
      </c>
      <c r="O11" s="831" t="s">
        <v>263</v>
      </c>
      <c r="P11" s="831" t="s">
        <v>264</v>
      </c>
      <c r="Q11" s="831" t="s">
        <v>265</v>
      </c>
      <c r="R11" s="831" t="s">
        <v>266</v>
      </c>
    </row>
    <row r="12" spans="1:19" ht="14.25" customHeight="1" thickBot="1">
      <c r="A12" s="837" t="s">
        <v>245</v>
      </c>
      <c r="B12" s="841" t="s">
        <v>114</v>
      </c>
      <c r="C12" s="831">
        <v>24940</v>
      </c>
      <c r="D12" s="831">
        <v>23180</v>
      </c>
      <c r="E12" s="831">
        <v>22910</v>
      </c>
      <c r="F12" s="845">
        <v>7180</v>
      </c>
      <c r="G12" s="834"/>
      <c r="I12" s="831" t="s">
        <v>267</v>
      </c>
      <c r="J12" s="831" t="s">
        <v>268</v>
      </c>
      <c r="K12" s="831" t="s">
        <v>269</v>
      </c>
      <c r="L12" s="831" t="s">
        <v>270</v>
      </c>
      <c r="M12" s="831" t="s">
        <v>271</v>
      </c>
      <c r="N12" s="831" t="s">
        <v>272</v>
      </c>
      <c r="O12" s="831" t="s">
        <v>273</v>
      </c>
      <c r="P12" s="831" t="s">
        <v>274</v>
      </c>
      <c r="Q12" s="831" t="s">
        <v>275</v>
      </c>
      <c r="R12" s="831" t="s">
        <v>276</v>
      </c>
    </row>
    <row r="13" spans="1:19" ht="14.25" customHeight="1" thickBot="1">
      <c r="A13" s="837" t="s">
        <v>245</v>
      </c>
      <c r="B13" s="841" t="s">
        <v>190</v>
      </c>
      <c r="C13" s="831">
        <v>24140</v>
      </c>
      <c r="D13" s="831">
        <v>22270</v>
      </c>
      <c r="E13" s="831">
        <v>21950</v>
      </c>
      <c r="F13" s="845">
        <v>7600</v>
      </c>
      <c r="G13" s="834"/>
      <c r="I13" s="831" t="s">
        <v>277</v>
      </c>
      <c r="J13" s="831" t="s">
        <v>278</v>
      </c>
      <c r="K13" s="831" t="s">
        <v>279</v>
      </c>
      <c r="L13" s="831" t="s">
        <v>280</v>
      </c>
      <c r="M13" s="831" t="s">
        <v>281</v>
      </c>
      <c r="N13" s="831" t="s">
        <v>282</v>
      </c>
      <c r="O13" s="831" t="s">
        <v>283</v>
      </c>
      <c r="P13" s="831" t="s">
        <v>284</v>
      </c>
      <c r="Q13" s="831" t="s">
        <v>285</v>
      </c>
      <c r="R13" s="831" t="s">
        <v>286</v>
      </c>
    </row>
    <row r="14" spans="1:19" ht="14.25" customHeight="1" thickBot="1">
      <c r="A14" s="837" t="s">
        <v>245</v>
      </c>
      <c r="B14" s="841" t="s">
        <v>202</v>
      </c>
      <c r="C14" s="831">
        <v>25600</v>
      </c>
      <c r="D14" s="831">
        <v>22260</v>
      </c>
      <c r="E14" s="831">
        <v>22110</v>
      </c>
      <c r="F14" s="845">
        <v>7630</v>
      </c>
      <c r="G14" s="834"/>
      <c r="I14" s="831" t="s">
        <v>287</v>
      </c>
      <c r="J14" s="831" t="s">
        <v>288</v>
      </c>
      <c r="K14" s="831" t="s">
        <v>289</v>
      </c>
      <c r="L14" s="831" t="s">
        <v>290</v>
      </c>
      <c r="M14" s="831" t="s">
        <v>291</v>
      </c>
      <c r="N14" s="831" t="s">
        <v>292</v>
      </c>
      <c r="O14" s="831" t="s">
        <v>293</v>
      </c>
      <c r="P14" s="831" t="s">
        <v>294</v>
      </c>
      <c r="Q14" s="831" t="s">
        <v>295</v>
      </c>
      <c r="R14" s="831" t="s">
        <v>296</v>
      </c>
    </row>
    <row r="15" spans="1:19" ht="14.25" customHeight="1" thickBot="1">
      <c r="A15" s="837" t="s">
        <v>245</v>
      </c>
      <c r="B15" s="841" t="s">
        <v>213</v>
      </c>
      <c r="C15" s="831">
        <v>24760</v>
      </c>
      <c r="D15" s="831">
        <v>24440</v>
      </c>
      <c r="E15" s="831">
        <v>24130</v>
      </c>
      <c r="F15" s="845">
        <v>9480</v>
      </c>
      <c r="G15" s="834"/>
      <c r="I15" s="831" t="s">
        <v>298</v>
      </c>
      <c r="J15" s="831" t="s">
        <v>299</v>
      </c>
      <c r="K15" s="831" t="s">
        <v>300</v>
      </c>
      <c r="L15" s="831" t="s">
        <v>301</v>
      </c>
      <c r="M15" s="831" t="s">
        <v>302</v>
      </c>
      <c r="N15" s="831" t="s">
        <v>303</v>
      </c>
      <c r="O15" s="831" t="s">
        <v>304</v>
      </c>
      <c r="P15" s="831" t="s">
        <v>305</v>
      </c>
      <c r="Q15" s="831" t="s">
        <v>306</v>
      </c>
      <c r="R15" s="831" t="s">
        <v>307</v>
      </c>
    </row>
    <row r="16" spans="1:19" ht="14.25" customHeight="1" thickBot="1">
      <c r="A16" s="837" t="s">
        <v>245</v>
      </c>
      <c r="B16" s="841" t="s">
        <v>224</v>
      </c>
      <c r="C16" s="831">
        <v>22220</v>
      </c>
      <c r="D16" s="831">
        <v>22310</v>
      </c>
      <c r="E16" s="831">
        <v>22000</v>
      </c>
      <c r="F16" s="845">
        <v>8900</v>
      </c>
      <c r="G16" s="834"/>
      <c r="I16" s="831" t="s">
        <v>309</v>
      </c>
      <c r="J16" s="831" t="s">
        <v>310</v>
      </c>
      <c r="K16" s="831" t="s">
        <v>311</v>
      </c>
      <c r="L16" s="831" t="s">
        <v>312</v>
      </c>
      <c r="M16" s="831" t="s">
        <v>313</v>
      </c>
      <c r="N16" s="831" t="s">
        <v>314</v>
      </c>
      <c r="O16" s="831" t="s">
        <v>315</v>
      </c>
      <c r="P16" s="831" t="s">
        <v>316</v>
      </c>
      <c r="Q16" s="831" t="s">
        <v>317</v>
      </c>
      <c r="R16" s="831" t="s">
        <v>318</v>
      </c>
    </row>
    <row r="17" spans="1:18" ht="14.25" customHeight="1" thickBot="1">
      <c r="A17" s="837" t="s">
        <v>245</v>
      </c>
      <c r="B17" s="841" t="s">
        <v>235</v>
      </c>
      <c r="C17" s="831">
        <v>24700</v>
      </c>
      <c r="D17" s="831">
        <v>25150</v>
      </c>
      <c r="E17" s="831">
        <v>24700</v>
      </c>
      <c r="F17" s="846"/>
      <c r="G17" s="834"/>
      <c r="I17" s="831" t="s">
        <v>319</v>
      </c>
      <c r="J17" s="831" t="s">
        <v>320</v>
      </c>
      <c r="K17" s="831" t="s">
        <v>321</v>
      </c>
      <c r="L17" s="831" t="s">
        <v>322</v>
      </c>
      <c r="M17" s="831" t="s">
        <v>323</v>
      </c>
      <c r="N17" s="831" t="s">
        <v>324</v>
      </c>
      <c r="O17" s="831" t="s">
        <v>325</v>
      </c>
      <c r="P17" s="831" t="s">
        <v>326</v>
      </c>
      <c r="Q17" s="831" t="s">
        <v>327</v>
      </c>
      <c r="R17" s="831" t="s">
        <v>328</v>
      </c>
    </row>
    <row r="18" spans="1:18" ht="14.25" customHeight="1" thickBot="1">
      <c r="A18" s="837" t="s">
        <v>245</v>
      </c>
      <c r="B18" s="841" t="s">
        <v>247</v>
      </c>
      <c r="C18" s="831">
        <v>22350</v>
      </c>
      <c r="D18" s="831">
        <v>24340</v>
      </c>
      <c r="E18" s="831">
        <v>24100</v>
      </c>
      <c r="F18" s="846"/>
      <c r="G18" s="834"/>
      <c r="I18" s="831" t="s">
        <v>329</v>
      </c>
      <c r="J18" s="831" t="s">
        <v>330</v>
      </c>
      <c r="K18" s="831" t="s">
        <v>331</v>
      </c>
      <c r="L18" s="831" t="s">
        <v>332</v>
      </c>
      <c r="M18" s="831" t="s">
        <v>333</v>
      </c>
      <c r="N18" s="831" t="s">
        <v>334</v>
      </c>
      <c r="O18" s="831" t="s">
        <v>335</v>
      </c>
      <c r="P18" s="831" t="s">
        <v>336</v>
      </c>
      <c r="Q18" s="831" t="s">
        <v>337</v>
      </c>
      <c r="R18" s="831" t="s">
        <v>338</v>
      </c>
    </row>
    <row r="19" spans="1:18" ht="14.25" customHeight="1" thickBot="1">
      <c r="A19" s="837" t="s">
        <v>245</v>
      </c>
      <c r="B19" s="841" t="s">
        <v>257</v>
      </c>
      <c r="C19" s="831">
        <v>23430</v>
      </c>
      <c r="D19" s="831">
        <v>21580</v>
      </c>
      <c r="E19" s="831">
        <v>21350</v>
      </c>
      <c r="F19" s="846"/>
      <c r="G19" s="834"/>
      <c r="I19" s="831" t="s">
        <v>339</v>
      </c>
      <c r="J19" s="831" t="s">
        <v>340</v>
      </c>
      <c r="K19" s="831" t="s">
        <v>341</v>
      </c>
      <c r="L19" s="831" t="s">
        <v>342</v>
      </c>
      <c r="M19" s="831" t="s">
        <v>343</v>
      </c>
      <c r="N19" s="831" t="s">
        <v>344</v>
      </c>
      <c r="O19" s="831" t="s">
        <v>345</v>
      </c>
      <c r="P19" s="831" t="s">
        <v>346</v>
      </c>
      <c r="Q19" s="831" t="s">
        <v>347</v>
      </c>
      <c r="R19" s="831" t="s">
        <v>348</v>
      </c>
    </row>
    <row r="20" spans="1:18" ht="14.25" customHeight="1" thickBot="1">
      <c r="A20" s="837" t="s">
        <v>245</v>
      </c>
      <c r="B20" s="841" t="s">
        <v>267</v>
      </c>
      <c r="C20" s="831">
        <v>27660</v>
      </c>
      <c r="D20" s="831">
        <v>24240</v>
      </c>
      <c r="E20" s="831">
        <v>24020</v>
      </c>
      <c r="F20" s="846"/>
      <c r="I20" s="831" t="s">
        <v>349</v>
      </c>
      <c r="J20" s="831" t="s">
        <v>350</v>
      </c>
      <c r="K20" s="831" t="s">
        <v>351</v>
      </c>
      <c r="L20" s="831" t="s">
        <v>352</v>
      </c>
      <c r="M20" s="831" t="s">
        <v>353</v>
      </c>
      <c r="N20" s="831" t="s">
        <v>354</v>
      </c>
      <c r="O20" s="831" t="s">
        <v>355</v>
      </c>
      <c r="P20" s="831" t="s">
        <v>356</v>
      </c>
      <c r="Q20" s="831" t="s">
        <v>357</v>
      </c>
      <c r="R20" s="831" t="s">
        <v>358</v>
      </c>
    </row>
    <row r="21" spans="1:18" ht="14.25" customHeight="1" thickBot="1">
      <c r="A21" s="837" t="s">
        <v>245</v>
      </c>
      <c r="B21" s="841" t="s">
        <v>277</v>
      </c>
      <c r="C21" s="831">
        <v>24720</v>
      </c>
      <c r="D21" s="831">
        <v>21670</v>
      </c>
      <c r="E21" s="831">
        <v>21510</v>
      </c>
      <c r="F21" s="846"/>
      <c r="J21" s="831" t="s">
        <v>359</v>
      </c>
      <c r="K21" s="831" t="s">
        <v>360</v>
      </c>
      <c r="L21" s="831" t="s">
        <v>361</v>
      </c>
      <c r="M21" s="831" t="s">
        <v>362</v>
      </c>
      <c r="N21" s="831" t="s">
        <v>363</v>
      </c>
      <c r="O21" s="831" t="s">
        <v>364</v>
      </c>
      <c r="P21" s="831" t="s">
        <v>365</v>
      </c>
      <c r="Q21" s="831" t="s">
        <v>366</v>
      </c>
      <c r="R21" s="831" t="s">
        <v>367</v>
      </c>
    </row>
    <row r="22" spans="1:18" ht="14.25" customHeight="1" thickBot="1">
      <c r="A22" s="837" t="s">
        <v>245</v>
      </c>
      <c r="B22" s="841" t="s">
        <v>368</v>
      </c>
      <c r="C22" s="831">
        <v>26530</v>
      </c>
      <c r="D22" s="831">
        <v>22980</v>
      </c>
      <c r="E22" s="831">
        <v>22650</v>
      </c>
      <c r="F22" s="846"/>
      <c r="K22" s="831" t="s">
        <v>369</v>
      </c>
      <c r="L22" s="831" t="s">
        <v>370</v>
      </c>
      <c r="M22" s="831" t="s">
        <v>371</v>
      </c>
      <c r="N22" s="831" t="s">
        <v>372</v>
      </c>
      <c r="O22" s="831" t="s">
        <v>373</v>
      </c>
      <c r="P22" s="831" t="s">
        <v>374</v>
      </c>
      <c r="Q22" s="831" t="s">
        <v>375</v>
      </c>
      <c r="R22" s="841" t="s">
        <v>376</v>
      </c>
    </row>
    <row r="23" spans="1:18" ht="14.25" customHeight="1" thickBot="1">
      <c r="A23" s="837" t="s">
        <v>245</v>
      </c>
      <c r="B23" s="841" t="s">
        <v>298</v>
      </c>
      <c r="C23" s="831">
        <v>24700</v>
      </c>
      <c r="D23" s="831">
        <v>27290</v>
      </c>
      <c r="E23" s="831">
        <v>26710</v>
      </c>
      <c r="F23" s="846"/>
      <c r="K23" s="831" t="s">
        <v>377</v>
      </c>
      <c r="L23" s="831" t="s">
        <v>378</v>
      </c>
      <c r="M23" s="831" t="s">
        <v>379</v>
      </c>
      <c r="N23" s="831" t="s">
        <v>380</v>
      </c>
      <c r="O23" s="831" t="s">
        <v>381</v>
      </c>
      <c r="P23" s="831" t="s">
        <v>382</v>
      </c>
      <c r="Q23" s="831" t="s">
        <v>383</v>
      </c>
    </row>
    <row r="24" spans="1:18" ht="14.25" customHeight="1" thickBot="1">
      <c r="A24" s="837" t="s">
        <v>245</v>
      </c>
      <c r="B24" s="841" t="s">
        <v>309</v>
      </c>
      <c r="C24" s="831">
        <v>23070</v>
      </c>
      <c r="D24" s="831">
        <v>24130</v>
      </c>
      <c r="E24" s="831">
        <v>23860</v>
      </c>
      <c r="F24" s="846"/>
      <c r="K24" s="831" t="s">
        <v>384</v>
      </c>
      <c r="L24" s="831" t="s">
        <v>385</v>
      </c>
      <c r="M24" s="831" t="s">
        <v>386</v>
      </c>
      <c r="N24" s="831" t="s">
        <v>387</v>
      </c>
      <c r="O24" s="831" t="s">
        <v>388</v>
      </c>
      <c r="P24" s="831" t="s">
        <v>389</v>
      </c>
      <c r="Q24" s="831" t="s">
        <v>390</v>
      </c>
    </row>
    <row r="25" spans="1:18" ht="14.25" customHeight="1" thickBot="1">
      <c r="A25" s="837" t="s">
        <v>245</v>
      </c>
      <c r="B25" s="841" t="s">
        <v>319</v>
      </c>
      <c r="C25" s="831">
        <v>27550</v>
      </c>
      <c r="D25" s="831">
        <v>25850</v>
      </c>
      <c r="E25" s="831">
        <v>25340</v>
      </c>
      <c r="F25" s="846"/>
      <c r="K25" s="831" t="s">
        <v>391</v>
      </c>
      <c r="L25" s="831" t="s">
        <v>392</v>
      </c>
      <c r="M25" s="831" t="s">
        <v>393</v>
      </c>
      <c r="N25" s="831" t="s">
        <v>394</v>
      </c>
      <c r="O25" s="831" t="s">
        <v>395</v>
      </c>
      <c r="P25" s="831" t="s">
        <v>396</v>
      </c>
      <c r="Q25" s="831" t="s">
        <v>397</v>
      </c>
    </row>
    <row r="26" spans="1:18" ht="14.25" customHeight="1" thickBot="1">
      <c r="A26" s="837" t="s">
        <v>245</v>
      </c>
      <c r="B26" s="841" t="s">
        <v>329</v>
      </c>
      <c r="C26" s="831"/>
      <c r="D26" s="831">
        <v>23900</v>
      </c>
      <c r="E26" s="831">
        <v>23590</v>
      </c>
      <c r="F26" s="846"/>
      <c r="K26" s="831" t="s">
        <v>398</v>
      </c>
      <c r="L26" s="831" t="s">
        <v>399</v>
      </c>
      <c r="M26" s="831" t="s">
        <v>400</v>
      </c>
      <c r="N26" s="831" t="s">
        <v>401</v>
      </c>
      <c r="O26" s="831" t="s">
        <v>402</v>
      </c>
      <c r="P26" s="831" t="s">
        <v>403</v>
      </c>
      <c r="Q26" s="831" t="s">
        <v>404</v>
      </c>
    </row>
    <row r="27" spans="1:18" ht="14.25" customHeight="1" thickBot="1">
      <c r="A27" s="837" t="s">
        <v>245</v>
      </c>
      <c r="B27" s="841" t="s">
        <v>339</v>
      </c>
      <c r="C27" s="831"/>
      <c r="D27" s="831">
        <v>22850</v>
      </c>
      <c r="E27" s="831">
        <v>21920</v>
      </c>
      <c r="F27" s="846"/>
      <c r="K27" s="831" t="s">
        <v>405</v>
      </c>
      <c r="L27" s="831" t="s">
        <v>406</v>
      </c>
      <c r="M27" s="831" t="s">
        <v>407</v>
      </c>
      <c r="N27" s="831" t="s">
        <v>408</v>
      </c>
      <c r="O27" s="831" t="s">
        <v>409</v>
      </c>
      <c r="P27" s="831" t="s">
        <v>410</v>
      </c>
      <c r="Q27" s="831" t="s">
        <v>411</v>
      </c>
    </row>
    <row r="28" spans="1:18" ht="14.25" customHeight="1" thickBot="1">
      <c r="A28" s="847" t="s">
        <v>245</v>
      </c>
      <c r="B28" s="842" t="s">
        <v>349</v>
      </c>
      <c r="C28" s="843"/>
      <c r="D28" s="843">
        <v>26610</v>
      </c>
      <c r="E28" s="843">
        <v>26370</v>
      </c>
      <c r="F28" s="844"/>
      <c r="K28" s="831" t="s">
        <v>412</v>
      </c>
      <c r="L28" s="831" t="s">
        <v>413</v>
      </c>
      <c r="M28" s="831" t="s">
        <v>414</v>
      </c>
      <c r="N28" s="831" t="s">
        <v>415</v>
      </c>
      <c r="O28" s="831" t="s">
        <v>416</v>
      </c>
      <c r="P28" s="831" t="s">
        <v>417</v>
      </c>
    </row>
    <row r="29" spans="1:18" ht="14.25" customHeight="1" thickBot="1">
      <c r="A29" s="837" t="s">
        <v>418</v>
      </c>
      <c r="B29" s="838" t="s">
        <v>419</v>
      </c>
      <c r="C29" s="838">
        <v>22090</v>
      </c>
      <c r="D29" s="838">
        <v>21860</v>
      </c>
      <c r="E29" s="838">
        <v>19380</v>
      </c>
      <c r="F29" s="839">
        <v>6610</v>
      </c>
      <c r="L29" s="831" t="s">
        <v>420</v>
      </c>
      <c r="M29" s="831" t="s">
        <v>421</v>
      </c>
      <c r="N29" s="831" t="s">
        <v>422</v>
      </c>
      <c r="O29" s="831" t="s">
        <v>423</v>
      </c>
      <c r="P29" s="831" t="s">
        <v>424</v>
      </c>
    </row>
    <row r="30" spans="1:18" ht="14.25" customHeight="1" thickBot="1">
      <c r="A30" s="837" t="s">
        <v>418</v>
      </c>
      <c r="B30" s="841" t="s">
        <v>165</v>
      </c>
      <c r="C30" s="831">
        <v>21380</v>
      </c>
      <c r="D30" s="831">
        <v>19930</v>
      </c>
      <c r="E30" s="831">
        <v>19860</v>
      </c>
      <c r="F30" s="845">
        <v>6010</v>
      </c>
      <c r="L30" s="831" t="s">
        <v>425</v>
      </c>
      <c r="M30" s="831" t="s">
        <v>426</v>
      </c>
      <c r="N30" s="831" t="s">
        <v>427</v>
      </c>
      <c r="O30" s="831" t="s">
        <v>1025</v>
      </c>
      <c r="P30" s="831" t="s">
        <v>428</v>
      </c>
    </row>
    <row r="31" spans="1:18" ht="14.25" customHeight="1" thickBot="1">
      <c r="A31" s="837" t="s">
        <v>418</v>
      </c>
      <c r="B31" s="841" t="s">
        <v>178</v>
      </c>
      <c r="C31" s="831">
        <v>21670</v>
      </c>
      <c r="D31" s="831">
        <v>20660</v>
      </c>
      <c r="E31" s="831">
        <v>20290</v>
      </c>
      <c r="F31" s="845">
        <v>5840</v>
      </c>
      <c r="L31" s="831" t="s">
        <v>429</v>
      </c>
      <c r="M31" s="831" t="s">
        <v>430</v>
      </c>
      <c r="N31" s="831" t="s">
        <v>431</v>
      </c>
      <c r="O31" s="831" t="s">
        <v>432</v>
      </c>
      <c r="P31" s="831" t="s">
        <v>433</v>
      </c>
    </row>
    <row r="32" spans="1:18" ht="14.25" customHeight="1" thickBot="1">
      <c r="A32" s="837" t="s">
        <v>418</v>
      </c>
      <c r="B32" s="841" t="s">
        <v>191</v>
      </c>
      <c r="C32" s="831">
        <v>22280</v>
      </c>
      <c r="D32" s="831">
        <v>21800</v>
      </c>
      <c r="E32" s="831">
        <v>17650</v>
      </c>
      <c r="F32" s="845">
        <v>4690</v>
      </c>
      <c r="L32" s="831" t="s">
        <v>434</v>
      </c>
      <c r="M32" s="831" t="s">
        <v>435</v>
      </c>
      <c r="N32" s="831" t="s">
        <v>436</v>
      </c>
      <c r="O32" s="831" t="s">
        <v>437</v>
      </c>
      <c r="P32" s="831" t="s">
        <v>438</v>
      </c>
    </row>
    <row r="33" spans="1:16" ht="14.25" customHeight="1" thickBot="1">
      <c r="A33" s="837" t="s">
        <v>418</v>
      </c>
      <c r="B33" s="841" t="s">
        <v>203</v>
      </c>
      <c r="C33" s="831">
        <v>22130</v>
      </c>
      <c r="D33" s="831">
        <v>20460</v>
      </c>
      <c r="E33" s="831">
        <v>18500</v>
      </c>
      <c r="F33" s="845">
        <v>5340</v>
      </c>
      <c r="L33" s="831" t="s">
        <v>439</v>
      </c>
      <c r="M33" s="831" t="s">
        <v>440</v>
      </c>
      <c r="N33" s="831" t="s">
        <v>441</v>
      </c>
      <c r="O33" s="831" t="s">
        <v>442</v>
      </c>
      <c r="P33" s="831" t="s">
        <v>443</v>
      </c>
    </row>
    <row r="34" spans="1:16" ht="14.25" customHeight="1" thickBot="1">
      <c r="A34" s="837" t="s">
        <v>418</v>
      </c>
      <c r="B34" s="841" t="s">
        <v>214</v>
      </c>
      <c r="C34" s="831">
        <v>22070</v>
      </c>
      <c r="D34" s="831">
        <v>20110</v>
      </c>
      <c r="E34" s="831">
        <v>18830</v>
      </c>
      <c r="F34" s="845">
        <v>5190</v>
      </c>
      <c r="L34" s="831" t="s">
        <v>444</v>
      </c>
      <c r="M34" s="831" t="s">
        <v>445</v>
      </c>
      <c r="N34" s="831" t="s">
        <v>446</v>
      </c>
      <c r="O34" s="831" t="s">
        <v>447</v>
      </c>
      <c r="P34" s="831" t="s">
        <v>448</v>
      </c>
    </row>
    <row r="35" spans="1:16" ht="14.25" customHeight="1" thickBot="1">
      <c r="A35" s="837" t="s">
        <v>418</v>
      </c>
      <c r="B35" s="841" t="s">
        <v>225</v>
      </c>
      <c r="C35" s="831">
        <v>22240</v>
      </c>
      <c r="D35" s="831">
        <v>19550</v>
      </c>
      <c r="E35" s="831">
        <v>19220</v>
      </c>
      <c r="F35" s="845">
        <v>5800</v>
      </c>
      <c r="L35" s="831" t="s">
        <v>449</v>
      </c>
      <c r="M35" s="831" t="s">
        <v>450</v>
      </c>
      <c r="N35" s="831" t="s">
        <v>451</v>
      </c>
      <c r="O35" s="831" t="s">
        <v>452</v>
      </c>
      <c r="P35" s="831" t="s">
        <v>453</v>
      </c>
    </row>
    <row r="36" spans="1:16" ht="14.25" customHeight="1" thickBot="1">
      <c r="A36" s="837" t="s">
        <v>418</v>
      </c>
      <c r="B36" s="841" t="s">
        <v>236</v>
      </c>
      <c r="C36" s="831">
        <v>19750</v>
      </c>
      <c r="D36" s="831">
        <v>19790</v>
      </c>
      <c r="E36" s="831">
        <v>18510</v>
      </c>
      <c r="F36" s="845">
        <v>6520</v>
      </c>
      <c r="M36" s="831" t="s">
        <v>454</v>
      </c>
      <c r="N36" s="831" t="s">
        <v>455</v>
      </c>
      <c r="O36" s="831" t="s">
        <v>456</v>
      </c>
      <c r="P36" s="831" t="s">
        <v>457</v>
      </c>
    </row>
    <row r="37" spans="1:16" ht="14.25" customHeight="1" thickBot="1">
      <c r="A37" s="837" t="s">
        <v>418</v>
      </c>
      <c r="B37" s="841" t="s">
        <v>248</v>
      </c>
      <c r="C37" s="831">
        <v>22380</v>
      </c>
      <c r="D37" s="831">
        <v>18530</v>
      </c>
      <c r="E37" s="831">
        <v>17930</v>
      </c>
      <c r="F37" s="845">
        <v>6270</v>
      </c>
      <c r="M37" s="831" t="s">
        <v>458</v>
      </c>
      <c r="N37" s="831" t="s">
        <v>459</v>
      </c>
      <c r="O37" s="831" t="s">
        <v>460</v>
      </c>
      <c r="P37" s="831" t="s">
        <v>461</v>
      </c>
    </row>
    <row r="38" spans="1:16" ht="14.25" customHeight="1" thickBot="1">
      <c r="A38" s="837" t="s">
        <v>418</v>
      </c>
      <c r="B38" s="841" t="s">
        <v>258</v>
      </c>
      <c r="C38" s="831">
        <v>20200</v>
      </c>
      <c r="D38" s="831">
        <v>20070</v>
      </c>
      <c r="E38" s="831">
        <v>19950</v>
      </c>
      <c r="F38" s="845"/>
      <c r="M38" s="831" t="s">
        <v>462</v>
      </c>
      <c r="N38" s="831" t="s">
        <v>463</v>
      </c>
      <c r="O38" s="831" t="s">
        <v>464</v>
      </c>
      <c r="P38" s="831" t="s">
        <v>465</v>
      </c>
    </row>
    <row r="39" spans="1:16" ht="14.25" customHeight="1" thickBot="1">
      <c r="A39" s="837" t="s">
        <v>418</v>
      </c>
      <c r="B39" s="841" t="s">
        <v>268</v>
      </c>
      <c r="C39" s="831">
        <v>19300</v>
      </c>
      <c r="D39" s="831">
        <v>20360</v>
      </c>
      <c r="E39" s="831">
        <v>20230</v>
      </c>
      <c r="F39" s="845"/>
      <c r="M39" s="831" t="s">
        <v>466</v>
      </c>
      <c r="N39" s="831" t="s">
        <v>467</v>
      </c>
      <c r="O39" s="831" t="s">
        <v>468</v>
      </c>
      <c r="P39" s="831" t="s">
        <v>469</v>
      </c>
    </row>
    <row r="40" spans="1:16" ht="14.25" customHeight="1" thickBot="1">
      <c r="A40" s="837" t="s">
        <v>418</v>
      </c>
      <c r="B40" s="841" t="s">
        <v>278</v>
      </c>
      <c r="C40" s="831">
        <v>20210</v>
      </c>
      <c r="D40" s="831">
        <v>19060</v>
      </c>
      <c r="E40" s="831">
        <v>18890</v>
      </c>
      <c r="F40" s="845"/>
      <c r="M40" s="831" t="s">
        <v>470</v>
      </c>
      <c r="N40" s="831" t="s">
        <v>471</v>
      </c>
      <c r="O40" s="831" t="s">
        <v>472</v>
      </c>
      <c r="P40" s="831" t="s">
        <v>473</v>
      </c>
    </row>
    <row r="41" spans="1:16" ht="14.25" customHeight="1" thickBot="1">
      <c r="A41" s="837" t="s">
        <v>418</v>
      </c>
      <c r="B41" s="841" t="s">
        <v>288</v>
      </c>
      <c r="C41" s="831">
        <v>20560</v>
      </c>
      <c r="D41" s="831">
        <v>21040</v>
      </c>
      <c r="E41" s="831">
        <v>20740</v>
      </c>
      <c r="F41" s="845"/>
      <c r="M41" s="841" t="s">
        <v>474</v>
      </c>
      <c r="N41" s="841" t="s">
        <v>475</v>
      </c>
      <c r="P41" s="841" t="s">
        <v>476</v>
      </c>
    </row>
    <row r="42" spans="1:16" ht="14.25" customHeight="1" thickBot="1">
      <c r="A42" s="837" t="s">
        <v>418</v>
      </c>
      <c r="B42" s="841" t="s">
        <v>299</v>
      </c>
      <c r="C42" s="831">
        <v>19280</v>
      </c>
      <c r="D42" s="831">
        <v>22940</v>
      </c>
      <c r="E42" s="831">
        <v>22500</v>
      </c>
      <c r="F42" s="845"/>
      <c r="M42" s="831" t="s">
        <v>477</v>
      </c>
      <c r="N42" s="831" t="s">
        <v>478</v>
      </c>
      <c r="P42" s="831" t="s">
        <v>479</v>
      </c>
    </row>
    <row r="43" spans="1:16" ht="14.25" customHeight="1" thickBot="1">
      <c r="A43" s="837" t="s">
        <v>418</v>
      </c>
      <c r="B43" s="841" t="s">
        <v>310</v>
      </c>
      <c r="C43" s="831">
        <v>21520</v>
      </c>
      <c r="D43" s="831">
        <v>19230</v>
      </c>
      <c r="E43" s="831">
        <v>18540</v>
      </c>
      <c r="F43" s="845"/>
      <c r="M43" s="831" t="s">
        <v>480</v>
      </c>
      <c r="N43" s="831" t="s">
        <v>481</v>
      </c>
      <c r="P43" s="831" t="s">
        <v>482</v>
      </c>
    </row>
    <row r="44" spans="1:16" ht="14.25" customHeight="1" thickBot="1">
      <c r="A44" s="837" t="s">
        <v>418</v>
      </c>
      <c r="B44" s="841" t="s">
        <v>320</v>
      </c>
      <c r="C44" s="831">
        <v>23260</v>
      </c>
      <c r="D44" s="831">
        <v>21180</v>
      </c>
      <c r="E44" s="831">
        <v>20730</v>
      </c>
      <c r="F44" s="845"/>
      <c r="M44" s="831" t="s">
        <v>483</v>
      </c>
      <c r="N44" s="831" t="s">
        <v>484</v>
      </c>
      <c r="P44" s="831" t="s">
        <v>485</v>
      </c>
    </row>
    <row r="45" spans="1:16" ht="14.25" customHeight="1" thickBot="1">
      <c r="A45" s="837" t="s">
        <v>418</v>
      </c>
      <c r="B45" s="841" t="s">
        <v>330</v>
      </c>
      <c r="C45" s="831">
        <v>19610</v>
      </c>
      <c r="D45" s="831">
        <v>18090</v>
      </c>
      <c r="E45" s="831">
        <v>17970</v>
      </c>
      <c r="F45" s="845"/>
      <c r="M45" s="831" t="s">
        <v>486</v>
      </c>
      <c r="N45" s="831" t="s">
        <v>487</v>
      </c>
      <c r="P45" s="831" t="s">
        <v>488</v>
      </c>
    </row>
    <row r="46" spans="1:16" ht="14.25" customHeight="1" thickBot="1">
      <c r="A46" s="837" t="s">
        <v>418</v>
      </c>
      <c r="B46" s="841" t="s">
        <v>340</v>
      </c>
      <c r="C46" s="831">
        <v>21660</v>
      </c>
      <c r="D46" s="831">
        <v>19190</v>
      </c>
      <c r="E46" s="831">
        <v>19790</v>
      </c>
      <c r="F46" s="845"/>
      <c r="M46" s="831" t="s">
        <v>489</v>
      </c>
      <c r="N46" s="831" t="s">
        <v>490</v>
      </c>
      <c r="P46" s="831" t="s">
        <v>491</v>
      </c>
    </row>
    <row r="47" spans="1:16" ht="14.25" customHeight="1" thickBot="1">
      <c r="A47" s="837" t="s">
        <v>418</v>
      </c>
      <c r="B47" s="841" t="s">
        <v>350</v>
      </c>
      <c r="C47" s="831">
        <v>18220</v>
      </c>
      <c r="D47" s="831"/>
      <c r="E47" s="831">
        <v>17220</v>
      </c>
      <c r="F47" s="845"/>
      <c r="M47" s="831" t="s">
        <v>492</v>
      </c>
      <c r="N47" s="831" t="s">
        <v>493</v>
      </c>
    </row>
    <row r="48" spans="1:16" ht="14.25" customHeight="1" thickBot="1">
      <c r="A48" s="837" t="s">
        <v>418</v>
      </c>
      <c r="B48" s="842" t="s">
        <v>359</v>
      </c>
      <c r="C48" s="843">
        <v>19430</v>
      </c>
      <c r="D48" s="843"/>
      <c r="E48" s="843">
        <v>17830</v>
      </c>
      <c r="F48" s="848"/>
      <c r="M48" s="831" t="s">
        <v>494</v>
      </c>
      <c r="N48" s="831" t="s">
        <v>495</v>
      </c>
    </row>
    <row r="49" spans="1:14" ht="14.25" customHeight="1" thickBot="1">
      <c r="A49" s="837" t="s">
        <v>113</v>
      </c>
      <c r="B49" s="838" t="s">
        <v>496</v>
      </c>
      <c r="C49" s="838">
        <v>17090</v>
      </c>
      <c r="D49" s="838">
        <v>16950</v>
      </c>
      <c r="E49" s="838">
        <v>16310</v>
      </c>
      <c r="F49" s="839">
        <v>4540</v>
      </c>
      <c r="M49" s="831" t="s">
        <v>497</v>
      </c>
      <c r="N49" s="831" t="s">
        <v>498</v>
      </c>
    </row>
    <row r="50" spans="1:14" ht="14.25" customHeight="1" thickBot="1">
      <c r="A50" s="837" t="s">
        <v>113</v>
      </c>
      <c r="B50" s="831" t="s">
        <v>166</v>
      </c>
      <c r="C50" s="831">
        <v>19040</v>
      </c>
      <c r="D50" s="831">
        <v>16960</v>
      </c>
      <c r="E50" s="831">
        <v>14800</v>
      </c>
      <c r="F50" s="845">
        <v>3940</v>
      </c>
    </row>
    <row r="51" spans="1:14" ht="14.25" customHeight="1" thickBot="1">
      <c r="A51" s="837" t="s">
        <v>113</v>
      </c>
      <c r="B51" s="831" t="s">
        <v>179</v>
      </c>
      <c r="C51" s="831">
        <v>17040</v>
      </c>
      <c r="D51" s="831">
        <v>16930</v>
      </c>
      <c r="E51" s="831">
        <v>15030</v>
      </c>
      <c r="F51" s="845">
        <v>4120</v>
      </c>
    </row>
    <row r="52" spans="1:14" ht="14.25" customHeight="1" thickBot="1">
      <c r="A52" s="837" t="s">
        <v>113</v>
      </c>
      <c r="B52" s="831" t="s">
        <v>192</v>
      </c>
      <c r="C52" s="831">
        <v>17110</v>
      </c>
      <c r="D52" s="831">
        <v>17750</v>
      </c>
      <c r="E52" s="831">
        <v>17310</v>
      </c>
      <c r="F52" s="845">
        <v>3220</v>
      </c>
    </row>
    <row r="53" spans="1:14" ht="14.25" customHeight="1" thickBot="1">
      <c r="A53" s="837" t="s">
        <v>113</v>
      </c>
      <c r="B53" s="831" t="s">
        <v>204</v>
      </c>
      <c r="C53" s="831">
        <v>17810</v>
      </c>
      <c r="D53" s="831">
        <v>17260</v>
      </c>
      <c r="E53" s="831">
        <v>17090</v>
      </c>
      <c r="F53" s="845">
        <v>3520</v>
      </c>
    </row>
    <row r="54" spans="1:14" ht="14.25" customHeight="1" thickBot="1">
      <c r="A54" s="837" t="s">
        <v>113</v>
      </c>
      <c r="B54" s="831" t="s">
        <v>215</v>
      </c>
      <c r="C54" s="831">
        <v>17410</v>
      </c>
      <c r="D54" s="831">
        <v>16780</v>
      </c>
      <c r="E54" s="831">
        <v>16370</v>
      </c>
      <c r="F54" s="845">
        <v>3410</v>
      </c>
    </row>
    <row r="55" spans="1:14" ht="14.25" customHeight="1" thickBot="1">
      <c r="A55" s="837" t="s">
        <v>113</v>
      </c>
      <c r="B55" s="831" t="s">
        <v>226</v>
      </c>
      <c r="C55" s="831">
        <v>16930</v>
      </c>
      <c r="D55" s="831">
        <v>14720</v>
      </c>
      <c r="E55" s="831">
        <v>15000</v>
      </c>
      <c r="F55" s="845">
        <v>3710</v>
      </c>
    </row>
    <row r="56" spans="1:14" ht="14.25" customHeight="1" thickBot="1">
      <c r="A56" s="837" t="s">
        <v>113</v>
      </c>
      <c r="B56" s="831" t="s">
        <v>237</v>
      </c>
      <c r="C56" s="831">
        <v>14930</v>
      </c>
      <c r="D56" s="831">
        <v>15850</v>
      </c>
      <c r="E56" s="831">
        <v>14320</v>
      </c>
      <c r="F56" s="845">
        <v>3960</v>
      </c>
    </row>
    <row r="57" spans="1:14" ht="14.25" customHeight="1" thickBot="1">
      <c r="A57" s="837" t="s">
        <v>113</v>
      </c>
      <c r="B57" s="831" t="s">
        <v>249</v>
      </c>
      <c r="C57" s="831">
        <v>16160</v>
      </c>
      <c r="D57" s="831">
        <v>16190</v>
      </c>
      <c r="E57" s="831">
        <v>15650</v>
      </c>
      <c r="F57" s="845">
        <v>4200</v>
      </c>
    </row>
    <row r="58" spans="1:14" ht="14.25" customHeight="1" thickBot="1">
      <c r="A58" s="837" t="s">
        <v>113</v>
      </c>
      <c r="B58" s="831" t="s">
        <v>259</v>
      </c>
      <c r="C58" s="831">
        <v>16360</v>
      </c>
      <c r="D58" s="831">
        <v>14050</v>
      </c>
      <c r="E58" s="831">
        <v>16070</v>
      </c>
      <c r="F58" s="845">
        <v>3990</v>
      </c>
    </row>
    <row r="59" spans="1:14" ht="14.25" customHeight="1" thickBot="1">
      <c r="A59" s="837" t="s">
        <v>113</v>
      </c>
      <c r="B59" s="831" t="s">
        <v>269</v>
      </c>
      <c r="C59" s="831">
        <v>14160</v>
      </c>
      <c r="D59" s="831">
        <v>16620</v>
      </c>
      <c r="E59" s="831">
        <v>13940</v>
      </c>
      <c r="F59" s="845">
        <v>4260</v>
      </c>
    </row>
    <row r="60" spans="1:14" ht="14.25" customHeight="1" thickBot="1">
      <c r="A60" s="837" t="s">
        <v>113</v>
      </c>
      <c r="B60" s="831" t="s">
        <v>279</v>
      </c>
      <c r="C60" s="831">
        <v>16750</v>
      </c>
      <c r="D60" s="831">
        <v>13910</v>
      </c>
      <c r="E60" s="831">
        <v>16550</v>
      </c>
      <c r="F60" s="845">
        <v>4550</v>
      </c>
    </row>
    <row r="61" spans="1:14" ht="14.25" customHeight="1" thickBot="1">
      <c r="A61" s="837" t="s">
        <v>113</v>
      </c>
      <c r="B61" s="831" t="s">
        <v>289</v>
      </c>
      <c r="C61" s="831">
        <v>14000</v>
      </c>
      <c r="D61" s="831">
        <v>14550</v>
      </c>
      <c r="E61" s="831">
        <v>13860</v>
      </c>
      <c r="F61" s="849"/>
    </row>
    <row r="62" spans="1:14" ht="14.25" customHeight="1" thickBot="1">
      <c r="A62" s="837" t="s">
        <v>113</v>
      </c>
      <c r="B62" s="831" t="s">
        <v>300</v>
      </c>
      <c r="C62" s="831">
        <v>14660</v>
      </c>
      <c r="D62" s="831">
        <v>17450</v>
      </c>
      <c r="E62" s="831">
        <v>14470</v>
      </c>
      <c r="F62" s="849"/>
    </row>
    <row r="63" spans="1:14" ht="14.25" customHeight="1" thickBot="1">
      <c r="A63" s="837" t="s">
        <v>113</v>
      </c>
      <c r="B63" s="831" t="s">
        <v>311</v>
      </c>
      <c r="C63" s="831">
        <v>17610</v>
      </c>
      <c r="D63" s="831">
        <v>16500</v>
      </c>
      <c r="E63" s="831">
        <v>17330</v>
      </c>
      <c r="F63" s="849"/>
    </row>
    <row r="64" spans="1:14" ht="14.25" customHeight="1" thickBot="1">
      <c r="A64" s="837" t="s">
        <v>113</v>
      </c>
      <c r="B64" s="831" t="s">
        <v>321</v>
      </c>
      <c r="C64" s="831">
        <v>16590</v>
      </c>
      <c r="D64" s="831">
        <v>15130</v>
      </c>
      <c r="E64" s="831">
        <v>16420</v>
      </c>
      <c r="F64" s="849"/>
    </row>
    <row r="65" spans="1:6" s="825" customFormat="1" ht="14.25" customHeight="1" thickBot="1">
      <c r="A65" s="837" t="s">
        <v>113</v>
      </c>
      <c r="B65" s="831" t="s">
        <v>331</v>
      </c>
      <c r="C65" s="831">
        <v>15220</v>
      </c>
      <c r="D65" s="831">
        <v>14660</v>
      </c>
      <c r="E65" s="831">
        <v>15060</v>
      </c>
      <c r="F65" s="845"/>
    </row>
    <row r="66" spans="1:6" s="825" customFormat="1" ht="14.25" customHeight="1" thickBot="1">
      <c r="A66" s="837" t="s">
        <v>113</v>
      </c>
      <c r="B66" s="831" t="s">
        <v>341</v>
      </c>
      <c r="C66" s="831">
        <v>14720</v>
      </c>
      <c r="D66" s="831">
        <v>15970</v>
      </c>
      <c r="E66" s="831">
        <v>14610</v>
      </c>
      <c r="F66" s="845"/>
    </row>
    <row r="67" spans="1:6" s="825" customFormat="1" ht="14.25" customHeight="1" thickBot="1">
      <c r="A67" s="837" t="s">
        <v>113</v>
      </c>
      <c r="B67" s="831" t="s">
        <v>351</v>
      </c>
      <c r="C67" s="831">
        <v>16080</v>
      </c>
      <c r="D67" s="831">
        <v>14840</v>
      </c>
      <c r="E67" s="831">
        <v>15630</v>
      </c>
      <c r="F67" s="845"/>
    </row>
    <row r="68" spans="1:6" s="825" customFormat="1" ht="14.25" customHeight="1" thickBot="1">
      <c r="A68" s="837" t="s">
        <v>113</v>
      </c>
      <c r="B68" s="831" t="s">
        <v>360</v>
      </c>
      <c r="C68" s="831">
        <v>14940</v>
      </c>
      <c r="D68" s="831">
        <v>18000</v>
      </c>
      <c r="E68" s="831">
        <v>14040</v>
      </c>
      <c r="F68" s="845"/>
    </row>
    <row r="69" spans="1:6" s="825" customFormat="1" ht="14.25" customHeight="1" thickBot="1">
      <c r="A69" s="837" t="s">
        <v>113</v>
      </c>
      <c r="B69" s="831" t="s">
        <v>369</v>
      </c>
      <c r="C69" s="831">
        <v>18810</v>
      </c>
      <c r="D69" s="831">
        <v>15100</v>
      </c>
      <c r="E69" s="831">
        <v>14710</v>
      </c>
      <c r="F69" s="845"/>
    </row>
    <row r="70" spans="1:6" s="825" customFormat="1" ht="14.25" customHeight="1" thickBot="1">
      <c r="A70" s="837" t="s">
        <v>113</v>
      </c>
      <c r="B70" s="831" t="s">
        <v>377</v>
      </c>
      <c r="C70" s="831">
        <v>18270</v>
      </c>
      <c r="D70" s="831"/>
      <c r="E70" s="831"/>
      <c r="F70" s="845"/>
    </row>
    <row r="71" spans="1:6" s="825" customFormat="1" ht="14.25" customHeight="1" thickBot="1">
      <c r="A71" s="837" t="s">
        <v>113</v>
      </c>
      <c r="B71" s="831" t="s">
        <v>384</v>
      </c>
      <c r="C71" s="831">
        <v>15230</v>
      </c>
      <c r="D71" s="831"/>
      <c r="E71" s="831"/>
      <c r="F71" s="845"/>
    </row>
    <row r="72" spans="1:6" s="825" customFormat="1" ht="14.25" customHeight="1" thickBot="1">
      <c r="A72" s="837" t="s">
        <v>113</v>
      </c>
      <c r="B72" s="831" t="s">
        <v>391</v>
      </c>
      <c r="C72" s="831"/>
      <c r="D72" s="831"/>
      <c r="E72" s="831"/>
      <c r="F72" s="845">
        <v>4120</v>
      </c>
    </row>
    <row r="73" spans="1:6" s="825" customFormat="1" ht="14.25" customHeight="1" thickBot="1">
      <c r="A73" s="837" t="s">
        <v>113</v>
      </c>
      <c r="B73" s="831" t="s">
        <v>398</v>
      </c>
      <c r="C73" s="831"/>
      <c r="D73" s="831"/>
      <c r="E73" s="831"/>
      <c r="F73" s="845">
        <v>3930</v>
      </c>
    </row>
    <row r="74" spans="1:6" s="825" customFormat="1" ht="14.25" customHeight="1" thickBot="1">
      <c r="A74" s="837" t="s">
        <v>113</v>
      </c>
      <c r="B74" s="831" t="s">
        <v>405</v>
      </c>
      <c r="C74" s="831"/>
      <c r="D74" s="831"/>
      <c r="E74" s="831"/>
      <c r="F74" s="845">
        <v>4060</v>
      </c>
    </row>
    <row r="75" spans="1:6" s="825" customFormat="1" ht="14.25" customHeight="1" thickBot="1">
      <c r="A75" s="837" t="s">
        <v>113</v>
      </c>
      <c r="B75" s="843" t="s">
        <v>412</v>
      </c>
      <c r="C75" s="843"/>
      <c r="D75" s="843"/>
      <c r="E75" s="843"/>
      <c r="F75" s="848">
        <v>3750</v>
      </c>
    </row>
    <row r="76" spans="1:6" s="825" customFormat="1" ht="14.25" customHeight="1" thickBot="1">
      <c r="A76" s="837" t="s">
        <v>499</v>
      </c>
      <c r="B76" s="838" t="s">
        <v>500</v>
      </c>
      <c r="C76" s="838">
        <v>14690</v>
      </c>
      <c r="D76" s="838">
        <v>14640</v>
      </c>
      <c r="E76" s="838">
        <v>14590</v>
      </c>
      <c r="F76" s="839">
        <v>3060</v>
      </c>
    </row>
    <row r="77" spans="1:6" s="825" customFormat="1" ht="14.25" customHeight="1" thickBot="1">
      <c r="A77" s="837" t="s">
        <v>499</v>
      </c>
      <c r="B77" s="831" t="s">
        <v>167</v>
      </c>
      <c r="C77" s="831">
        <v>12550</v>
      </c>
      <c r="D77" s="831">
        <v>12480</v>
      </c>
      <c r="E77" s="831">
        <v>12450</v>
      </c>
      <c r="F77" s="845">
        <v>2590</v>
      </c>
    </row>
    <row r="78" spans="1:6" s="825" customFormat="1" ht="14.25" customHeight="1" thickBot="1">
      <c r="A78" s="837" t="s">
        <v>499</v>
      </c>
      <c r="B78" s="831" t="s">
        <v>180</v>
      </c>
      <c r="C78" s="831">
        <v>14360</v>
      </c>
      <c r="D78" s="831">
        <v>14320</v>
      </c>
      <c r="E78" s="831">
        <v>12510</v>
      </c>
      <c r="F78" s="845">
        <v>2700</v>
      </c>
    </row>
    <row r="79" spans="1:6" s="825" customFormat="1" ht="14.25" customHeight="1" thickBot="1">
      <c r="A79" s="837" t="s">
        <v>499</v>
      </c>
      <c r="B79" s="831" t="s">
        <v>193</v>
      </c>
      <c r="C79" s="831">
        <v>12590</v>
      </c>
      <c r="D79" s="831">
        <v>12540</v>
      </c>
      <c r="E79" s="831">
        <v>12350</v>
      </c>
      <c r="F79" s="845">
        <v>2740</v>
      </c>
    </row>
    <row r="80" spans="1:6" s="825" customFormat="1" ht="14.25" customHeight="1" thickBot="1">
      <c r="A80" s="837" t="s">
        <v>499</v>
      </c>
      <c r="B80" s="831" t="s">
        <v>205</v>
      </c>
      <c r="C80" s="831">
        <v>12450</v>
      </c>
      <c r="D80" s="831">
        <v>12370</v>
      </c>
      <c r="E80" s="831">
        <v>10790</v>
      </c>
      <c r="F80" s="845">
        <v>2290</v>
      </c>
    </row>
    <row r="81" spans="1:6" s="825" customFormat="1" ht="14.25" customHeight="1" thickBot="1">
      <c r="A81" s="837" t="s">
        <v>499</v>
      </c>
      <c r="B81" s="831" t="s">
        <v>216</v>
      </c>
      <c r="C81" s="831">
        <v>14210</v>
      </c>
      <c r="D81" s="831">
        <v>14150</v>
      </c>
      <c r="E81" s="831">
        <v>12730</v>
      </c>
      <c r="F81" s="845">
        <v>2240</v>
      </c>
    </row>
    <row r="82" spans="1:6" s="825" customFormat="1" ht="14.25" customHeight="1" thickBot="1">
      <c r="A82" s="837" t="s">
        <v>499</v>
      </c>
      <c r="B82" s="831" t="s">
        <v>227</v>
      </c>
      <c r="C82" s="831">
        <v>10860</v>
      </c>
      <c r="D82" s="831">
        <v>10820</v>
      </c>
      <c r="E82" s="831">
        <v>14720</v>
      </c>
      <c r="F82" s="845">
        <v>2490</v>
      </c>
    </row>
    <row r="83" spans="1:6" s="825" customFormat="1" ht="14.25" customHeight="1" thickBot="1">
      <c r="A83" s="837" t="s">
        <v>499</v>
      </c>
      <c r="B83" s="831" t="s">
        <v>238</v>
      </c>
      <c r="C83" s="831">
        <v>12810</v>
      </c>
      <c r="D83" s="831">
        <v>12760</v>
      </c>
      <c r="E83" s="831">
        <v>14830</v>
      </c>
      <c r="F83" s="845">
        <v>2450</v>
      </c>
    </row>
    <row r="84" spans="1:6" s="825" customFormat="1" ht="14.25" customHeight="1" thickBot="1">
      <c r="A84" s="837" t="s">
        <v>499</v>
      </c>
      <c r="B84" s="831" t="s">
        <v>250</v>
      </c>
      <c r="C84" s="831">
        <v>14950</v>
      </c>
      <c r="D84" s="831">
        <v>14810</v>
      </c>
      <c r="E84" s="831">
        <v>12590</v>
      </c>
      <c r="F84" s="845">
        <v>2540</v>
      </c>
    </row>
    <row r="85" spans="1:6" s="825" customFormat="1" ht="14.25" customHeight="1" thickBot="1">
      <c r="A85" s="837" t="s">
        <v>499</v>
      </c>
      <c r="B85" s="831" t="s">
        <v>260</v>
      </c>
      <c r="C85" s="831">
        <v>14960</v>
      </c>
      <c r="D85" s="831">
        <v>14890</v>
      </c>
      <c r="E85" s="831">
        <v>12840</v>
      </c>
      <c r="F85" s="845">
        <v>2840</v>
      </c>
    </row>
    <row r="86" spans="1:6" s="825" customFormat="1" ht="14.25" customHeight="1" thickBot="1">
      <c r="A86" s="837" t="s">
        <v>499</v>
      </c>
      <c r="B86" s="831" t="s">
        <v>270</v>
      </c>
      <c r="C86" s="831">
        <v>12730</v>
      </c>
      <c r="D86" s="831">
        <v>12660</v>
      </c>
      <c r="E86" s="831">
        <v>13310</v>
      </c>
      <c r="F86" s="845">
        <v>3140</v>
      </c>
    </row>
    <row r="87" spans="1:6" s="825" customFormat="1" ht="14.25" customHeight="1" thickBot="1">
      <c r="A87" s="837" t="s">
        <v>499</v>
      </c>
      <c r="B87" s="831" t="s">
        <v>280</v>
      </c>
      <c r="C87" s="831">
        <v>12940</v>
      </c>
      <c r="D87" s="831">
        <v>12890</v>
      </c>
      <c r="E87" s="831">
        <v>11580</v>
      </c>
      <c r="F87" s="849"/>
    </row>
    <row r="88" spans="1:6" s="825" customFormat="1" ht="14.25" customHeight="1" thickBot="1">
      <c r="A88" s="837" t="s">
        <v>499</v>
      </c>
      <c r="B88" s="831" t="s">
        <v>290</v>
      </c>
      <c r="C88" s="831">
        <v>13430</v>
      </c>
      <c r="D88" s="831">
        <v>13360</v>
      </c>
      <c r="E88" s="831">
        <v>12790</v>
      </c>
      <c r="F88" s="849"/>
    </row>
    <row r="89" spans="1:6" s="825" customFormat="1" ht="14.25" customHeight="1" thickBot="1">
      <c r="A89" s="837" t="s">
        <v>499</v>
      </c>
      <c r="B89" s="831" t="s">
        <v>301</v>
      </c>
      <c r="C89" s="831">
        <v>11680</v>
      </c>
      <c r="D89" s="831">
        <v>11630</v>
      </c>
      <c r="E89" s="831">
        <v>11320</v>
      </c>
      <c r="F89" s="849"/>
    </row>
    <row r="90" spans="1:6" s="825" customFormat="1" ht="14.25" customHeight="1" thickBot="1">
      <c r="A90" s="837" t="s">
        <v>499</v>
      </c>
      <c r="B90" s="831" t="s">
        <v>312</v>
      </c>
      <c r="C90" s="831">
        <v>12890</v>
      </c>
      <c r="D90" s="831">
        <v>12820</v>
      </c>
      <c r="E90" s="831">
        <v>12710</v>
      </c>
      <c r="F90" s="849"/>
    </row>
    <row r="91" spans="1:6" s="825" customFormat="1" ht="14.25" customHeight="1" thickBot="1">
      <c r="A91" s="837" t="s">
        <v>499</v>
      </c>
      <c r="B91" s="831" t="s">
        <v>322</v>
      </c>
      <c r="C91" s="831">
        <v>11410</v>
      </c>
      <c r="D91" s="831">
        <v>11360</v>
      </c>
      <c r="E91" s="831">
        <v>12670</v>
      </c>
      <c r="F91" s="849"/>
    </row>
    <row r="92" spans="1:6" s="825" customFormat="1" ht="14.25" customHeight="1" thickBot="1">
      <c r="A92" s="837" t="s">
        <v>499</v>
      </c>
      <c r="B92" s="831" t="s">
        <v>332</v>
      </c>
      <c r="C92" s="831">
        <v>12770</v>
      </c>
      <c r="D92" s="831">
        <v>12740</v>
      </c>
      <c r="E92" s="831">
        <v>11970</v>
      </c>
      <c r="F92" s="849"/>
    </row>
    <row r="93" spans="1:6" s="825" customFormat="1" ht="14.25" customHeight="1" thickBot="1">
      <c r="A93" s="837" t="s">
        <v>499</v>
      </c>
      <c r="B93" s="831" t="s">
        <v>342</v>
      </c>
      <c r="C93" s="831">
        <v>12740</v>
      </c>
      <c r="D93" s="831">
        <v>12700</v>
      </c>
      <c r="E93" s="831">
        <v>12540</v>
      </c>
      <c r="F93" s="849"/>
    </row>
    <row r="94" spans="1:6" s="825" customFormat="1" ht="14.25" customHeight="1" thickBot="1">
      <c r="A94" s="837" t="s">
        <v>499</v>
      </c>
      <c r="B94" s="831" t="s">
        <v>352</v>
      </c>
      <c r="C94" s="831">
        <v>12020</v>
      </c>
      <c r="D94" s="831">
        <v>11990</v>
      </c>
      <c r="E94" s="831">
        <v>13110</v>
      </c>
      <c r="F94" s="849"/>
    </row>
    <row r="95" spans="1:6" s="825" customFormat="1" ht="14.25" customHeight="1" thickBot="1">
      <c r="A95" s="837" t="s">
        <v>499</v>
      </c>
      <c r="B95" s="831" t="s">
        <v>361</v>
      </c>
      <c r="C95" s="831">
        <v>12620</v>
      </c>
      <c r="D95" s="831">
        <v>12580</v>
      </c>
      <c r="E95" s="831">
        <v>13160</v>
      </c>
      <c r="F95" s="845"/>
    </row>
    <row r="96" spans="1:6" s="825" customFormat="1" ht="14.25" customHeight="1" thickBot="1">
      <c r="A96" s="837" t="s">
        <v>499</v>
      </c>
      <c r="B96" s="831" t="s">
        <v>370</v>
      </c>
      <c r="C96" s="831">
        <v>13200</v>
      </c>
      <c r="D96" s="831">
        <v>13150</v>
      </c>
      <c r="E96" s="831">
        <v>12900</v>
      </c>
      <c r="F96" s="845"/>
    </row>
    <row r="97" spans="1:6" s="825" customFormat="1" ht="14.25" customHeight="1" thickBot="1">
      <c r="A97" s="837" t="s">
        <v>499</v>
      </c>
      <c r="B97" s="831" t="s">
        <v>378</v>
      </c>
      <c r="C97" s="831">
        <v>13270</v>
      </c>
      <c r="D97" s="831">
        <v>13210</v>
      </c>
      <c r="E97" s="831">
        <v>11080</v>
      </c>
      <c r="F97" s="845"/>
    </row>
    <row r="98" spans="1:6" s="825" customFormat="1" ht="14.25" customHeight="1" thickBot="1">
      <c r="A98" s="837" t="s">
        <v>499</v>
      </c>
      <c r="B98" s="831" t="s">
        <v>385</v>
      </c>
      <c r="C98" s="831">
        <v>13010</v>
      </c>
      <c r="D98" s="831">
        <v>12930</v>
      </c>
      <c r="E98" s="831">
        <v>12840</v>
      </c>
      <c r="F98" s="845"/>
    </row>
    <row r="99" spans="1:6" s="825" customFormat="1" ht="14.25" customHeight="1" thickBot="1">
      <c r="A99" s="837" t="s">
        <v>499</v>
      </c>
      <c r="B99" s="831" t="s">
        <v>392</v>
      </c>
      <c r="C99" s="831">
        <v>11190</v>
      </c>
      <c r="D99" s="831">
        <v>11130</v>
      </c>
      <c r="E99" s="831"/>
      <c r="F99" s="845"/>
    </row>
    <row r="100" spans="1:6" s="825" customFormat="1" ht="14.25" customHeight="1" thickBot="1">
      <c r="A100" s="837" t="s">
        <v>499</v>
      </c>
      <c r="B100" s="831" t="s">
        <v>399</v>
      </c>
      <c r="C100" s="831">
        <v>14280</v>
      </c>
      <c r="D100" s="831">
        <v>14180</v>
      </c>
      <c r="E100" s="831"/>
      <c r="F100" s="845"/>
    </row>
    <row r="101" spans="1:6" s="825" customFormat="1" ht="14.25" customHeight="1" thickBot="1">
      <c r="A101" s="837" t="s">
        <v>499</v>
      </c>
      <c r="B101" s="831" t="s">
        <v>406</v>
      </c>
      <c r="C101" s="831">
        <v>12960</v>
      </c>
      <c r="D101" s="831">
        <v>12890</v>
      </c>
      <c r="E101" s="831"/>
      <c r="F101" s="845"/>
    </row>
    <row r="102" spans="1:6" s="825" customFormat="1" ht="14.25" customHeight="1" thickBot="1">
      <c r="A102" s="837" t="s">
        <v>499</v>
      </c>
      <c r="B102" s="831" t="s">
        <v>413</v>
      </c>
      <c r="C102" s="831"/>
      <c r="D102" s="831"/>
      <c r="E102" s="831"/>
      <c r="F102" s="845">
        <v>3100</v>
      </c>
    </row>
    <row r="103" spans="1:6" s="825" customFormat="1" ht="14.25" customHeight="1" thickBot="1">
      <c r="A103" s="837" t="s">
        <v>499</v>
      </c>
      <c r="B103" s="831" t="s">
        <v>420</v>
      </c>
      <c r="C103" s="831"/>
      <c r="D103" s="831"/>
      <c r="E103" s="831"/>
      <c r="F103" s="845">
        <v>2320</v>
      </c>
    </row>
    <row r="104" spans="1:6" s="825" customFormat="1" ht="14.25" customHeight="1" thickBot="1">
      <c r="A104" s="837" t="s">
        <v>499</v>
      </c>
      <c r="B104" s="831" t="s">
        <v>425</v>
      </c>
      <c r="C104" s="831"/>
      <c r="D104" s="831"/>
      <c r="E104" s="831"/>
      <c r="F104" s="845">
        <v>2320</v>
      </c>
    </row>
    <row r="105" spans="1:6" s="825" customFormat="1" ht="14.25" customHeight="1" thickBot="1">
      <c r="A105" s="837" t="s">
        <v>499</v>
      </c>
      <c r="B105" s="831" t="s">
        <v>429</v>
      </c>
      <c r="C105" s="831"/>
      <c r="D105" s="831"/>
      <c r="E105" s="831"/>
      <c r="F105" s="845">
        <v>2320</v>
      </c>
    </row>
    <row r="106" spans="1:6" s="825" customFormat="1" ht="14.25" customHeight="1" thickBot="1">
      <c r="A106" s="837" t="s">
        <v>499</v>
      </c>
      <c r="B106" s="831" t="s">
        <v>434</v>
      </c>
      <c r="C106" s="831"/>
      <c r="D106" s="831"/>
      <c r="E106" s="831"/>
      <c r="F106" s="845">
        <v>2320</v>
      </c>
    </row>
    <row r="107" spans="1:6" s="825" customFormat="1" ht="14.25" customHeight="1" thickBot="1">
      <c r="A107" s="837" t="s">
        <v>499</v>
      </c>
      <c r="B107" s="831" t="s">
        <v>439</v>
      </c>
      <c r="C107" s="831"/>
      <c r="D107" s="831"/>
      <c r="E107" s="831"/>
      <c r="F107" s="845">
        <v>2280</v>
      </c>
    </row>
    <row r="108" spans="1:6" s="825" customFormat="1" ht="14.25" customHeight="1" thickBot="1">
      <c r="A108" s="837" t="s">
        <v>499</v>
      </c>
      <c r="B108" s="831" t="s">
        <v>444</v>
      </c>
      <c r="C108" s="831"/>
      <c r="D108" s="831"/>
      <c r="E108" s="831"/>
      <c r="F108" s="845">
        <v>2280</v>
      </c>
    </row>
    <row r="109" spans="1:6" s="825" customFormat="1" ht="14.25" customHeight="1" thickBot="1">
      <c r="A109" s="837" t="s">
        <v>499</v>
      </c>
      <c r="B109" s="843" t="s">
        <v>449</v>
      </c>
      <c r="C109" s="843"/>
      <c r="D109" s="843"/>
      <c r="E109" s="843"/>
      <c r="F109" s="848">
        <v>2280</v>
      </c>
    </row>
    <row r="110" spans="1:6" s="825" customFormat="1" ht="14.25" customHeight="1" thickBot="1">
      <c r="A110" s="837" t="s">
        <v>32</v>
      </c>
      <c r="B110" s="838" t="s">
        <v>501</v>
      </c>
      <c r="C110" s="838">
        <v>10520</v>
      </c>
      <c r="D110" s="838">
        <v>10490</v>
      </c>
      <c r="E110" s="838">
        <v>10760</v>
      </c>
      <c r="F110" s="839">
        <v>2160</v>
      </c>
    </row>
    <row r="111" spans="1:6" s="825" customFormat="1" ht="14.25" customHeight="1" thickBot="1">
      <c r="A111" s="837" t="s">
        <v>32</v>
      </c>
      <c r="B111" s="831" t="s">
        <v>168</v>
      </c>
      <c r="C111" s="831">
        <v>10090</v>
      </c>
      <c r="D111" s="831">
        <v>10060</v>
      </c>
      <c r="E111" s="831">
        <v>10300</v>
      </c>
      <c r="F111" s="845">
        <v>2010</v>
      </c>
    </row>
    <row r="112" spans="1:6" s="825" customFormat="1" ht="14.25" customHeight="1" thickBot="1">
      <c r="A112" s="837" t="s">
        <v>32</v>
      </c>
      <c r="B112" s="831" t="s">
        <v>181</v>
      </c>
      <c r="C112" s="831">
        <v>9910</v>
      </c>
      <c r="D112" s="831">
        <v>9850</v>
      </c>
      <c r="E112" s="831">
        <v>9960</v>
      </c>
      <c r="F112" s="845">
        <v>2090</v>
      </c>
    </row>
    <row r="113" spans="1:6" s="825" customFormat="1" ht="14.25" customHeight="1" thickBot="1">
      <c r="A113" s="837" t="s">
        <v>32</v>
      </c>
      <c r="B113" s="831" t="s">
        <v>194</v>
      </c>
      <c r="C113" s="831">
        <v>11430</v>
      </c>
      <c r="D113" s="831">
        <v>11400</v>
      </c>
      <c r="E113" s="831">
        <v>11710</v>
      </c>
      <c r="F113" s="845">
        <v>2050</v>
      </c>
    </row>
    <row r="114" spans="1:6" s="825" customFormat="1" ht="14.25" customHeight="1" thickBot="1">
      <c r="A114" s="837" t="s">
        <v>32</v>
      </c>
      <c r="B114" s="831" t="s">
        <v>206</v>
      </c>
      <c r="C114" s="831">
        <v>11390</v>
      </c>
      <c r="D114" s="831">
        <v>11350</v>
      </c>
      <c r="E114" s="831">
        <v>11640</v>
      </c>
      <c r="F114" s="845">
        <v>1620</v>
      </c>
    </row>
    <row r="115" spans="1:6" s="825" customFormat="1" ht="14.25" customHeight="1" thickBot="1">
      <c r="A115" s="837" t="s">
        <v>32</v>
      </c>
      <c r="B115" s="831" t="s">
        <v>217</v>
      </c>
      <c r="C115" s="831">
        <v>9930</v>
      </c>
      <c r="D115" s="831">
        <v>9900</v>
      </c>
      <c r="E115" s="831">
        <v>10160</v>
      </c>
      <c r="F115" s="845">
        <v>1580</v>
      </c>
    </row>
    <row r="116" spans="1:6" s="825" customFormat="1" ht="14.25" customHeight="1" thickBot="1">
      <c r="A116" s="837" t="s">
        <v>32</v>
      </c>
      <c r="B116" s="831" t="s">
        <v>228</v>
      </c>
      <c r="C116" s="831">
        <v>9150</v>
      </c>
      <c r="D116" s="831">
        <v>9120</v>
      </c>
      <c r="E116" s="831">
        <v>9380</v>
      </c>
      <c r="F116" s="845">
        <v>1750</v>
      </c>
    </row>
    <row r="117" spans="1:6" s="825" customFormat="1" ht="14.25" customHeight="1" thickBot="1">
      <c r="A117" s="837" t="s">
        <v>32</v>
      </c>
      <c r="B117" s="831" t="s">
        <v>239</v>
      </c>
      <c r="C117" s="831">
        <v>10680</v>
      </c>
      <c r="D117" s="831">
        <v>10650</v>
      </c>
      <c r="E117" s="831">
        <v>10970</v>
      </c>
      <c r="F117" s="845">
        <v>1730</v>
      </c>
    </row>
    <row r="118" spans="1:6" s="825" customFormat="1" ht="14.25" customHeight="1" thickBot="1">
      <c r="A118" s="837" t="s">
        <v>32</v>
      </c>
      <c r="B118" s="831" t="s">
        <v>251</v>
      </c>
      <c r="C118" s="831">
        <v>10080</v>
      </c>
      <c r="D118" s="831">
        <v>10050</v>
      </c>
      <c r="E118" s="831">
        <v>10350</v>
      </c>
      <c r="F118" s="845">
        <v>1920</v>
      </c>
    </row>
    <row r="119" spans="1:6" s="825" customFormat="1" ht="14.25" customHeight="1" thickBot="1">
      <c r="A119" s="837" t="s">
        <v>32</v>
      </c>
      <c r="B119" s="831" t="s">
        <v>261</v>
      </c>
      <c r="C119" s="831">
        <v>9450</v>
      </c>
      <c r="D119" s="831">
        <v>9410</v>
      </c>
      <c r="E119" s="831">
        <v>9680</v>
      </c>
      <c r="F119" s="845">
        <v>1880</v>
      </c>
    </row>
    <row r="120" spans="1:6" s="825" customFormat="1" ht="14.25" customHeight="1" thickBot="1">
      <c r="A120" s="837" t="s">
        <v>32</v>
      </c>
      <c r="B120" s="831" t="s">
        <v>271</v>
      </c>
      <c r="C120" s="831">
        <v>8730</v>
      </c>
      <c r="D120" s="831">
        <v>8700</v>
      </c>
      <c r="E120" s="831">
        <v>8950</v>
      </c>
      <c r="F120" s="845">
        <v>1830</v>
      </c>
    </row>
    <row r="121" spans="1:6" s="825" customFormat="1" ht="14.25" customHeight="1" thickBot="1">
      <c r="A121" s="837" t="s">
        <v>32</v>
      </c>
      <c r="B121" s="831" t="s">
        <v>281</v>
      </c>
      <c r="C121" s="831">
        <v>10070</v>
      </c>
      <c r="D121" s="831">
        <v>10040</v>
      </c>
      <c r="E121" s="831">
        <v>10270</v>
      </c>
      <c r="F121" s="845">
        <v>1960</v>
      </c>
    </row>
    <row r="122" spans="1:6" s="825" customFormat="1" ht="14.25" customHeight="1" thickBot="1">
      <c r="A122" s="837" t="s">
        <v>32</v>
      </c>
      <c r="B122" s="831" t="s">
        <v>291</v>
      </c>
      <c r="C122" s="831">
        <v>10500</v>
      </c>
      <c r="D122" s="831">
        <v>10470</v>
      </c>
      <c r="E122" s="831">
        <v>10780</v>
      </c>
      <c r="F122" s="845">
        <v>2180</v>
      </c>
    </row>
    <row r="123" spans="1:6" s="825" customFormat="1" ht="14.25" customHeight="1" thickBot="1">
      <c r="A123" s="837" t="s">
        <v>32</v>
      </c>
      <c r="B123" s="831" t="s">
        <v>302</v>
      </c>
      <c r="C123" s="831">
        <v>10390</v>
      </c>
      <c r="D123" s="831">
        <v>10360</v>
      </c>
      <c r="E123" s="831">
        <v>10660</v>
      </c>
      <c r="F123" s="845">
        <v>2040</v>
      </c>
    </row>
    <row r="124" spans="1:6" s="825" customFormat="1" ht="14.25" customHeight="1" thickBot="1">
      <c r="A124" s="837" t="s">
        <v>32</v>
      </c>
      <c r="B124" s="831" t="s">
        <v>313</v>
      </c>
      <c r="C124" s="831">
        <v>10390</v>
      </c>
      <c r="D124" s="831">
        <v>10360</v>
      </c>
      <c r="E124" s="831">
        <v>10680</v>
      </c>
      <c r="F124" s="849"/>
    </row>
    <row r="125" spans="1:6" s="825" customFormat="1" ht="14.25" customHeight="1" thickBot="1">
      <c r="A125" s="837" t="s">
        <v>32</v>
      </c>
      <c r="B125" s="831" t="s">
        <v>323</v>
      </c>
      <c r="C125" s="831">
        <v>10440</v>
      </c>
      <c r="D125" s="831">
        <v>10410</v>
      </c>
      <c r="E125" s="831">
        <v>10710</v>
      </c>
      <c r="F125" s="849"/>
    </row>
    <row r="126" spans="1:6" s="825" customFormat="1" ht="14.25" customHeight="1" thickBot="1">
      <c r="A126" s="837" t="s">
        <v>32</v>
      </c>
      <c r="B126" s="831" t="s">
        <v>333</v>
      </c>
      <c r="C126" s="831">
        <v>10780</v>
      </c>
      <c r="D126" s="831">
        <v>10750</v>
      </c>
      <c r="E126" s="831">
        <v>11080</v>
      </c>
      <c r="F126" s="849"/>
    </row>
    <row r="127" spans="1:6" s="825" customFormat="1" ht="14.25" customHeight="1" thickBot="1">
      <c r="A127" s="837" t="s">
        <v>32</v>
      </c>
      <c r="B127" s="831" t="s">
        <v>343</v>
      </c>
      <c r="C127" s="831">
        <v>10100</v>
      </c>
      <c r="D127" s="831">
        <v>10070</v>
      </c>
      <c r="E127" s="831">
        <v>10350</v>
      </c>
      <c r="F127" s="849"/>
    </row>
    <row r="128" spans="1:6" s="825" customFormat="1" ht="14.25" customHeight="1" thickBot="1">
      <c r="A128" s="837" t="s">
        <v>32</v>
      </c>
      <c r="B128" s="831" t="s">
        <v>353</v>
      </c>
      <c r="C128" s="831">
        <v>9200</v>
      </c>
      <c r="D128" s="831">
        <v>9160</v>
      </c>
      <c r="E128" s="831">
        <v>9660</v>
      </c>
      <c r="F128" s="849"/>
    </row>
    <row r="129" spans="1:6" s="825" customFormat="1" ht="14.25" customHeight="1" thickBot="1">
      <c r="A129" s="837" t="s">
        <v>32</v>
      </c>
      <c r="B129" s="831" t="s">
        <v>362</v>
      </c>
      <c r="C129" s="831">
        <v>10340</v>
      </c>
      <c r="D129" s="831">
        <v>10310</v>
      </c>
      <c r="E129" s="831">
        <v>10580</v>
      </c>
      <c r="F129" s="849"/>
    </row>
    <row r="130" spans="1:6" s="825" customFormat="1" ht="14.25" customHeight="1" thickBot="1">
      <c r="A130" s="837" t="s">
        <v>32</v>
      </c>
      <c r="B130" s="831" t="s">
        <v>371</v>
      </c>
      <c r="C130" s="831">
        <v>9680</v>
      </c>
      <c r="D130" s="831">
        <v>9660</v>
      </c>
      <c r="E130" s="831">
        <v>9950</v>
      </c>
      <c r="F130" s="849"/>
    </row>
    <row r="131" spans="1:6" s="825" customFormat="1" ht="14.25" customHeight="1" thickBot="1">
      <c r="A131" s="837" t="s">
        <v>32</v>
      </c>
      <c r="B131" s="831" t="s">
        <v>379</v>
      </c>
      <c r="C131" s="831">
        <v>9540</v>
      </c>
      <c r="D131" s="831">
        <v>9510</v>
      </c>
      <c r="E131" s="831">
        <v>9790</v>
      </c>
      <c r="F131" s="849"/>
    </row>
    <row r="132" spans="1:6" s="825" customFormat="1" ht="14.25" customHeight="1" thickBot="1">
      <c r="A132" s="837" t="s">
        <v>32</v>
      </c>
      <c r="B132" s="831" t="s">
        <v>386</v>
      </c>
      <c r="C132" s="831">
        <v>9320</v>
      </c>
      <c r="D132" s="831">
        <v>9290</v>
      </c>
      <c r="E132" s="831">
        <v>9570</v>
      </c>
      <c r="F132" s="849"/>
    </row>
    <row r="133" spans="1:6" s="825" customFormat="1" ht="14.25" customHeight="1" thickBot="1">
      <c r="A133" s="837" t="s">
        <v>32</v>
      </c>
      <c r="B133" s="831" t="s">
        <v>393</v>
      </c>
      <c r="C133" s="831">
        <v>10310</v>
      </c>
      <c r="D133" s="831">
        <v>10280</v>
      </c>
      <c r="E133" s="831">
        <v>10530</v>
      </c>
      <c r="F133" s="849"/>
    </row>
    <row r="134" spans="1:6" s="825" customFormat="1" ht="14.25" customHeight="1" thickBot="1">
      <c r="A134" s="837" t="s">
        <v>32</v>
      </c>
      <c r="B134" s="831" t="s">
        <v>400</v>
      </c>
      <c r="C134" s="831">
        <v>10370</v>
      </c>
      <c r="D134" s="831">
        <v>10310</v>
      </c>
      <c r="E134" s="831">
        <v>10240</v>
      </c>
      <c r="F134" s="845">
        <v>2060</v>
      </c>
    </row>
    <row r="135" spans="1:6" s="825" customFormat="1" ht="14.25" customHeight="1" thickBot="1">
      <c r="A135" s="837" t="s">
        <v>32</v>
      </c>
      <c r="B135" s="831" t="s">
        <v>407</v>
      </c>
      <c r="C135" s="831">
        <v>9300</v>
      </c>
      <c r="D135" s="831">
        <v>9270</v>
      </c>
      <c r="E135" s="831">
        <v>9350</v>
      </c>
      <c r="F135" s="849"/>
    </row>
    <row r="136" spans="1:6" s="825" customFormat="1" ht="14.25" customHeight="1" thickBot="1">
      <c r="A136" s="837" t="s">
        <v>32</v>
      </c>
      <c r="B136" s="831" t="s">
        <v>414</v>
      </c>
      <c r="C136" s="831">
        <v>10160</v>
      </c>
      <c r="D136" s="831">
        <v>10110</v>
      </c>
      <c r="E136" s="831">
        <v>10080</v>
      </c>
      <c r="F136" s="849"/>
    </row>
    <row r="137" spans="1:6" s="825" customFormat="1" ht="14.25" customHeight="1" thickBot="1">
      <c r="A137" s="837" t="s">
        <v>32</v>
      </c>
      <c r="B137" s="831" t="s">
        <v>421</v>
      </c>
      <c r="C137" s="831">
        <v>9200</v>
      </c>
      <c r="D137" s="831">
        <v>9170</v>
      </c>
      <c r="E137" s="831">
        <v>9450</v>
      </c>
      <c r="F137" s="849"/>
    </row>
    <row r="138" spans="1:6" s="825" customFormat="1" ht="14.25" customHeight="1" thickBot="1">
      <c r="A138" s="837" t="s">
        <v>32</v>
      </c>
      <c r="B138" s="831" t="s">
        <v>426</v>
      </c>
      <c r="C138" s="831">
        <v>9690</v>
      </c>
      <c r="D138" s="831">
        <v>9660</v>
      </c>
      <c r="E138" s="831">
        <v>9840</v>
      </c>
      <c r="F138" s="849"/>
    </row>
    <row r="139" spans="1:6" s="825" customFormat="1" ht="14.25" customHeight="1" thickBot="1">
      <c r="A139" s="837" t="s">
        <v>32</v>
      </c>
      <c r="B139" s="831" t="s">
        <v>430</v>
      </c>
      <c r="C139" s="831">
        <v>10290</v>
      </c>
      <c r="D139" s="831">
        <v>10260</v>
      </c>
      <c r="E139" s="831">
        <v>10550</v>
      </c>
      <c r="F139" s="845">
        <v>1700</v>
      </c>
    </row>
    <row r="140" spans="1:6" s="825" customFormat="1" ht="14.25" customHeight="1" thickBot="1">
      <c r="A140" s="837" t="s">
        <v>32</v>
      </c>
      <c r="B140" s="831" t="s">
        <v>435</v>
      </c>
      <c r="C140" s="831">
        <v>9740</v>
      </c>
      <c r="D140" s="831">
        <v>9710</v>
      </c>
      <c r="E140" s="831">
        <v>10000</v>
      </c>
      <c r="F140" s="845">
        <v>2000</v>
      </c>
    </row>
    <row r="141" spans="1:6" s="825" customFormat="1" ht="14.25" customHeight="1" thickBot="1">
      <c r="A141" s="837" t="s">
        <v>32</v>
      </c>
      <c r="B141" s="831" t="s">
        <v>440</v>
      </c>
      <c r="C141" s="831">
        <v>9810</v>
      </c>
      <c r="D141" s="831">
        <v>9770</v>
      </c>
      <c r="E141" s="831">
        <v>10060</v>
      </c>
      <c r="F141" s="849"/>
    </row>
    <row r="142" spans="1:6" s="825" customFormat="1" ht="14.25" customHeight="1" thickBot="1">
      <c r="A142" s="837" t="s">
        <v>32</v>
      </c>
      <c r="B142" s="831" t="s">
        <v>445</v>
      </c>
      <c r="C142" s="831">
        <v>9300</v>
      </c>
      <c r="D142" s="831">
        <v>9270</v>
      </c>
      <c r="E142" s="831">
        <v>9530</v>
      </c>
      <c r="F142" s="849"/>
    </row>
    <row r="143" spans="1:6" s="825" customFormat="1" ht="14.25" customHeight="1" thickBot="1">
      <c r="A143" s="837" t="s">
        <v>32</v>
      </c>
      <c r="B143" s="831" t="s">
        <v>450</v>
      </c>
      <c r="C143" s="831">
        <v>10080</v>
      </c>
      <c r="D143" s="831">
        <v>10050</v>
      </c>
      <c r="E143" s="831">
        <v>10340</v>
      </c>
      <c r="F143" s="849"/>
    </row>
    <row r="144" spans="1:6" s="825" customFormat="1" ht="14.25" customHeight="1" thickBot="1">
      <c r="A144" s="837" t="s">
        <v>32</v>
      </c>
      <c r="B144" s="831" t="s">
        <v>454</v>
      </c>
      <c r="C144" s="831">
        <v>9820</v>
      </c>
      <c r="D144" s="831">
        <v>9750</v>
      </c>
      <c r="E144" s="831">
        <v>9900</v>
      </c>
      <c r="F144" s="849"/>
    </row>
    <row r="145" spans="1:6" s="825" customFormat="1" ht="14.25" customHeight="1" thickBot="1">
      <c r="A145" s="837" t="s">
        <v>32</v>
      </c>
      <c r="B145" s="831" t="s">
        <v>458</v>
      </c>
      <c r="C145" s="831"/>
      <c r="D145" s="831"/>
      <c r="E145" s="831"/>
      <c r="F145" s="845">
        <v>1740</v>
      </c>
    </row>
    <row r="146" spans="1:6" s="825" customFormat="1" ht="14.25" customHeight="1" thickBot="1">
      <c r="A146" s="837" t="s">
        <v>32</v>
      </c>
      <c r="B146" s="831" t="s">
        <v>462</v>
      </c>
      <c r="C146" s="831"/>
      <c r="D146" s="831"/>
      <c r="E146" s="831"/>
      <c r="F146" s="845">
        <v>1740</v>
      </c>
    </row>
    <row r="147" spans="1:6" s="825" customFormat="1" ht="14.25" customHeight="1" thickBot="1">
      <c r="A147" s="837" t="s">
        <v>32</v>
      </c>
      <c r="B147" s="831" t="s">
        <v>466</v>
      </c>
      <c r="C147" s="831"/>
      <c r="D147" s="831"/>
      <c r="E147" s="831"/>
      <c r="F147" s="845">
        <v>1740</v>
      </c>
    </row>
    <row r="148" spans="1:6" s="825" customFormat="1" ht="14.25" customHeight="1" thickBot="1">
      <c r="A148" s="837" t="s">
        <v>32</v>
      </c>
      <c r="B148" s="831" t="s">
        <v>470</v>
      </c>
      <c r="C148" s="831"/>
      <c r="D148" s="831"/>
      <c r="E148" s="831"/>
      <c r="F148" s="845">
        <v>1740</v>
      </c>
    </row>
    <row r="149" spans="1:6" s="825" customFormat="1" ht="14.25" customHeight="1" thickBot="1">
      <c r="A149" s="837" t="s">
        <v>32</v>
      </c>
      <c r="B149" s="831" t="s">
        <v>474</v>
      </c>
      <c r="C149" s="831"/>
      <c r="D149" s="831"/>
      <c r="E149" s="831"/>
      <c r="F149" s="845">
        <v>1740</v>
      </c>
    </row>
    <row r="150" spans="1:6" s="825" customFormat="1" ht="14.25" customHeight="1" thickBot="1">
      <c r="A150" s="837" t="s">
        <v>32</v>
      </c>
      <c r="B150" s="831" t="s">
        <v>477</v>
      </c>
      <c r="C150" s="831"/>
      <c r="D150" s="831"/>
      <c r="E150" s="831"/>
      <c r="F150" s="845">
        <v>1610</v>
      </c>
    </row>
    <row r="151" spans="1:6" s="825" customFormat="1" ht="14.25" customHeight="1" thickBot="1">
      <c r="A151" s="837" t="s">
        <v>32</v>
      </c>
      <c r="B151" s="831" t="s">
        <v>480</v>
      </c>
      <c r="C151" s="831"/>
      <c r="D151" s="831"/>
      <c r="E151" s="831"/>
      <c r="F151" s="845">
        <v>1610</v>
      </c>
    </row>
    <row r="152" spans="1:6" s="825" customFormat="1" ht="14.25" customHeight="1" thickBot="1">
      <c r="A152" s="837" t="s">
        <v>32</v>
      </c>
      <c r="B152" s="831" t="s">
        <v>483</v>
      </c>
      <c r="C152" s="831"/>
      <c r="D152" s="831"/>
      <c r="E152" s="831"/>
      <c r="F152" s="845">
        <v>1610</v>
      </c>
    </row>
    <row r="153" spans="1:6" s="825" customFormat="1" ht="14.25" customHeight="1" thickBot="1">
      <c r="A153" s="837" t="s">
        <v>32</v>
      </c>
      <c r="B153" s="831" t="s">
        <v>486</v>
      </c>
      <c r="C153" s="831"/>
      <c r="D153" s="831"/>
      <c r="E153" s="831"/>
      <c r="F153" s="845">
        <v>1610</v>
      </c>
    </row>
    <row r="154" spans="1:6" s="825" customFormat="1" ht="14.25" customHeight="1" thickBot="1">
      <c r="A154" s="837" t="s">
        <v>32</v>
      </c>
      <c r="B154" s="831" t="s">
        <v>489</v>
      </c>
      <c r="C154" s="831"/>
      <c r="D154" s="831"/>
      <c r="E154" s="831"/>
      <c r="F154" s="845">
        <v>1610</v>
      </c>
    </row>
    <row r="155" spans="1:6" s="825" customFormat="1" ht="14.25" customHeight="1" thickBot="1">
      <c r="A155" s="837" t="s">
        <v>32</v>
      </c>
      <c r="B155" s="831" t="s">
        <v>492</v>
      </c>
      <c r="C155" s="831"/>
      <c r="D155" s="831"/>
      <c r="E155" s="831"/>
      <c r="F155" s="845">
        <v>1800</v>
      </c>
    </row>
    <row r="156" spans="1:6" s="825" customFormat="1" ht="14.25" customHeight="1" thickBot="1">
      <c r="A156" s="837" t="s">
        <v>32</v>
      </c>
      <c r="B156" s="831" t="s">
        <v>494</v>
      </c>
      <c r="C156" s="831"/>
      <c r="D156" s="831"/>
      <c r="E156" s="831"/>
      <c r="F156" s="845">
        <v>1910</v>
      </c>
    </row>
    <row r="157" spans="1:6" s="825" customFormat="1" ht="14.25" customHeight="1" thickBot="1">
      <c r="A157" s="837" t="s">
        <v>32</v>
      </c>
      <c r="B157" s="843" t="s">
        <v>497</v>
      </c>
      <c r="C157" s="843"/>
      <c r="D157" s="843"/>
      <c r="E157" s="843"/>
      <c r="F157" s="848">
        <v>1500</v>
      </c>
    </row>
    <row r="158" spans="1:6" s="825" customFormat="1" ht="14.25" customHeight="1" thickBot="1">
      <c r="A158" s="837" t="s">
        <v>502</v>
      </c>
      <c r="B158" s="838" t="s">
        <v>503</v>
      </c>
      <c r="C158" s="838">
        <v>8170</v>
      </c>
      <c r="D158" s="838">
        <v>8140</v>
      </c>
      <c r="E158" s="838">
        <v>8590</v>
      </c>
      <c r="F158" s="839">
        <v>1450</v>
      </c>
    </row>
    <row r="159" spans="1:6" s="825" customFormat="1" ht="14.25" customHeight="1" thickBot="1">
      <c r="A159" s="837" t="s">
        <v>502</v>
      </c>
      <c r="B159" s="831" t="s">
        <v>169</v>
      </c>
      <c r="C159" s="831">
        <v>7410</v>
      </c>
      <c r="D159" s="831">
        <v>7370</v>
      </c>
      <c r="E159" s="831">
        <v>8030</v>
      </c>
      <c r="F159" s="845">
        <v>1510</v>
      </c>
    </row>
    <row r="160" spans="1:6" s="825" customFormat="1" ht="14.25" customHeight="1" thickBot="1">
      <c r="A160" s="837" t="s">
        <v>502</v>
      </c>
      <c r="B160" s="831" t="s">
        <v>182</v>
      </c>
      <c r="C160" s="831">
        <v>7240</v>
      </c>
      <c r="D160" s="831">
        <v>7210</v>
      </c>
      <c r="E160" s="831">
        <v>7860</v>
      </c>
      <c r="F160" s="845">
        <v>1370</v>
      </c>
    </row>
    <row r="161" spans="1:6" s="825" customFormat="1" ht="14.25" customHeight="1" thickBot="1">
      <c r="A161" s="837" t="s">
        <v>502</v>
      </c>
      <c r="B161" s="831" t="s">
        <v>195</v>
      </c>
      <c r="C161" s="831">
        <v>7720</v>
      </c>
      <c r="D161" s="831">
        <v>7690</v>
      </c>
      <c r="E161" s="831">
        <v>8200</v>
      </c>
      <c r="F161" s="845">
        <v>1190</v>
      </c>
    </row>
    <row r="162" spans="1:6" s="825" customFormat="1" ht="14.25" customHeight="1" thickBot="1">
      <c r="A162" s="837" t="s">
        <v>502</v>
      </c>
      <c r="B162" s="831" t="s">
        <v>207</v>
      </c>
      <c r="C162" s="831">
        <v>6900</v>
      </c>
      <c r="D162" s="831">
        <v>6870</v>
      </c>
      <c r="E162" s="831">
        <v>7500</v>
      </c>
      <c r="F162" s="845">
        <v>1390</v>
      </c>
    </row>
    <row r="163" spans="1:6" s="825" customFormat="1" ht="14.25" customHeight="1" thickBot="1">
      <c r="A163" s="837" t="s">
        <v>502</v>
      </c>
      <c r="B163" s="831" t="s">
        <v>218</v>
      </c>
      <c r="C163" s="831">
        <v>7120</v>
      </c>
      <c r="D163" s="831">
        <v>7090</v>
      </c>
      <c r="E163" s="831">
        <v>7690</v>
      </c>
      <c r="F163" s="845">
        <v>1230</v>
      </c>
    </row>
    <row r="164" spans="1:6" s="825" customFormat="1" ht="14.25" customHeight="1" thickBot="1">
      <c r="A164" s="837" t="s">
        <v>502</v>
      </c>
      <c r="B164" s="831" t="s">
        <v>229</v>
      </c>
      <c r="C164" s="831">
        <v>6560</v>
      </c>
      <c r="D164" s="831">
        <v>6530</v>
      </c>
      <c r="E164" s="831">
        <v>7110</v>
      </c>
      <c r="F164" s="845">
        <v>1340</v>
      </c>
    </row>
    <row r="165" spans="1:6" s="825" customFormat="1" ht="14.25" customHeight="1" thickBot="1">
      <c r="A165" s="837" t="s">
        <v>502</v>
      </c>
      <c r="B165" s="831" t="s">
        <v>240</v>
      </c>
      <c r="C165" s="831">
        <v>7450</v>
      </c>
      <c r="D165" s="831">
        <v>7430</v>
      </c>
      <c r="E165" s="831">
        <v>8110</v>
      </c>
      <c r="F165" s="845">
        <v>1290</v>
      </c>
    </row>
    <row r="166" spans="1:6" s="825" customFormat="1" ht="14.25" customHeight="1" thickBot="1">
      <c r="A166" s="837" t="s">
        <v>502</v>
      </c>
      <c r="B166" s="831" t="s">
        <v>252</v>
      </c>
      <c r="C166" s="831">
        <v>7490</v>
      </c>
      <c r="D166" s="831">
        <v>7460</v>
      </c>
      <c r="E166" s="831">
        <v>8150</v>
      </c>
      <c r="F166" s="845">
        <v>1350</v>
      </c>
    </row>
    <row r="167" spans="1:6" s="825" customFormat="1" ht="14.25" customHeight="1" thickBot="1">
      <c r="A167" s="837" t="s">
        <v>502</v>
      </c>
      <c r="B167" s="831" t="s">
        <v>262</v>
      </c>
      <c r="C167" s="831">
        <v>7540</v>
      </c>
      <c r="D167" s="831">
        <v>7510</v>
      </c>
      <c r="E167" s="831">
        <v>8030</v>
      </c>
      <c r="F167" s="849"/>
    </row>
    <row r="168" spans="1:6" s="825" customFormat="1" ht="14.25" customHeight="1" thickBot="1">
      <c r="A168" s="837" t="s">
        <v>502</v>
      </c>
      <c r="B168" s="831" t="s">
        <v>272</v>
      </c>
      <c r="C168" s="831">
        <v>7210</v>
      </c>
      <c r="D168" s="831">
        <v>7180</v>
      </c>
      <c r="E168" s="831">
        <v>7830</v>
      </c>
      <c r="F168" s="849"/>
    </row>
    <row r="169" spans="1:6" s="825" customFormat="1" ht="14.25" customHeight="1" thickBot="1">
      <c r="A169" s="837" t="s">
        <v>502</v>
      </c>
      <c r="B169" s="831" t="s">
        <v>282</v>
      </c>
      <c r="C169" s="831">
        <v>7040</v>
      </c>
      <c r="D169" s="831">
        <v>7020</v>
      </c>
      <c r="E169" s="831">
        <v>7670</v>
      </c>
      <c r="F169" s="849"/>
    </row>
    <row r="170" spans="1:6" s="825" customFormat="1" ht="14.25" customHeight="1" thickBot="1">
      <c r="A170" s="837" t="s">
        <v>502</v>
      </c>
      <c r="B170" s="831" t="s">
        <v>292</v>
      </c>
      <c r="C170" s="831">
        <v>8040</v>
      </c>
      <c r="D170" s="831">
        <v>7190</v>
      </c>
      <c r="E170" s="831">
        <v>7850</v>
      </c>
      <c r="F170" s="849"/>
    </row>
    <row r="171" spans="1:6" s="825" customFormat="1" ht="14.25" customHeight="1" thickBot="1">
      <c r="A171" s="837" t="s">
        <v>502</v>
      </c>
      <c r="B171" s="831" t="s">
        <v>303</v>
      </c>
      <c r="C171" s="831">
        <v>7860</v>
      </c>
      <c r="D171" s="831">
        <v>7720</v>
      </c>
      <c r="E171" s="831">
        <v>8150</v>
      </c>
      <c r="F171" s="845">
        <v>1110</v>
      </c>
    </row>
    <row r="172" spans="1:6" s="825" customFormat="1" ht="14.25" customHeight="1" thickBot="1">
      <c r="A172" s="837" t="s">
        <v>502</v>
      </c>
      <c r="B172" s="831" t="s">
        <v>314</v>
      </c>
      <c r="C172" s="831">
        <v>7210</v>
      </c>
      <c r="D172" s="831">
        <v>7170</v>
      </c>
      <c r="E172" s="831">
        <v>7320</v>
      </c>
      <c r="F172" s="849"/>
    </row>
    <row r="173" spans="1:6" s="825" customFormat="1" ht="14.25" customHeight="1" thickBot="1">
      <c r="A173" s="837" t="s">
        <v>502</v>
      </c>
      <c r="B173" s="831" t="s">
        <v>324</v>
      </c>
      <c r="C173" s="831">
        <v>6860</v>
      </c>
      <c r="D173" s="831">
        <v>6810</v>
      </c>
      <c r="E173" s="831">
        <v>7440</v>
      </c>
      <c r="F173" s="849"/>
    </row>
    <row r="174" spans="1:6" s="825" customFormat="1" ht="14.25" customHeight="1" thickBot="1">
      <c r="A174" s="837" t="s">
        <v>502</v>
      </c>
      <c r="B174" s="831" t="s">
        <v>334</v>
      </c>
      <c r="C174" s="831">
        <v>7120</v>
      </c>
      <c r="D174" s="831">
        <v>7090</v>
      </c>
      <c r="E174" s="831">
        <v>7500</v>
      </c>
      <c r="F174" s="845">
        <v>1490</v>
      </c>
    </row>
    <row r="175" spans="1:6" s="825" customFormat="1" ht="14.25" customHeight="1" thickBot="1">
      <c r="A175" s="837" t="s">
        <v>502</v>
      </c>
      <c r="B175" s="831" t="s">
        <v>344</v>
      </c>
      <c r="C175" s="831">
        <v>7850</v>
      </c>
      <c r="D175" s="831">
        <v>7820</v>
      </c>
      <c r="E175" s="831">
        <v>8120</v>
      </c>
      <c r="F175" s="845">
        <v>1530</v>
      </c>
    </row>
    <row r="176" spans="1:6" s="825" customFormat="1" ht="14.25" customHeight="1" thickBot="1">
      <c r="A176" s="837" t="s">
        <v>502</v>
      </c>
      <c r="B176" s="831" t="s">
        <v>354</v>
      </c>
      <c r="C176" s="831">
        <v>7620</v>
      </c>
      <c r="D176" s="831">
        <v>7570</v>
      </c>
      <c r="E176" s="831">
        <v>7990</v>
      </c>
      <c r="F176" s="845">
        <v>1480</v>
      </c>
    </row>
    <row r="177" spans="1:6" s="825" customFormat="1" ht="14.25" customHeight="1" thickBot="1">
      <c r="A177" s="837" t="s">
        <v>502</v>
      </c>
      <c r="B177" s="831" t="s">
        <v>363</v>
      </c>
      <c r="C177" s="831">
        <v>8590</v>
      </c>
      <c r="D177" s="831">
        <v>8570</v>
      </c>
      <c r="E177" s="831">
        <v>8740</v>
      </c>
      <c r="F177" s="845">
        <v>1540</v>
      </c>
    </row>
    <row r="178" spans="1:6" s="825" customFormat="1" ht="14.25" customHeight="1" thickBot="1">
      <c r="A178" s="837" t="s">
        <v>502</v>
      </c>
      <c r="B178" s="831" t="s">
        <v>372</v>
      </c>
      <c r="C178" s="831">
        <v>7510</v>
      </c>
      <c r="D178" s="831">
        <v>7470</v>
      </c>
      <c r="E178" s="831">
        <v>8090</v>
      </c>
      <c r="F178" s="845">
        <v>1320</v>
      </c>
    </row>
    <row r="179" spans="1:6" s="825" customFormat="1" ht="14.25" customHeight="1" thickBot="1">
      <c r="A179" s="837" t="s">
        <v>502</v>
      </c>
      <c r="B179" s="831" t="s">
        <v>380</v>
      </c>
      <c r="C179" s="831">
        <v>6380</v>
      </c>
      <c r="D179" s="831">
        <v>6340</v>
      </c>
      <c r="E179" s="831">
        <v>6810</v>
      </c>
      <c r="F179" s="849"/>
    </row>
    <row r="180" spans="1:6" s="825" customFormat="1" ht="14.25" customHeight="1" thickBot="1">
      <c r="A180" s="837" t="s">
        <v>502</v>
      </c>
      <c r="B180" s="831" t="s">
        <v>387</v>
      </c>
      <c r="C180" s="831">
        <v>7830</v>
      </c>
      <c r="D180" s="831">
        <v>7800</v>
      </c>
      <c r="E180" s="831">
        <v>7780</v>
      </c>
      <c r="F180" s="845">
        <v>1440</v>
      </c>
    </row>
    <row r="181" spans="1:6" s="825" customFormat="1" ht="14.25" customHeight="1" thickBot="1">
      <c r="A181" s="837" t="s">
        <v>502</v>
      </c>
      <c r="B181" s="831" t="s">
        <v>394</v>
      </c>
      <c r="C181" s="831">
        <v>7110</v>
      </c>
      <c r="D181" s="831">
        <v>7080</v>
      </c>
      <c r="E181" s="831">
        <v>7730</v>
      </c>
      <c r="F181" s="845">
        <v>1350</v>
      </c>
    </row>
    <row r="182" spans="1:6" s="825" customFormat="1" ht="14.25" customHeight="1" thickBot="1">
      <c r="A182" s="837" t="s">
        <v>502</v>
      </c>
      <c r="B182" s="831" t="s">
        <v>401</v>
      </c>
      <c r="C182" s="831">
        <v>7310</v>
      </c>
      <c r="D182" s="831">
        <v>7280</v>
      </c>
      <c r="E182" s="831">
        <v>7950</v>
      </c>
      <c r="F182" s="845">
        <v>1220</v>
      </c>
    </row>
    <row r="183" spans="1:6" s="825" customFormat="1" ht="14.25" customHeight="1" thickBot="1">
      <c r="A183" s="837" t="s">
        <v>502</v>
      </c>
      <c r="B183" s="831" t="s">
        <v>408</v>
      </c>
      <c r="C183" s="831">
        <v>7470</v>
      </c>
      <c r="D183" s="831">
        <v>7440</v>
      </c>
      <c r="E183" s="831">
        <v>7880</v>
      </c>
      <c r="F183" s="849"/>
    </row>
    <row r="184" spans="1:6" s="825" customFormat="1" ht="14.25" customHeight="1" thickBot="1">
      <c r="A184" s="837" t="s">
        <v>502</v>
      </c>
      <c r="B184" s="831" t="s">
        <v>415</v>
      </c>
      <c r="C184" s="831">
        <v>6960</v>
      </c>
      <c r="D184" s="831">
        <v>6930</v>
      </c>
      <c r="E184" s="831">
        <v>7570</v>
      </c>
      <c r="F184" s="849"/>
    </row>
    <row r="185" spans="1:6" s="825" customFormat="1" ht="14.25" customHeight="1" thickBot="1">
      <c r="A185" s="837" t="s">
        <v>502</v>
      </c>
      <c r="B185" s="831" t="s">
        <v>422</v>
      </c>
      <c r="C185" s="831">
        <v>7260</v>
      </c>
      <c r="D185" s="831">
        <v>7230</v>
      </c>
      <c r="E185" s="831">
        <v>7710</v>
      </c>
      <c r="F185" s="845">
        <v>1360</v>
      </c>
    </row>
    <row r="186" spans="1:6" s="825" customFormat="1" ht="14.25" customHeight="1" thickBot="1">
      <c r="A186" s="837" t="s">
        <v>502</v>
      </c>
      <c r="B186" s="831" t="s">
        <v>427</v>
      </c>
      <c r="C186" s="831"/>
      <c r="D186" s="831"/>
      <c r="E186" s="831"/>
      <c r="F186" s="845">
        <v>1560</v>
      </c>
    </row>
    <row r="187" spans="1:6" s="825" customFormat="1" ht="14.25" customHeight="1" thickBot="1">
      <c r="A187" s="837" t="s">
        <v>502</v>
      </c>
      <c r="B187" s="831" t="s">
        <v>431</v>
      </c>
      <c r="C187" s="831"/>
      <c r="D187" s="831"/>
      <c r="E187" s="831"/>
      <c r="F187" s="845">
        <v>1560</v>
      </c>
    </row>
    <row r="188" spans="1:6" s="825" customFormat="1" ht="14.25" customHeight="1" thickBot="1">
      <c r="A188" s="837" t="s">
        <v>502</v>
      </c>
      <c r="B188" s="831" t="s">
        <v>436</v>
      </c>
      <c r="C188" s="831"/>
      <c r="D188" s="831"/>
      <c r="E188" s="831"/>
      <c r="F188" s="845">
        <v>1560</v>
      </c>
    </row>
    <row r="189" spans="1:6" s="825" customFormat="1" ht="14.25" customHeight="1" thickBot="1">
      <c r="A189" s="837" t="s">
        <v>502</v>
      </c>
      <c r="B189" s="831" t="s">
        <v>441</v>
      </c>
      <c r="C189" s="831"/>
      <c r="D189" s="831"/>
      <c r="E189" s="831"/>
      <c r="F189" s="845">
        <v>1320</v>
      </c>
    </row>
    <row r="190" spans="1:6" s="825" customFormat="1" ht="14.25" customHeight="1" thickBot="1">
      <c r="A190" s="837" t="s">
        <v>502</v>
      </c>
      <c r="B190" s="831" t="s">
        <v>446</v>
      </c>
      <c r="C190" s="831"/>
      <c r="D190" s="831"/>
      <c r="E190" s="831"/>
      <c r="F190" s="845">
        <v>1320</v>
      </c>
    </row>
    <row r="191" spans="1:6" s="825" customFormat="1" ht="14.25" customHeight="1" thickBot="1">
      <c r="A191" s="837" t="s">
        <v>502</v>
      </c>
      <c r="B191" s="831" t="s">
        <v>451</v>
      </c>
      <c r="C191" s="831"/>
      <c r="D191" s="831"/>
      <c r="E191" s="831"/>
      <c r="F191" s="845">
        <v>1320</v>
      </c>
    </row>
    <row r="192" spans="1:6" s="825" customFormat="1" ht="14.25" customHeight="1" thickBot="1">
      <c r="A192" s="837" t="s">
        <v>502</v>
      </c>
      <c r="B192" s="831" t="s">
        <v>455</v>
      </c>
      <c r="C192" s="831"/>
      <c r="D192" s="831"/>
      <c r="E192" s="831"/>
      <c r="F192" s="845">
        <v>1100</v>
      </c>
    </row>
    <row r="193" spans="1:6" s="825" customFormat="1" ht="14.25" customHeight="1" thickBot="1">
      <c r="A193" s="837" t="s">
        <v>502</v>
      </c>
      <c r="B193" s="831" t="s">
        <v>459</v>
      </c>
      <c r="C193" s="831"/>
      <c r="D193" s="831"/>
      <c r="E193" s="831"/>
      <c r="F193" s="845">
        <v>1100</v>
      </c>
    </row>
    <row r="194" spans="1:6" s="825" customFormat="1" ht="14.25" customHeight="1" thickBot="1">
      <c r="A194" s="837" t="s">
        <v>502</v>
      </c>
      <c r="B194" s="831" t="s">
        <v>463</v>
      </c>
      <c r="C194" s="831"/>
      <c r="D194" s="831"/>
      <c r="E194" s="831"/>
      <c r="F194" s="845">
        <v>1080</v>
      </c>
    </row>
    <row r="195" spans="1:6" s="825" customFormat="1" ht="14.25" customHeight="1" thickBot="1">
      <c r="A195" s="837" t="s">
        <v>502</v>
      </c>
      <c r="B195" s="831" t="s">
        <v>467</v>
      </c>
      <c r="C195" s="831"/>
      <c r="D195" s="831"/>
      <c r="E195" s="831"/>
      <c r="F195" s="845">
        <v>1270</v>
      </c>
    </row>
    <row r="196" spans="1:6" s="825" customFormat="1" ht="14.25" customHeight="1" thickBot="1">
      <c r="A196" s="837" t="s">
        <v>502</v>
      </c>
      <c r="B196" s="831" t="s">
        <v>471</v>
      </c>
      <c r="C196" s="831"/>
      <c r="D196" s="831"/>
      <c r="E196" s="831"/>
      <c r="F196" s="845">
        <v>1150</v>
      </c>
    </row>
    <row r="197" spans="1:6" s="825" customFormat="1" ht="14.25" customHeight="1" thickBot="1">
      <c r="A197" s="837" t="s">
        <v>502</v>
      </c>
      <c r="B197" s="831" t="s">
        <v>475</v>
      </c>
      <c r="C197" s="831"/>
      <c r="D197" s="831"/>
      <c r="E197" s="831"/>
      <c r="F197" s="845">
        <v>1330</v>
      </c>
    </row>
    <row r="198" spans="1:6" s="825" customFormat="1" ht="14.25" customHeight="1" thickBot="1">
      <c r="A198" s="837" t="s">
        <v>502</v>
      </c>
      <c r="B198" s="831" t="s">
        <v>478</v>
      </c>
      <c r="C198" s="831"/>
      <c r="D198" s="831"/>
      <c r="E198" s="831"/>
      <c r="F198" s="845">
        <v>1170</v>
      </c>
    </row>
    <row r="199" spans="1:6" s="825" customFormat="1" ht="14.25" customHeight="1" thickBot="1">
      <c r="A199" s="837" t="s">
        <v>502</v>
      </c>
      <c r="B199" s="831" t="s">
        <v>481</v>
      </c>
      <c r="C199" s="831"/>
      <c r="D199" s="831"/>
      <c r="E199" s="831"/>
      <c r="F199" s="845">
        <v>1120</v>
      </c>
    </row>
    <row r="200" spans="1:6" s="825" customFormat="1" ht="14.25" customHeight="1" thickBot="1">
      <c r="A200" s="837" t="s">
        <v>502</v>
      </c>
      <c r="B200" s="831" t="s">
        <v>484</v>
      </c>
      <c r="C200" s="831"/>
      <c r="D200" s="831"/>
      <c r="E200" s="831"/>
      <c r="F200" s="845">
        <v>1120</v>
      </c>
    </row>
    <row r="201" spans="1:6" s="825" customFormat="1" ht="14.25" customHeight="1" thickBot="1">
      <c r="A201" s="837" t="s">
        <v>502</v>
      </c>
      <c r="B201" s="831" t="s">
        <v>487</v>
      </c>
      <c r="C201" s="831"/>
      <c r="D201" s="831"/>
      <c r="E201" s="831"/>
      <c r="F201" s="845">
        <v>1540</v>
      </c>
    </row>
    <row r="202" spans="1:6" s="825" customFormat="1" ht="14.25" customHeight="1" thickBot="1">
      <c r="A202" s="837" t="s">
        <v>502</v>
      </c>
      <c r="B202" s="831" t="s">
        <v>490</v>
      </c>
      <c r="C202" s="831"/>
      <c r="D202" s="831"/>
      <c r="E202" s="831"/>
      <c r="F202" s="845">
        <v>1310</v>
      </c>
    </row>
    <row r="203" spans="1:6" s="825" customFormat="1" ht="14.25" customHeight="1" thickBot="1">
      <c r="A203" s="837" t="s">
        <v>502</v>
      </c>
      <c r="B203" s="831" t="s">
        <v>493</v>
      </c>
      <c r="C203" s="831"/>
      <c r="D203" s="831"/>
      <c r="E203" s="831"/>
      <c r="F203" s="845">
        <v>1310</v>
      </c>
    </row>
    <row r="204" spans="1:6" s="825" customFormat="1" ht="14.25" customHeight="1" thickBot="1">
      <c r="A204" s="837" t="s">
        <v>502</v>
      </c>
      <c r="B204" s="831" t="s">
        <v>495</v>
      </c>
      <c r="C204" s="831"/>
      <c r="D204" s="831"/>
      <c r="E204" s="831"/>
      <c r="F204" s="845">
        <v>1080</v>
      </c>
    </row>
    <row r="205" spans="1:6" s="825" customFormat="1" ht="14.25" customHeight="1" thickBot="1">
      <c r="A205" s="837" t="s">
        <v>502</v>
      </c>
      <c r="B205" s="831" t="s">
        <v>498</v>
      </c>
      <c r="C205" s="831"/>
      <c r="D205" s="831"/>
      <c r="E205" s="831"/>
      <c r="F205" s="845">
        <v>1080</v>
      </c>
    </row>
    <row r="206" spans="1:6" s="825" customFormat="1" ht="14.25" customHeight="1" thickBot="1">
      <c r="A206" s="837" t="s">
        <v>504</v>
      </c>
      <c r="B206" s="838" t="s">
        <v>505</v>
      </c>
      <c r="C206" s="838">
        <v>5450</v>
      </c>
      <c r="D206" s="838">
        <v>5430</v>
      </c>
      <c r="E206" s="838">
        <v>5700</v>
      </c>
      <c r="F206" s="839">
        <v>1020</v>
      </c>
    </row>
    <row r="207" spans="1:6" s="825" customFormat="1" ht="14.25" customHeight="1" thickBot="1">
      <c r="A207" s="837" t="s">
        <v>504</v>
      </c>
      <c r="B207" s="831" t="s">
        <v>170</v>
      </c>
      <c r="C207" s="831">
        <v>5860</v>
      </c>
      <c r="D207" s="831">
        <v>5820</v>
      </c>
      <c r="E207" s="831">
        <v>6050</v>
      </c>
      <c r="F207" s="845">
        <v>1080</v>
      </c>
    </row>
    <row r="208" spans="1:6" s="825" customFormat="1" ht="14.25" customHeight="1" thickBot="1">
      <c r="A208" s="837" t="s">
        <v>504</v>
      </c>
      <c r="B208" s="831" t="s">
        <v>183</v>
      </c>
      <c r="C208" s="831">
        <v>4630</v>
      </c>
      <c r="D208" s="831">
        <v>4600</v>
      </c>
      <c r="E208" s="831">
        <v>4840</v>
      </c>
      <c r="F208" s="845">
        <v>900</v>
      </c>
    </row>
    <row r="209" spans="1:6" s="825" customFormat="1" ht="14.25" customHeight="1" thickBot="1">
      <c r="A209" s="837" t="s">
        <v>504</v>
      </c>
      <c r="B209" s="831" t="s">
        <v>196</v>
      </c>
      <c r="C209" s="831">
        <v>5320</v>
      </c>
      <c r="D209" s="831">
        <v>5270</v>
      </c>
      <c r="E209" s="831">
        <v>5540</v>
      </c>
      <c r="F209" s="845">
        <v>980</v>
      </c>
    </row>
    <row r="210" spans="1:6" s="825" customFormat="1" ht="14.25" customHeight="1" thickBot="1">
      <c r="A210" s="837" t="s">
        <v>504</v>
      </c>
      <c r="B210" s="831" t="s">
        <v>208</v>
      </c>
      <c r="C210" s="831">
        <v>5760</v>
      </c>
      <c r="D210" s="831">
        <v>5710</v>
      </c>
      <c r="E210" s="831">
        <v>6010</v>
      </c>
      <c r="F210" s="845">
        <v>870</v>
      </c>
    </row>
    <row r="211" spans="1:6" s="825" customFormat="1" ht="14.25" customHeight="1" thickBot="1">
      <c r="A211" s="837" t="s">
        <v>504</v>
      </c>
      <c r="B211" s="831" t="s">
        <v>219</v>
      </c>
      <c r="C211" s="831">
        <v>4160</v>
      </c>
      <c r="D211" s="831">
        <v>4100</v>
      </c>
      <c r="E211" s="831">
        <v>4270</v>
      </c>
      <c r="F211" s="845">
        <v>790</v>
      </c>
    </row>
    <row r="212" spans="1:6" s="825" customFormat="1" ht="14.25" customHeight="1" thickBot="1">
      <c r="A212" s="837" t="s">
        <v>504</v>
      </c>
      <c r="B212" s="831" t="s">
        <v>230</v>
      </c>
      <c r="C212" s="831">
        <v>4880</v>
      </c>
      <c r="D212" s="831">
        <v>4850</v>
      </c>
      <c r="E212" s="831">
        <v>5110</v>
      </c>
      <c r="F212" s="845">
        <v>940</v>
      </c>
    </row>
    <row r="213" spans="1:6" s="825" customFormat="1" ht="14.25" customHeight="1" thickBot="1">
      <c r="A213" s="837" t="s">
        <v>504</v>
      </c>
      <c r="B213" s="831" t="s">
        <v>241</v>
      </c>
      <c r="C213" s="831">
        <v>4640</v>
      </c>
      <c r="D213" s="831">
        <v>4590</v>
      </c>
      <c r="E213" s="831">
        <v>4700</v>
      </c>
      <c r="F213" s="845">
        <v>1030</v>
      </c>
    </row>
    <row r="214" spans="1:6" s="825" customFormat="1" ht="14.25" customHeight="1" thickBot="1">
      <c r="A214" s="837" t="s">
        <v>504</v>
      </c>
      <c r="B214" s="831" t="s">
        <v>253</v>
      </c>
      <c r="C214" s="831">
        <v>4540</v>
      </c>
      <c r="D214" s="831">
        <v>4490</v>
      </c>
      <c r="E214" s="831">
        <v>4610</v>
      </c>
      <c r="F214" s="849"/>
    </row>
    <row r="215" spans="1:6" s="825" customFormat="1" ht="14.25" customHeight="1" thickBot="1">
      <c r="A215" s="837" t="s">
        <v>504</v>
      </c>
      <c r="B215" s="831" t="s">
        <v>263</v>
      </c>
      <c r="C215" s="831">
        <v>5280</v>
      </c>
      <c r="D215" s="831">
        <v>5250</v>
      </c>
      <c r="E215" s="831">
        <v>5520</v>
      </c>
      <c r="F215" s="845">
        <v>1000</v>
      </c>
    </row>
    <row r="216" spans="1:6" s="825" customFormat="1" ht="14.25" customHeight="1" thickBot="1">
      <c r="A216" s="837" t="s">
        <v>504</v>
      </c>
      <c r="B216" s="831" t="s">
        <v>273</v>
      </c>
      <c r="C216" s="831">
        <v>5100</v>
      </c>
      <c r="D216" s="831">
        <v>5050</v>
      </c>
      <c r="E216" s="831">
        <v>5300</v>
      </c>
      <c r="F216" s="845">
        <v>950</v>
      </c>
    </row>
    <row r="217" spans="1:6" s="825" customFormat="1" ht="14.25" customHeight="1" thickBot="1">
      <c r="A217" s="837" t="s">
        <v>504</v>
      </c>
      <c r="B217" s="831" t="s">
        <v>283</v>
      </c>
      <c r="C217" s="831">
        <v>5370</v>
      </c>
      <c r="D217" s="831">
        <v>5320</v>
      </c>
      <c r="E217" s="831">
        <v>5410</v>
      </c>
      <c r="F217" s="845">
        <v>950</v>
      </c>
    </row>
    <row r="218" spans="1:6" s="825" customFormat="1" ht="14.25" customHeight="1" thickBot="1">
      <c r="A218" s="837" t="s">
        <v>504</v>
      </c>
      <c r="B218" s="831" t="s">
        <v>293</v>
      </c>
      <c r="C218" s="831">
        <v>5540</v>
      </c>
      <c r="D218" s="831">
        <v>5480</v>
      </c>
      <c r="E218" s="831">
        <v>5740</v>
      </c>
      <c r="F218" s="845">
        <v>1020</v>
      </c>
    </row>
    <row r="219" spans="1:6" s="825" customFormat="1" ht="14.25" customHeight="1" thickBot="1">
      <c r="A219" s="837" t="s">
        <v>504</v>
      </c>
      <c r="B219" s="831" t="s">
        <v>304</v>
      </c>
      <c r="C219" s="831">
        <v>5140</v>
      </c>
      <c r="D219" s="831">
        <v>5100</v>
      </c>
      <c r="E219" s="831">
        <v>5350</v>
      </c>
      <c r="F219" s="845">
        <v>1120</v>
      </c>
    </row>
    <row r="220" spans="1:6" s="825" customFormat="1" ht="14.25" customHeight="1" thickBot="1">
      <c r="A220" s="837" t="s">
        <v>504</v>
      </c>
      <c r="B220" s="831" t="s">
        <v>315</v>
      </c>
      <c r="C220" s="831">
        <v>5040</v>
      </c>
      <c r="D220" s="831">
        <v>5000</v>
      </c>
      <c r="E220" s="831">
        <v>5240</v>
      </c>
      <c r="F220" s="845">
        <v>980</v>
      </c>
    </row>
    <row r="221" spans="1:6" s="825" customFormat="1" ht="14.25" customHeight="1" thickBot="1">
      <c r="A221" s="837" t="s">
        <v>504</v>
      </c>
      <c r="B221" s="831" t="s">
        <v>325</v>
      </c>
      <c r="C221" s="850"/>
      <c r="D221" s="850"/>
      <c r="E221" s="850"/>
      <c r="F221" s="845">
        <v>1070</v>
      </c>
    </row>
    <row r="222" spans="1:6" s="825" customFormat="1" ht="14.25" customHeight="1" thickBot="1">
      <c r="A222" s="837" t="s">
        <v>504</v>
      </c>
      <c r="B222" s="831" t="s">
        <v>335</v>
      </c>
      <c r="C222" s="850"/>
      <c r="D222" s="850"/>
      <c r="E222" s="850"/>
      <c r="F222" s="845">
        <v>870</v>
      </c>
    </row>
    <row r="223" spans="1:6" s="825" customFormat="1" ht="14.25" customHeight="1" thickBot="1">
      <c r="A223" s="837" t="s">
        <v>504</v>
      </c>
      <c r="B223" s="831" t="s">
        <v>345</v>
      </c>
      <c r="C223" s="850"/>
      <c r="D223" s="850"/>
      <c r="E223" s="850"/>
      <c r="F223" s="845">
        <v>940</v>
      </c>
    </row>
    <row r="224" spans="1:6" s="825" customFormat="1" ht="14.25" customHeight="1" thickBot="1">
      <c r="A224" s="837" t="s">
        <v>504</v>
      </c>
      <c r="B224" s="831" t="s">
        <v>355</v>
      </c>
      <c r="C224" s="850"/>
      <c r="D224" s="850"/>
      <c r="E224" s="850"/>
      <c r="F224" s="845">
        <v>990</v>
      </c>
    </row>
    <row r="225" spans="1:6" s="825" customFormat="1" ht="14.25" customHeight="1" thickBot="1">
      <c r="A225" s="837" t="s">
        <v>504</v>
      </c>
      <c r="B225" s="831" t="s">
        <v>364</v>
      </c>
      <c r="C225" s="831">
        <v>5730</v>
      </c>
      <c r="D225" s="831">
        <v>5680</v>
      </c>
      <c r="E225" s="831">
        <v>6020</v>
      </c>
      <c r="F225" s="845">
        <v>1000</v>
      </c>
    </row>
    <row r="226" spans="1:6" s="825" customFormat="1" ht="14.25" customHeight="1" thickBot="1">
      <c r="A226" s="837" t="s">
        <v>504</v>
      </c>
      <c r="B226" s="831" t="s">
        <v>373</v>
      </c>
      <c r="C226" s="831">
        <v>4970</v>
      </c>
      <c r="D226" s="831">
        <v>4940</v>
      </c>
      <c r="E226" s="831">
        <v>5180</v>
      </c>
      <c r="F226" s="845">
        <v>960</v>
      </c>
    </row>
    <row r="227" spans="1:6" s="825" customFormat="1" ht="14.25" customHeight="1" thickBot="1">
      <c r="A227" s="837" t="s">
        <v>504</v>
      </c>
      <c r="B227" s="831" t="s">
        <v>381</v>
      </c>
      <c r="C227" s="831">
        <v>5550</v>
      </c>
      <c r="D227" s="831">
        <v>5500</v>
      </c>
      <c r="E227" s="831">
        <v>5780</v>
      </c>
      <c r="F227" s="845">
        <v>940</v>
      </c>
    </row>
    <row r="228" spans="1:6" s="825" customFormat="1" ht="14.25" customHeight="1" thickBot="1">
      <c r="A228" s="837" t="s">
        <v>504</v>
      </c>
      <c r="B228" s="831" t="s">
        <v>388</v>
      </c>
      <c r="C228" s="831">
        <v>5460</v>
      </c>
      <c r="D228" s="831">
        <v>5420</v>
      </c>
      <c r="E228" s="831">
        <v>5690</v>
      </c>
      <c r="F228" s="845">
        <v>910</v>
      </c>
    </row>
    <row r="229" spans="1:6" s="825" customFormat="1" ht="14.25" customHeight="1" thickBot="1">
      <c r="A229" s="837" t="s">
        <v>504</v>
      </c>
      <c r="B229" s="831" t="s">
        <v>395</v>
      </c>
      <c r="C229" s="831">
        <v>5310</v>
      </c>
      <c r="D229" s="831">
        <v>5270</v>
      </c>
      <c r="E229" s="831">
        <v>5510</v>
      </c>
      <c r="F229" s="849"/>
    </row>
    <row r="230" spans="1:6" s="825" customFormat="1" ht="14.25" customHeight="1" thickBot="1">
      <c r="A230" s="837" t="s">
        <v>504</v>
      </c>
      <c r="B230" s="831" t="s">
        <v>402</v>
      </c>
      <c r="C230" s="831">
        <v>4540</v>
      </c>
      <c r="D230" s="831">
        <v>4500</v>
      </c>
      <c r="E230" s="831">
        <v>4730</v>
      </c>
      <c r="F230" s="849"/>
    </row>
    <row r="231" spans="1:6" s="825" customFormat="1" ht="14.25" customHeight="1" thickBot="1">
      <c r="A231" s="837" t="s">
        <v>504</v>
      </c>
      <c r="B231" s="831" t="s">
        <v>409</v>
      </c>
      <c r="C231" s="831">
        <v>4480</v>
      </c>
      <c r="D231" s="831">
        <v>4410</v>
      </c>
      <c r="E231" s="831">
        <v>4640</v>
      </c>
      <c r="F231" s="849"/>
    </row>
    <row r="232" spans="1:6" s="825" customFormat="1" ht="14.25" customHeight="1" thickBot="1">
      <c r="A232" s="837" t="s">
        <v>504</v>
      </c>
      <c r="B232" s="831" t="s">
        <v>416</v>
      </c>
      <c r="C232" s="831">
        <v>5670</v>
      </c>
      <c r="D232" s="831">
        <v>5600</v>
      </c>
      <c r="E232" s="831">
        <v>5890</v>
      </c>
      <c r="F232" s="845">
        <v>1150</v>
      </c>
    </row>
    <row r="233" spans="1:6" s="825" customFormat="1" ht="14.25" customHeight="1" thickBot="1">
      <c r="A233" s="837" t="s">
        <v>504</v>
      </c>
      <c r="B233" s="831" t="s">
        <v>423</v>
      </c>
      <c r="C233" s="831">
        <v>4590</v>
      </c>
      <c r="D233" s="831">
        <v>4500</v>
      </c>
      <c r="E233" s="831">
        <v>4600</v>
      </c>
      <c r="F233" s="849"/>
    </row>
    <row r="234" spans="1:6" s="825" customFormat="1" ht="14.25" customHeight="1" thickBot="1">
      <c r="A234" s="837" t="s">
        <v>504</v>
      </c>
      <c r="B234" s="831" t="s">
        <v>1025</v>
      </c>
      <c r="C234" s="831">
        <v>3990</v>
      </c>
      <c r="D234" s="831">
        <v>3950</v>
      </c>
      <c r="E234" s="831">
        <v>4180</v>
      </c>
      <c r="F234" s="849"/>
    </row>
    <row r="235" spans="1:6" s="825" customFormat="1" ht="14.25" customHeight="1" thickBot="1">
      <c r="A235" s="837" t="s">
        <v>504</v>
      </c>
      <c r="B235" s="831" t="s">
        <v>432</v>
      </c>
      <c r="C235" s="831">
        <v>5590</v>
      </c>
      <c r="D235" s="831">
        <v>5540</v>
      </c>
      <c r="E235" s="831">
        <v>5810</v>
      </c>
      <c r="F235" s="845">
        <v>970</v>
      </c>
    </row>
    <row r="236" spans="1:6" s="825" customFormat="1" ht="14.25" customHeight="1" thickBot="1">
      <c r="A236" s="837" t="s">
        <v>504</v>
      </c>
      <c r="B236" s="831" t="s">
        <v>437</v>
      </c>
      <c r="C236" s="831"/>
      <c r="D236" s="831"/>
      <c r="E236" s="831"/>
      <c r="F236" s="845">
        <v>1020</v>
      </c>
    </row>
    <row r="237" spans="1:6" s="825" customFormat="1" ht="14.25" customHeight="1" thickBot="1">
      <c r="A237" s="837" t="s">
        <v>504</v>
      </c>
      <c r="B237" s="831" t="s">
        <v>442</v>
      </c>
      <c r="C237" s="831"/>
      <c r="D237" s="831"/>
      <c r="E237" s="831"/>
      <c r="F237" s="845">
        <v>960</v>
      </c>
    </row>
    <row r="238" spans="1:6" s="825" customFormat="1" ht="14.25" customHeight="1" thickBot="1">
      <c r="A238" s="837" t="s">
        <v>504</v>
      </c>
      <c r="B238" s="831" t="s">
        <v>447</v>
      </c>
      <c r="C238" s="831"/>
      <c r="D238" s="831"/>
      <c r="E238" s="831"/>
      <c r="F238" s="845">
        <v>960</v>
      </c>
    </row>
    <row r="239" spans="1:6" s="825" customFormat="1" ht="14.25" customHeight="1" thickBot="1">
      <c r="A239" s="837" t="s">
        <v>504</v>
      </c>
      <c r="B239" s="831" t="s">
        <v>452</v>
      </c>
      <c r="C239" s="831"/>
      <c r="D239" s="831"/>
      <c r="E239" s="831"/>
      <c r="F239" s="845">
        <v>960</v>
      </c>
    </row>
    <row r="240" spans="1:6" s="825" customFormat="1" ht="14.25" customHeight="1" thickBot="1">
      <c r="A240" s="837" t="s">
        <v>504</v>
      </c>
      <c r="B240" s="831" t="s">
        <v>456</v>
      </c>
      <c r="C240" s="831"/>
      <c r="D240" s="831"/>
      <c r="E240" s="831"/>
      <c r="F240" s="845">
        <v>990</v>
      </c>
    </row>
    <row r="241" spans="1:6" s="825" customFormat="1" ht="14.25" customHeight="1" thickBot="1">
      <c r="A241" s="837" t="s">
        <v>504</v>
      </c>
      <c r="B241" s="831" t="s">
        <v>460</v>
      </c>
      <c r="C241" s="831"/>
      <c r="D241" s="831"/>
      <c r="E241" s="831"/>
      <c r="F241" s="845">
        <v>1000</v>
      </c>
    </row>
    <row r="242" spans="1:6" s="825" customFormat="1" ht="14.25" customHeight="1" thickBot="1">
      <c r="A242" s="837" t="s">
        <v>504</v>
      </c>
      <c r="B242" s="831" t="s">
        <v>464</v>
      </c>
      <c r="C242" s="831"/>
      <c r="D242" s="831"/>
      <c r="E242" s="831"/>
      <c r="F242" s="845">
        <v>980</v>
      </c>
    </row>
    <row r="243" spans="1:6" s="825" customFormat="1" ht="14.25" customHeight="1" thickBot="1">
      <c r="A243" s="837" t="s">
        <v>504</v>
      </c>
      <c r="B243" s="831" t="s">
        <v>468</v>
      </c>
      <c r="C243" s="831"/>
      <c r="D243" s="831"/>
      <c r="E243" s="831"/>
      <c r="F243" s="845">
        <v>970</v>
      </c>
    </row>
    <row r="244" spans="1:6" s="825" customFormat="1" ht="14.25" customHeight="1" thickBot="1">
      <c r="A244" s="837" t="s">
        <v>504</v>
      </c>
      <c r="B244" s="843" t="s">
        <v>472</v>
      </c>
      <c r="C244" s="843"/>
      <c r="D244" s="843"/>
      <c r="E244" s="843"/>
      <c r="F244" s="848">
        <v>970</v>
      </c>
    </row>
    <row r="245" spans="1:6" s="825" customFormat="1" ht="14.25" customHeight="1" thickBot="1">
      <c r="A245" s="837" t="s">
        <v>506</v>
      </c>
      <c r="B245" s="838" t="s">
        <v>507</v>
      </c>
      <c r="C245" s="838">
        <v>4050</v>
      </c>
      <c r="D245" s="838">
        <v>4020</v>
      </c>
      <c r="E245" s="838">
        <v>4160</v>
      </c>
      <c r="F245" s="839">
        <v>840</v>
      </c>
    </row>
    <row r="246" spans="1:6" s="825" customFormat="1" ht="14.25" customHeight="1" thickBot="1">
      <c r="A246" s="837" t="s">
        <v>506</v>
      </c>
      <c r="B246" s="831" t="s">
        <v>171</v>
      </c>
      <c r="C246" s="831">
        <v>4010</v>
      </c>
      <c r="D246" s="831">
        <v>3960</v>
      </c>
      <c r="E246" s="831">
        <v>4130</v>
      </c>
      <c r="F246" s="845">
        <v>840</v>
      </c>
    </row>
    <row r="247" spans="1:6" s="825" customFormat="1" ht="14.25" customHeight="1" thickBot="1">
      <c r="A247" s="837" t="s">
        <v>506</v>
      </c>
      <c r="B247" s="831" t="s">
        <v>508</v>
      </c>
      <c r="C247" s="831">
        <v>3170</v>
      </c>
      <c r="D247" s="831">
        <v>3140</v>
      </c>
      <c r="E247" s="831">
        <v>3270</v>
      </c>
      <c r="F247" s="845">
        <v>640</v>
      </c>
    </row>
    <row r="248" spans="1:6" s="825" customFormat="1" ht="14.25" customHeight="1" thickBot="1">
      <c r="A248" s="837" t="s">
        <v>506</v>
      </c>
      <c r="B248" s="831" t="s">
        <v>509</v>
      </c>
      <c r="C248" s="831">
        <v>3140</v>
      </c>
      <c r="D248" s="831">
        <v>3120</v>
      </c>
      <c r="E248" s="831">
        <v>3240</v>
      </c>
      <c r="F248" s="845">
        <v>620</v>
      </c>
    </row>
    <row r="249" spans="1:6" s="825" customFormat="1" ht="14.25" customHeight="1" thickBot="1">
      <c r="A249" s="837" t="s">
        <v>506</v>
      </c>
      <c r="B249" s="831" t="s">
        <v>209</v>
      </c>
      <c r="C249" s="831">
        <v>3200</v>
      </c>
      <c r="D249" s="831">
        <v>3100</v>
      </c>
      <c r="E249" s="831">
        <v>3230</v>
      </c>
      <c r="F249" s="845">
        <v>750</v>
      </c>
    </row>
    <row r="250" spans="1:6" s="825" customFormat="1" ht="14.25" customHeight="1" thickBot="1">
      <c r="A250" s="837" t="s">
        <v>506</v>
      </c>
      <c r="B250" s="831" t="s">
        <v>220</v>
      </c>
      <c r="C250" s="831">
        <v>4060</v>
      </c>
      <c r="D250" s="831">
        <v>4000</v>
      </c>
      <c r="E250" s="831">
        <v>4140</v>
      </c>
      <c r="F250" s="845">
        <v>790</v>
      </c>
    </row>
    <row r="251" spans="1:6" s="825" customFormat="1" ht="14.25" customHeight="1" thickBot="1">
      <c r="A251" s="837" t="s">
        <v>506</v>
      </c>
      <c r="B251" s="831" t="s">
        <v>231</v>
      </c>
      <c r="C251" s="831">
        <v>3990</v>
      </c>
      <c r="D251" s="831">
        <v>3970</v>
      </c>
      <c r="E251" s="831">
        <v>4110</v>
      </c>
      <c r="F251" s="845">
        <v>730</v>
      </c>
    </row>
    <row r="252" spans="1:6" s="825" customFormat="1" ht="14.25" customHeight="1" thickBot="1">
      <c r="A252" s="837" t="s">
        <v>506</v>
      </c>
      <c r="B252" s="831" t="s">
        <v>242</v>
      </c>
      <c r="C252" s="831">
        <v>3560</v>
      </c>
      <c r="D252" s="831">
        <v>3530</v>
      </c>
      <c r="E252" s="831">
        <v>3650</v>
      </c>
      <c r="F252" s="845">
        <v>750</v>
      </c>
    </row>
    <row r="253" spans="1:6" s="825" customFormat="1" ht="14.25" customHeight="1" thickBot="1">
      <c r="A253" s="837" t="s">
        <v>506</v>
      </c>
      <c r="B253" s="831" t="s">
        <v>254</v>
      </c>
      <c r="C253" s="831">
        <v>3780</v>
      </c>
      <c r="D253" s="831">
        <v>3750</v>
      </c>
      <c r="E253" s="831">
        <v>3870</v>
      </c>
      <c r="F253" s="845">
        <v>770</v>
      </c>
    </row>
    <row r="254" spans="1:6" s="825" customFormat="1" ht="14.25" customHeight="1" thickBot="1">
      <c r="A254" s="837" t="s">
        <v>506</v>
      </c>
      <c r="B254" s="831" t="s">
        <v>264</v>
      </c>
      <c r="C254" s="850"/>
      <c r="D254" s="850"/>
      <c r="E254" s="850"/>
      <c r="F254" s="845">
        <v>740</v>
      </c>
    </row>
    <row r="255" spans="1:6" s="825" customFormat="1" ht="14.25" customHeight="1" thickBot="1">
      <c r="A255" s="837" t="s">
        <v>506</v>
      </c>
      <c r="B255" s="831" t="s">
        <v>274</v>
      </c>
      <c r="C255" s="850"/>
      <c r="D255" s="850"/>
      <c r="E255" s="850"/>
      <c r="F255" s="845">
        <v>760</v>
      </c>
    </row>
    <row r="256" spans="1:6" s="825" customFormat="1" ht="14.25" customHeight="1" thickBot="1">
      <c r="A256" s="837" t="s">
        <v>506</v>
      </c>
      <c r="B256" s="831" t="s">
        <v>284</v>
      </c>
      <c r="C256" s="831">
        <v>3760</v>
      </c>
      <c r="D256" s="831">
        <v>3730</v>
      </c>
      <c r="E256" s="831">
        <v>3870</v>
      </c>
      <c r="F256" s="845">
        <v>830</v>
      </c>
    </row>
    <row r="257" spans="1:6" s="825" customFormat="1" ht="14.25" customHeight="1" thickBot="1">
      <c r="A257" s="837" t="s">
        <v>506</v>
      </c>
      <c r="B257" s="831" t="s">
        <v>294</v>
      </c>
      <c r="C257" s="831">
        <v>3570</v>
      </c>
      <c r="D257" s="831">
        <v>3540</v>
      </c>
      <c r="E257" s="831">
        <v>3650</v>
      </c>
      <c r="F257" s="845">
        <v>790</v>
      </c>
    </row>
    <row r="258" spans="1:6" s="825" customFormat="1" ht="14.25" customHeight="1" thickBot="1">
      <c r="A258" s="837" t="s">
        <v>506</v>
      </c>
      <c r="B258" s="831" t="s">
        <v>305</v>
      </c>
      <c r="C258" s="831">
        <v>3410</v>
      </c>
      <c r="D258" s="831">
        <v>3380</v>
      </c>
      <c r="E258" s="831">
        <v>3500</v>
      </c>
      <c r="F258" s="845">
        <v>830</v>
      </c>
    </row>
    <row r="259" spans="1:6" s="825" customFormat="1" ht="14.25" customHeight="1" thickBot="1">
      <c r="A259" s="837" t="s">
        <v>506</v>
      </c>
      <c r="B259" s="831" t="s">
        <v>316</v>
      </c>
      <c r="C259" s="831">
        <v>3870</v>
      </c>
      <c r="D259" s="831">
        <v>3840</v>
      </c>
      <c r="E259" s="831">
        <v>3970</v>
      </c>
      <c r="F259" s="845">
        <v>830</v>
      </c>
    </row>
    <row r="260" spans="1:6" s="825" customFormat="1" ht="14.25" customHeight="1" thickBot="1">
      <c r="A260" s="837" t="s">
        <v>506</v>
      </c>
      <c r="B260" s="831" t="s">
        <v>326</v>
      </c>
      <c r="C260" s="831">
        <v>3700</v>
      </c>
      <c r="D260" s="831">
        <v>3660</v>
      </c>
      <c r="E260" s="831">
        <v>3810</v>
      </c>
      <c r="F260" s="845">
        <v>790</v>
      </c>
    </row>
    <row r="261" spans="1:6" s="825" customFormat="1" ht="14.25" customHeight="1" thickBot="1">
      <c r="A261" s="837" t="s">
        <v>506</v>
      </c>
      <c r="B261" s="831" t="s">
        <v>336</v>
      </c>
      <c r="C261" s="831">
        <v>3470</v>
      </c>
      <c r="D261" s="831">
        <v>3430</v>
      </c>
      <c r="E261" s="831">
        <v>3640</v>
      </c>
      <c r="F261" s="845">
        <v>760</v>
      </c>
    </row>
    <row r="262" spans="1:6" s="825" customFormat="1" ht="14.25" customHeight="1" thickBot="1">
      <c r="A262" s="837" t="s">
        <v>506</v>
      </c>
      <c r="B262" s="831" t="s">
        <v>346</v>
      </c>
      <c r="C262" s="831">
        <v>3510</v>
      </c>
      <c r="D262" s="831">
        <v>3470</v>
      </c>
      <c r="E262" s="831">
        <v>3680</v>
      </c>
      <c r="F262" s="849"/>
    </row>
    <row r="263" spans="1:6" s="825" customFormat="1" ht="14.25" customHeight="1" thickBot="1">
      <c r="A263" s="837" t="s">
        <v>506</v>
      </c>
      <c r="B263" s="831" t="s">
        <v>356</v>
      </c>
      <c r="C263" s="831">
        <v>3960</v>
      </c>
      <c r="D263" s="831">
        <v>3930</v>
      </c>
      <c r="E263" s="831">
        <v>4070</v>
      </c>
      <c r="F263" s="845">
        <v>830</v>
      </c>
    </row>
    <row r="264" spans="1:6" s="825" customFormat="1" ht="14.25" customHeight="1" thickBot="1">
      <c r="A264" s="837" t="s">
        <v>506</v>
      </c>
      <c r="B264" s="831" t="s">
        <v>365</v>
      </c>
      <c r="C264" s="831">
        <v>4010</v>
      </c>
      <c r="D264" s="831">
        <v>3980</v>
      </c>
      <c r="E264" s="831">
        <v>4150</v>
      </c>
      <c r="F264" s="845">
        <v>760</v>
      </c>
    </row>
    <row r="265" spans="1:6" s="825" customFormat="1" ht="14.25" customHeight="1" thickBot="1">
      <c r="A265" s="837" t="s">
        <v>506</v>
      </c>
      <c r="B265" s="831" t="s">
        <v>374</v>
      </c>
      <c r="C265" s="831">
        <v>3910</v>
      </c>
      <c r="D265" s="831">
        <v>3890</v>
      </c>
      <c r="E265" s="831">
        <v>4040</v>
      </c>
      <c r="F265" s="845">
        <v>780</v>
      </c>
    </row>
    <row r="266" spans="1:6" s="825" customFormat="1" ht="14.25" customHeight="1" thickBot="1">
      <c r="A266" s="837" t="s">
        <v>506</v>
      </c>
      <c r="B266" s="831" t="s">
        <v>382</v>
      </c>
      <c r="C266" s="831">
        <v>3930</v>
      </c>
      <c r="D266" s="831">
        <v>3900</v>
      </c>
      <c r="E266" s="831">
        <v>4080</v>
      </c>
      <c r="F266" s="845">
        <v>770</v>
      </c>
    </row>
    <row r="267" spans="1:6" s="825" customFormat="1" ht="14.25" customHeight="1" thickBot="1">
      <c r="A267" s="837" t="s">
        <v>506</v>
      </c>
      <c r="B267" s="831" t="s">
        <v>389</v>
      </c>
      <c r="C267" s="831">
        <v>3800</v>
      </c>
      <c r="D267" s="831">
        <v>3780</v>
      </c>
      <c r="E267" s="831">
        <v>3930</v>
      </c>
      <c r="F267" s="849"/>
    </row>
    <row r="268" spans="1:6" s="825" customFormat="1" ht="14.25" customHeight="1" thickBot="1">
      <c r="A268" s="837" t="s">
        <v>506</v>
      </c>
      <c r="B268" s="831" t="s">
        <v>396</v>
      </c>
      <c r="C268" s="831">
        <v>3460</v>
      </c>
      <c r="D268" s="831">
        <v>3430</v>
      </c>
      <c r="E268" s="831">
        <v>3560</v>
      </c>
      <c r="F268" s="845">
        <v>840</v>
      </c>
    </row>
    <row r="269" spans="1:6" s="825" customFormat="1" ht="14.25" customHeight="1" thickBot="1">
      <c r="A269" s="837" t="s">
        <v>506</v>
      </c>
      <c r="B269" s="831" t="s">
        <v>403</v>
      </c>
      <c r="C269" s="831">
        <v>3210</v>
      </c>
      <c r="D269" s="831">
        <v>3190</v>
      </c>
      <c r="E269" s="831">
        <v>3310</v>
      </c>
      <c r="F269" s="845">
        <v>730</v>
      </c>
    </row>
    <row r="270" spans="1:6" s="825" customFormat="1" ht="14.25" customHeight="1" thickBot="1">
      <c r="A270" s="837" t="s">
        <v>506</v>
      </c>
      <c r="B270" s="831" t="s">
        <v>410</v>
      </c>
      <c r="C270" s="831">
        <v>3240</v>
      </c>
      <c r="D270" s="831">
        <v>3210</v>
      </c>
      <c r="E270" s="831">
        <v>3390</v>
      </c>
      <c r="F270" s="845">
        <v>820</v>
      </c>
    </row>
    <row r="271" spans="1:6" s="825" customFormat="1" ht="14.25" customHeight="1" thickBot="1">
      <c r="A271" s="837" t="s">
        <v>506</v>
      </c>
      <c r="B271" s="831" t="s">
        <v>417</v>
      </c>
      <c r="C271" s="831">
        <v>3300</v>
      </c>
      <c r="D271" s="831">
        <v>3270</v>
      </c>
      <c r="E271" s="831">
        <v>3380</v>
      </c>
      <c r="F271" s="845">
        <v>750</v>
      </c>
    </row>
    <row r="272" spans="1:6" s="825" customFormat="1" ht="14.25" customHeight="1" thickBot="1">
      <c r="A272" s="837" t="s">
        <v>506</v>
      </c>
      <c r="B272" s="831" t="s">
        <v>424</v>
      </c>
      <c r="C272" s="850"/>
      <c r="D272" s="850"/>
      <c r="E272" s="850"/>
      <c r="F272" s="845">
        <v>740</v>
      </c>
    </row>
    <row r="273" spans="1:6" s="825" customFormat="1" ht="14.25" customHeight="1" thickBot="1">
      <c r="A273" s="837" t="s">
        <v>506</v>
      </c>
      <c r="B273" s="831" t="s">
        <v>428</v>
      </c>
      <c r="C273" s="831">
        <v>3130</v>
      </c>
      <c r="D273" s="831">
        <v>3100</v>
      </c>
      <c r="E273" s="831">
        <v>3230</v>
      </c>
      <c r="F273" s="845">
        <v>700</v>
      </c>
    </row>
    <row r="274" spans="1:6" s="825" customFormat="1" ht="14.25" customHeight="1" thickBot="1">
      <c r="A274" s="837" t="s">
        <v>506</v>
      </c>
      <c r="B274" s="831" t="s">
        <v>433</v>
      </c>
      <c r="C274" s="831">
        <v>3460</v>
      </c>
      <c r="D274" s="831">
        <v>3430</v>
      </c>
      <c r="E274" s="831">
        <v>3560</v>
      </c>
      <c r="F274" s="845">
        <v>690</v>
      </c>
    </row>
    <row r="275" spans="1:6" s="825" customFormat="1" ht="14.25" customHeight="1" thickBot="1">
      <c r="A275" s="837" t="s">
        <v>506</v>
      </c>
      <c r="B275" s="831" t="s">
        <v>438</v>
      </c>
      <c r="C275" s="831">
        <v>4040</v>
      </c>
      <c r="D275" s="831">
        <v>4020</v>
      </c>
      <c r="E275" s="831">
        <v>4160</v>
      </c>
      <c r="F275" s="845">
        <v>820</v>
      </c>
    </row>
    <row r="276" spans="1:6" s="825" customFormat="1" ht="14.25" customHeight="1" thickBot="1">
      <c r="A276" s="837" t="s">
        <v>506</v>
      </c>
      <c r="B276" s="831" t="s">
        <v>443</v>
      </c>
      <c r="C276" s="831">
        <v>3270</v>
      </c>
      <c r="D276" s="831">
        <v>3240</v>
      </c>
      <c r="E276" s="831">
        <v>3350</v>
      </c>
      <c r="F276" s="845">
        <v>680</v>
      </c>
    </row>
    <row r="277" spans="1:6" s="825" customFormat="1" ht="14.25" customHeight="1" thickBot="1">
      <c r="A277" s="837" t="s">
        <v>506</v>
      </c>
      <c r="B277" s="831" t="s">
        <v>448</v>
      </c>
      <c r="C277" s="831">
        <v>2930</v>
      </c>
      <c r="D277" s="831">
        <v>2900</v>
      </c>
      <c r="E277" s="831">
        <v>3000</v>
      </c>
      <c r="F277" s="845">
        <v>640</v>
      </c>
    </row>
    <row r="278" spans="1:6" s="825" customFormat="1" ht="14.25" customHeight="1" thickBot="1">
      <c r="A278" s="837" t="s">
        <v>506</v>
      </c>
      <c r="B278" s="831" t="s">
        <v>453</v>
      </c>
      <c r="C278" s="831">
        <v>4080</v>
      </c>
      <c r="D278" s="831">
        <v>4030</v>
      </c>
      <c r="E278" s="831">
        <v>4140</v>
      </c>
      <c r="F278" s="845">
        <v>850</v>
      </c>
    </row>
    <row r="279" spans="1:6" s="825" customFormat="1" ht="14.25" customHeight="1" thickBot="1">
      <c r="A279" s="837" t="s">
        <v>506</v>
      </c>
      <c r="B279" s="831" t="s">
        <v>457</v>
      </c>
      <c r="C279" s="831"/>
      <c r="D279" s="831"/>
      <c r="E279" s="831"/>
      <c r="F279" s="845">
        <v>760</v>
      </c>
    </row>
    <row r="280" spans="1:6" s="825" customFormat="1" ht="14.25" customHeight="1" thickBot="1">
      <c r="A280" s="837" t="s">
        <v>506</v>
      </c>
      <c r="B280" s="831" t="s">
        <v>461</v>
      </c>
      <c r="C280" s="831"/>
      <c r="D280" s="831"/>
      <c r="E280" s="831"/>
      <c r="F280" s="845">
        <v>760</v>
      </c>
    </row>
    <row r="281" spans="1:6" s="825" customFormat="1" ht="14.25" customHeight="1" thickBot="1">
      <c r="A281" s="837" t="s">
        <v>506</v>
      </c>
      <c r="B281" s="831" t="s">
        <v>465</v>
      </c>
      <c r="C281" s="831"/>
      <c r="D281" s="831"/>
      <c r="E281" s="831"/>
      <c r="F281" s="845">
        <v>780</v>
      </c>
    </row>
    <row r="282" spans="1:6" s="825" customFormat="1" ht="14.25" customHeight="1" thickBot="1">
      <c r="A282" s="837" t="s">
        <v>506</v>
      </c>
      <c r="B282" s="831" t="s">
        <v>469</v>
      </c>
      <c r="C282" s="831"/>
      <c r="D282" s="831"/>
      <c r="E282" s="831"/>
      <c r="F282" s="845">
        <v>730</v>
      </c>
    </row>
    <row r="283" spans="1:6" s="825" customFormat="1" ht="14.25" customHeight="1" thickBot="1">
      <c r="A283" s="837" t="s">
        <v>506</v>
      </c>
      <c r="B283" s="831" t="s">
        <v>473</v>
      </c>
      <c r="C283" s="831"/>
      <c r="D283" s="831"/>
      <c r="E283" s="831"/>
      <c r="F283" s="845">
        <v>770</v>
      </c>
    </row>
    <row r="284" spans="1:6" s="825" customFormat="1" ht="14.25" customHeight="1" thickBot="1">
      <c r="A284" s="837" t="s">
        <v>506</v>
      </c>
      <c r="B284" s="831" t="s">
        <v>476</v>
      </c>
      <c r="C284" s="831"/>
      <c r="D284" s="831"/>
      <c r="E284" s="831"/>
      <c r="F284" s="845">
        <v>640</v>
      </c>
    </row>
    <row r="285" spans="1:6" s="825" customFormat="1" ht="14.25" customHeight="1" thickBot="1">
      <c r="A285" s="837" t="s">
        <v>506</v>
      </c>
      <c r="B285" s="831" t="s">
        <v>479</v>
      </c>
      <c r="C285" s="831"/>
      <c r="D285" s="831"/>
      <c r="E285" s="831"/>
      <c r="F285" s="845">
        <v>640</v>
      </c>
    </row>
    <row r="286" spans="1:6" s="825" customFormat="1" ht="14.25" customHeight="1" thickBot="1">
      <c r="A286" s="837" t="s">
        <v>506</v>
      </c>
      <c r="B286" s="831" t="s">
        <v>482</v>
      </c>
      <c r="C286" s="831"/>
      <c r="D286" s="831"/>
      <c r="E286" s="831"/>
      <c r="F286" s="845">
        <v>850</v>
      </c>
    </row>
    <row r="287" spans="1:6" s="825" customFormat="1" ht="14.25" customHeight="1" thickBot="1">
      <c r="A287" s="837" t="s">
        <v>506</v>
      </c>
      <c r="B287" s="831" t="s">
        <v>485</v>
      </c>
      <c r="C287" s="831"/>
      <c r="D287" s="831"/>
      <c r="E287" s="831"/>
      <c r="F287" s="845">
        <v>760</v>
      </c>
    </row>
    <row r="288" spans="1:6" s="825" customFormat="1" ht="14.25" customHeight="1" thickBot="1">
      <c r="A288" s="837" t="s">
        <v>506</v>
      </c>
      <c r="B288" s="831" t="s">
        <v>488</v>
      </c>
      <c r="C288" s="831"/>
      <c r="D288" s="831"/>
      <c r="E288" s="831"/>
      <c r="F288" s="845">
        <v>830</v>
      </c>
    </row>
    <row r="289" spans="1:6" s="825" customFormat="1" ht="14.25" customHeight="1" thickBot="1">
      <c r="A289" s="837" t="s">
        <v>506</v>
      </c>
      <c r="B289" s="843" t="s">
        <v>491</v>
      </c>
      <c r="C289" s="843"/>
      <c r="D289" s="843"/>
      <c r="E289" s="843"/>
      <c r="F289" s="848">
        <v>680</v>
      </c>
    </row>
    <row r="290" spans="1:6" s="825" customFormat="1" ht="14.25" customHeight="1" thickBot="1">
      <c r="A290" s="837" t="s">
        <v>510</v>
      </c>
      <c r="B290" s="838" t="s">
        <v>511</v>
      </c>
      <c r="C290" s="838">
        <v>2770</v>
      </c>
      <c r="D290" s="838">
        <v>2740</v>
      </c>
      <c r="E290" s="838">
        <v>2720</v>
      </c>
      <c r="F290" s="851"/>
    </row>
    <row r="291" spans="1:6" s="825" customFormat="1" ht="14.25" customHeight="1" thickBot="1">
      <c r="A291" s="837" t="s">
        <v>510</v>
      </c>
      <c r="B291" s="831" t="s">
        <v>172</v>
      </c>
      <c r="C291" s="831">
        <v>2670</v>
      </c>
      <c r="D291" s="831">
        <v>2640</v>
      </c>
      <c r="E291" s="831">
        <v>2620</v>
      </c>
      <c r="F291" s="849"/>
    </row>
    <row r="292" spans="1:6" s="825" customFormat="1" ht="14.25" customHeight="1" thickBot="1">
      <c r="A292" s="837" t="s">
        <v>510</v>
      </c>
      <c r="B292" s="831" t="s">
        <v>512</v>
      </c>
      <c r="C292" s="831">
        <v>2180</v>
      </c>
      <c r="D292" s="831">
        <v>2140</v>
      </c>
      <c r="E292" s="831">
        <v>2120</v>
      </c>
      <c r="F292" s="845">
        <v>490</v>
      </c>
    </row>
    <row r="293" spans="1:6" s="825" customFormat="1" ht="14.25" customHeight="1" thickBot="1">
      <c r="A293" s="837" t="s">
        <v>510</v>
      </c>
      <c r="B293" s="831" t="s">
        <v>513</v>
      </c>
      <c r="C293" s="831"/>
      <c r="D293" s="831"/>
      <c r="E293" s="831"/>
      <c r="F293" s="845">
        <v>470</v>
      </c>
    </row>
    <row r="294" spans="1:6" s="825" customFormat="1" ht="14.25" customHeight="1" thickBot="1">
      <c r="A294" s="837" t="s">
        <v>510</v>
      </c>
      <c r="B294" s="831" t="s">
        <v>514</v>
      </c>
      <c r="C294" s="831">
        <v>2730</v>
      </c>
      <c r="D294" s="831">
        <v>2700</v>
      </c>
      <c r="E294" s="831">
        <v>2680</v>
      </c>
      <c r="F294" s="845">
        <v>490</v>
      </c>
    </row>
    <row r="295" spans="1:6" s="825" customFormat="1" ht="14.25" customHeight="1" thickBot="1">
      <c r="A295" s="837" t="s">
        <v>510</v>
      </c>
      <c r="B295" s="831" t="s">
        <v>210</v>
      </c>
      <c r="C295" s="831">
        <v>2380</v>
      </c>
      <c r="D295" s="831">
        <v>2350</v>
      </c>
      <c r="E295" s="831">
        <v>2330</v>
      </c>
      <c r="F295" s="845">
        <v>530</v>
      </c>
    </row>
    <row r="296" spans="1:6" s="825" customFormat="1" ht="14.25" customHeight="1" thickBot="1">
      <c r="A296" s="837" t="s">
        <v>510</v>
      </c>
      <c r="B296" s="831" t="s">
        <v>221</v>
      </c>
      <c r="C296" s="831">
        <v>2650</v>
      </c>
      <c r="D296" s="831">
        <v>2620</v>
      </c>
      <c r="E296" s="831">
        <v>2590</v>
      </c>
      <c r="F296" s="845">
        <v>590</v>
      </c>
    </row>
    <row r="297" spans="1:6" s="825" customFormat="1" ht="14.25" customHeight="1" thickBot="1">
      <c r="A297" s="837" t="s">
        <v>510</v>
      </c>
      <c r="B297" s="831" t="s">
        <v>232</v>
      </c>
      <c r="C297" s="831">
        <v>2700</v>
      </c>
      <c r="D297" s="831">
        <v>2670</v>
      </c>
      <c r="E297" s="831">
        <v>2650</v>
      </c>
      <c r="F297" s="845">
        <v>630</v>
      </c>
    </row>
    <row r="298" spans="1:6" s="825" customFormat="1" ht="14.25" customHeight="1" thickBot="1">
      <c r="A298" s="837" t="s">
        <v>510</v>
      </c>
      <c r="B298" s="831" t="s">
        <v>243</v>
      </c>
      <c r="C298" s="831">
        <v>2650</v>
      </c>
      <c r="D298" s="831">
        <v>2620</v>
      </c>
      <c r="E298" s="831">
        <v>2590</v>
      </c>
      <c r="F298" s="845">
        <v>640</v>
      </c>
    </row>
    <row r="299" spans="1:6" s="825" customFormat="1" ht="14.25" customHeight="1" thickBot="1">
      <c r="A299" s="837" t="s">
        <v>510</v>
      </c>
      <c r="B299" s="831" t="s">
        <v>255</v>
      </c>
      <c r="C299" s="831">
        <v>2500</v>
      </c>
      <c r="D299" s="831">
        <v>2480</v>
      </c>
      <c r="E299" s="831">
        <v>2460</v>
      </c>
      <c r="F299" s="849"/>
    </row>
    <row r="300" spans="1:6" s="825" customFormat="1" ht="14.25" customHeight="1" thickBot="1">
      <c r="A300" s="837" t="s">
        <v>510</v>
      </c>
      <c r="B300" s="831" t="s">
        <v>265</v>
      </c>
      <c r="C300" s="831">
        <v>2760</v>
      </c>
      <c r="D300" s="831">
        <v>2730</v>
      </c>
      <c r="E300" s="831">
        <v>2700</v>
      </c>
      <c r="F300" s="845">
        <v>630</v>
      </c>
    </row>
    <row r="301" spans="1:6" s="825" customFormat="1" ht="14.25" customHeight="1" thickBot="1">
      <c r="A301" s="837" t="s">
        <v>510</v>
      </c>
      <c r="B301" s="831" t="s">
        <v>275</v>
      </c>
      <c r="C301" s="831">
        <v>2510</v>
      </c>
      <c r="D301" s="831">
        <v>2480</v>
      </c>
      <c r="E301" s="831">
        <v>2460</v>
      </c>
      <c r="F301" s="849"/>
    </row>
    <row r="302" spans="1:6" s="825" customFormat="1" ht="14.25" customHeight="1" thickBot="1">
      <c r="A302" s="837" t="s">
        <v>510</v>
      </c>
      <c r="B302" s="831" t="s">
        <v>285</v>
      </c>
      <c r="C302" s="831">
        <v>2480</v>
      </c>
      <c r="D302" s="831">
        <v>2450</v>
      </c>
      <c r="E302" s="831">
        <v>2420</v>
      </c>
      <c r="F302" s="845">
        <v>600</v>
      </c>
    </row>
    <row r="303" spans="1:6" s="825" customFormat="1" ht="14.25" customHeight="1" thickBot="1">
      <c r="A303" s="837" t="s">
        <v>510</v>
      </c>
      <c r="B303" s="831" t="s">
        <v>295</v>
      </c>
      <c r="C303" s="831">
        <v>2270</v>
      </c>
      <c r="D303" s="831">
        <v>2240</v>
      </c>
      <c r="E303" s="831">
        <v>2210</v>
      </c>
      <c r="F303" s="845">
        <v>540</v>
      </c>
    </row>
    <row r="304" spans="1:6" s="825" customFormat="1" ht="14.25" customHeight="1" thickBot="1">
      <c r="A304" s="837" t="s">
        <v>510</v>
      </c>
      <c r="B304" s="831" t="s">
        <v>306</v>
      </c>
      <c r="C304" s="831">
        <v>2310</v>
      </c>
      <c r="D304" s="831">
        <v>2290</v>
      </c>
      <c r="E304" s="831">
        <v>2270</v>
      </c>
      <c r="F304" s="849"/>
    </row>
    <row r="305" spans="1:6" s="825" customFormat="1" ht="14.25" customHeight="1" thickBot="1">
      <c r="A305" s="837" t="s">
        <v>510</v>
      </c>
      <c r="B305" s="831" t="s">
        <v>317</v>
      </c>
      <c r="C305" s="831">
        <v>2490</v>
      </c>
      <c r="D305" s="831">
        <v>2470</v>
      </c>
      <c r="E305" s="831">
        <v>2440</v>
      </c>
      <c r="F305" s="845">
        <v>560</v>
      </c>
    </row>
    <row r="306" spans="1:6" s="825" customFormat="1" ht="14.25" customHeight="1" thickBot="1">
      <c r="A306" s="837" t="s">
        <v>510</v>
      </c>
      <c r="B306" s="831" t="s">
        <v>327</v>
      </c>
      <c r="C306" s="831">
        <v>2420</v>
      </c>
      <c r="D306" s="831">
        <v>2400</v>
      </c>
      <c r="E306" s="831">
        <v>2380</v>
      </c>
      <c r="F306" s="849"/>
    </row>
    <row r="307" spans="1:6" s="825" customFormat="1" ht="14.25" customHeight="1" thickBot="1">
      <c r="A307" s="837" t="s">
        <v>510</v>
      </c>
      <c r="B307" s="831" t="s">
        <v>337</v>
      </c>
      <c r="C307" s="831">
        <v>2770</v>
      </c>
      <c r="D307" s="831">
        <v>2740</v>
      </c>
      <c r="E307" s="831">
        <v>2710</v>
      </c>
      <c r="F307" s="845">
        <v>650</v>
      </c>
    </row>
    <row r="308" spans="1:6" s="825" customFormat="1" ht="14.25" customHeight="1" thickBot="1">
      <c r="A308" s="837" t="s">
        <v>510</v>
      </c>
      <c r="B308" s="831" t="s">
        <v>347</v>
      </c>
      <c r="C308" s="831">
        <v>2610</v>
      </c>
      <c r="D308" s="831">
        <v>2580</v>
      </c>
      <c r="E308" s="831">
        <v>2550</v>
      </c>
      <c r="F308" s="845">
        <v>580</v>
      </c>
    </row>
    <row r="309" spans="1:6" s="825" customFormat="1" ht="14.25" customHeight="1" thickBot="1">
      <c r="A309" s="837" t="s">
        <v>510</v>
      </c>
      <c r="B309" s="831" t="s">
        <v>357</v>
      </c>
      <c r="C309" s="831">
        <v>2690</v>
      </c>
      <c r="D309" s="831">
        <v>2670</v>
      </c>
      <c r="E309" s="831">
        <v>2650</v>
      </c>
      <c r="F309" s="849"/>
    </row>
    <row r="310" spans="1:6" s="825" customFormat="1" ht="14.25" customHeight="1" thickBot="1">
      <c r="A310" s="837" t="s">
        <v>510</v>
      </c>
      <c r="B310" s="831" t="s">
        <v>366</v>
      </c>
      <c r="C310" s="831">
        <v>2360</v>
      </c>
      <c r="D310" s="831">
        <v>2330</v>
      </c>
      <c r="E310" s="831">
        <v>2310</v>
      </c>
      <c r="F310" s="845">
        <v>560</v>
      </c>
    </row>
    <row r="311" spans="1:6" s="825" customFormat="1" ht="14.25" customHeight="1" thickBot="1">
      <c r="A311" s="837" t="s">
        <v>510</v>
      </c>
      <c r="B311" s="831" t="s">
        <v>375</v>
      </c>
      <c r="C311" s="831">
        <v>1970</v>
      </c>
      <c r="D311" s="831">
        <v>1950</v>
      </c>
      <c r="E311" s="831">
        <v>1920</v>
      </c>
      <c r="F311" s="845">
        <v>470</v>
      </c>
    </row>
    <row r="312" spans="1:6" s="825" customFormat="1" ht="14.25" customHeight="1" thickBot="1">
      <c r="A312" s="837" t="s">
        <v>510</v>
      </c>
      <c r="B312" s="831" t="s">
        <v>383</v>
      </c>
      <c r="C312" s="831">
        <v>2230</v>
      </c>
      <c r="D312" s="831">
        <v>2200</v>
      </c>
      <c r="E312" s="831">
        <v>2170</v>
      </c>
      <c r="F312" s="845">
        <v>460</v>
      </c>
    </row>
    <row r="313" spans="1:6" s="825" customFormat="1" ht="14.25" customHeight="1" thickBot="1">
      <c r="A313" s="837" t="s">
        <v>510</v>
      </c>
      <c r="B313" s="831" t="s">
        <v>390</v>
      </c>
      <c r="C313" s="831">
        <v>2770</v>
      </c>
      <c r="D313" s="831">
        <v>2740</v>
      </c>
      <c r="E313" s="831">
        <v>2710</v>
      </c>
      <c r="F313" s="845">
        <v>610</v>
      </c>
    </row>
    <row r="314" spans="1:6" s="825" customFormat="1" ht="14.25" customHeight="1" thickBot="1">
      <c r="A314" s="837" t="s">
        <v>510</v>
      </c>
      <c r="B314" s="831" t="s">
        <v>397</v>
      </c>
      <c r="C314" s="831"/>
      <c r="D314" s="831"/>
      <c r="E314" s="831"/>
      <c r="F314" s="845">
        <v>490</v>
      </c>
    </row>
    <row r="315" spans="1:6" s="825" customFormat="1" ht="14.25" customHeight="1" thickBot="1">
      <c r="A315" s="837" t="s">
        <v>510</v>
      </c>
      <c r="B315" s="831" t="s">
        <v>404</v>
      </c>
      <c r="C315" s="831"/>
      <c r="D315" s="831"/>
      <c r="E315" s="831"/>
      <c r="F315" s="845">
        <v>520</v>
      </c>
    </row>
    <row r="316" spans="1:6" s="825" customFormat="1" ht="14.25" customHeight="1" thickBot="1">
      <c r="A316" s="837" t="s">
        <v>510</v>
      </c>
      <c r="B316" s="843" t="s">
        <v>411</v>
      </c>
      <c r="C316" s="843"/>
      <c r="D316" s="843"/>
      <c r="E316" s="843"/>
      <c r="F316" s="848">
        <v>460</v>
      </c>
    </row>
    <row r="317" spans="1:6" s="825" customFormat="1" ht="14.25" customHeight="1" thickBot="1">
      <c r="A317" s="837" t="s">
        <v>297</v>
      </c>
      <c r="B317" s="838" t="s">
        <v>515</v>
      </c>
      <c r="C317" s="838">
        <v>1200</v>
      </c>
      <c r="D317" s="838">
        <v>1180</v>
      </c>
      <c r="E317" s="838">
        <v>1160</v>
      </c>
      <c r="F317" s="839">
        <v>370</v>
      </c>
    </row>
    <row r="318" spans="1:6" s="825" customFormat="1" ht="14.25" customHeight="1" thickBot="1">
      <c r="A318" s="837" t="s">
        <v>297</v>
      </c>
      <c r="B318" s="831" t="s">
        <v>516</v>
      </c>
      <c r="C318" s="831">
        <v>1090</v>
      </c>
      <c r="D318" s="831">
        <v>1060</v>
      </c>
      <c r="E318" s="831">
        <v>1040</v>
      </c>
      <c r="F318" s="849"/>
    </row>
    <row r="319" spans="1:6" s="825" customFormat="1" ht="14.25" customHeight="1" thickBot="1">
      <c r="A319" s="837" t="s">
        <v>297</v>
      </c>
      <c r="B319" s="831" t="s">
        <v>517</v>
      </c>
      <c r="C319" s="831">
        <v>1520</v>
      </c>
      <c r="D319" s="831">
        <v>1470</v>
      </c>
      <c r="E319" s="831">
        <v>1440</v>
      </c>
      <c r="F319" s="845">
        <v>370</v>
      </c>
    </row>
    <row r="320" spans="1:6" s="825" customFormat="1" ht="14.25" customHeight="1" thickBot="1">
      <c r="A320" s="837" t="s">
        <v>297</v>
      </c>
      <c r="B320" s="831" t="s">
        <v>199</v>
      </c>
      <c r="C320" s="831">
        <v>1360</v>
      </c>
      <c r="D320" s="831">
        <v>1300</v>
      </c>
      <c r="E320" s="831">
        <v>1270</v>
      </c>
      <c r="F320" s="849"/>
    </row>
    <row r="321" spans="1:6" s="825" customFormat="1" ht="14.25" customHeight="1" thickBot="1">
      <c r="A321" s="837" t="s">
        <v>297</v>
      </c>
      <c r="B321" s="831" t="s">
        <v>211</v>
      </c>
      <c r="C321" s="831">
        <v>1750</v>
      </c>
      <c r="D321" s="831">
        <v>1690</v>
      </c>
      <c r="E321" s="831">
        <v>1660</v>
      </c>
      <c r="F321" s="849"/>
    </row>
    <row r="322" spans="1:6" s="825" customFormat="1" ht="14.25" customHeight="1" thickBot="1">
      <c r="A322" s="837" t="s">
        <v>297</v>
      </c>
      <c r="B322" s="831" t="s">
        <v>222</v>
      </c>
      <c r="C322" s="831">
        <v>1650</v>
      </c>
      <c r="D322" s="831">
        <v>1610</v>
      </c>
      <c r="E322" s="831">
        <v>1580</v>
      </c>
      <c r="F322" s="845">
        <v>500</v>
      </c>
    </row>
    <row r="323" spans="1:6" s="825" customFormat="1" ht="14.25" customHeight="1" thickBot="1">
      <c r="A323" s="837" t="s">
        <v>297</v>
      </c>
      <c r="B323" s="831" t="s">
        <v>233</v>
      </c>
      <c r="C323" s="831">
        <v>1780</v>
      </c>
      <c r="D323" s="831">
        <v>1740</v>
      </c>
      <c r="E323" s="831">
        <v>1720</v>
      </c>
      <c r="F323" s="849"/>
    </row>
    <row r="324" spans="1:6" s="825" customFormat="1" ht="14.25" customHeight="1" thickBot="1">
      <c r="A324" s="837" t="s">
        <v>297</v>
      </c>
      <c r="B324" s="831" t="s">
        <v>244</v>
      </c>
      <c r="C324" s="831">
        <v>1650</v>
      </c>
      <c r="D324" s="831">
        <v>1610</v>
      </c>
      <c r="E324" s="831">
        <v>1580</v>
      </c>
      <c r="F324" s="849"/>
    </row>
    <row r="325" spans="1:6" s="825" customFormat="1" ht="14.25" customHeight="1" thickBot="1">
      <c r="A325" s="837" t="s">
        <v>297</v>
      </c>
      <c r="B325" s="831" t="s">
        <v>256</v>
      </c>
      <c r="C325" s="831">
        <v>1330</v>
      </c>
      <c r="D325" s="831">
        <v>1270</v>
      </c>
      <c r="E325" s="831">
        <v>1240</v>
      </c>
      <c r="F325" s="845">
        <v>430</v>
      </c>
    </row>
    <row r="326" spans="1:6" s="825" customFormat="1" ht="14.25" customHeight="1" thickBot="1">
      <c r="A326" s="837" t="s">
        <v>297</v>
      </c>
      <c r="B326" s="831" t="s">
        <v>266</v>
      </c>
      <c r="C326" s="831">
        <v>1470</v>
      </c>
      <c r="D326" s="831">
        <v>1430</v>
      </c>
      <c r="E326" s="831">
        <v>1400</v>
      </c>
      <c r="F326" s="849"/>
    </row>
    <row r="327" spans="1:6" s="825" customFormat="1" ht="14.25" customHeight="1" thickBot="1">
      <c r="A327" s="837" t="s">
        <v>297</v>
      </c>
      <c r="B327" s="831" t="s">
        <v>276</v>
      </c>
      <c r="C327" s="831">
        <v>1420</v>
      </c>
      <c r="D327" s="831">
        <v>1380</v>
      </c>
      <c r="E327" s="831">
        <v>1360</v>
      </c>
      <c r="F327" s="845">
        <v>420</v>
      </c>
    </row>
    <row r="328" spans="1:6" s="825" customFormat="1" ht="14.25" customHeight="1" thickBot="1">
      <c r="A328" s="837" t="s">
        <v>297</v>
      </c>
      <c r="B328" s="831" t="s">
        <v>286</v>
      </c>
      <c r="C328" s="831">
        <v>1400</v>
      </c>
      <c r="D328" s="831">
        <v>1360</v>
      </c>
      <c r="E328" s="831">
        <v>1330</v>
      </c>
      <c r="F328" s="845">
        <v>460</v>
      </c>
    </row>
    <row r="329" spans="1:6" s="825" customFormat="1" ht="14.25" customHeight="1" thickBot="1">
      <c r="A329" s="837" t="s">
        <v>297</v>
      </c>
      <c r="B329" s="831" t="s">
        <v>296</v>
      </c>
      <c r="C329" s="831">
        <v>1640</v>
      </c>
      <c r="D329" s="831">
        <v>1610</v>
      </c>
      <c r="E329" s="831">
        <v>1580</v>
      </c>
      <c r="F329" s="845">
        <v>410</v>
      </c>
    </row>
    <row r="330" spans="1:6" s="825" customFormat="1" ht="14.25" customHeight="1" thickBot="1">
      <c r="A330" s="837" t="s">
        <v>297</v>
      </c>
      <c r="B330" s="831" t="s">
        <v>307</v>
      </c>
      <c r="C330" s="831">
        <v>1260</v>
      </c>
      <c r="D330" s="831">
        <v>1220</v>
      </c>
      <c r="E330" s="831">
        <v>1200</v>
      </c>
      <c r="F330" s="849"/>
    </row>
    <row r="331" spans="1:6" s="825" customFormat="1" ht="14.25" customHeight="1" thickBot="1">
      <c r="A331" s="837" t="s">
        <v>297</v>
      </c>
      <c r="B331" s="831" t="s">
        <v>318</v>
      </c>
      <c r="C331" s="831">
        <v>1620</v>
      </c>
      <c r="D331" s="831">
        <v>1560</v>
      </c>
      <c r="E331" s="831">
        <v>1530</v>
      </c>
      <c r="F331" s="845">
        <v>490</v>
      </c>
    </row>
    <row r="332" spans="1:6" s="825" customFormat="1" ht="14.25" customHeight="1" thickBot="1">
      <c r="A332" s="837" t="s">
        <v>297</v>
      </c>
      <c r="B332" s="831" t="s">
        <v>328</v>
      </c>
      <c r="C332" s="831">
        <v>1520</v>
      </c>
      <c r="D332" s="831">
        <v>1470</v>
      </c>
      <c r="E332" s="831">
        <v>1440</v>
      </c>
      <c r="F332" s="845">
        <v>440</v>
      </c>
    </row>
    <row r="333" spans="1:6" s="825" customFormat="1" ht="14.25" customHeight="1" thickBot="1">
      <c r="A333" s="837" t="s">
        <v>297</v>
      </c>
      <c r="B333" s="831" t="s">
        <v>338</v>
      </c>
      <c r="C333" s="831">
        <v>1370</v>
      </c>
      <c r="D333" s="831">
        <v>1320</v>
      </c>
      <c r="E333" s="831">
        <v>1300</v>
      </c>
      <c r="F333" s="845">
        <v>460</v>
      </c>
    </row>
    <row r="334" spans="1:6" s="825" customFormat="1" ht="14.25" customHeight="1" thickBot="1">
      <c r="A334" s="837" t="s">
        <v>297</v>
      </c>
      <c r="B334" s="831" t="s">
        <v>348</v>
      </c>
      <c r="C334" s="831">
        <v>1410</v>
      </c>
      <c r="D334" s="831">
        <v>1340</v>
      </c>
      <c r="E334" s="831">
        <v>1310</v>
      </c>
      <c r="F334" s="845">
        <v>410</v>
      </c>
    </row>
    <row r="335" spans="1:6" s="825" customFormat="1" ht="14.25" customHeight="1" thickBot="1">
      <c r="A335" s="837" t="s">
        <v>297</v>
      </c>
      <c r="B335" s="831" t="s">
        <v>358</v>
      </c>
      <c r="C335" s="831">
        <v>1260</v>
      </c>
      <c r="D335" s="831">
        <v>1220</v>
      </c>
      <c r="E335" s="831">
        <v>1200</v>
      </c>
      <c r="F335" s="849"/>
    </row>
    <row r="336" spans="1:6" s="825" customFormat="1" ht="14.25" customHeight="1" thickBot="1">
      <c r="A336" s="837" t="s">
        <v>297</v>
      </c>
      <c r="B336" s="831" t="s">
        <v>367</v>
      </c>
      <c r="C336" s="831">
        <v>1160</v>
      </c>
      <c r="D336" s="831">
        <v>1140</v>
      </c>
      <c r="E336" s="831">
        <v>1120</v>
      </c>
      <c r="F336" s="845">
        <v>430</v>
      </c>
    </row>
    <row r="337" spans="1:6" s="825" customFormat="1" ht="14.25" customHeight="1" thickBot="1">
      <c r="A337" s="837" t="s">
        <v>297</v>
      </c>
      <c r="B337" s="843" t="s">
        <v>376</v>
      </c>
      <c r="C337" s="843"/>
      <c r="D337" s="843"/>
      <c r="E337" s="843"/>
      <c r="F337" s="848">
        <v>380</v>
      </c>
    </row>
    <row r="338" spans="1:6" s="825" customFormat="1" ht="14.25" customHeight="1" thickBot="1">
      <c r="A338" s="837" t="s">
        <v>308</v>
      </c>
      <c r="B338" s="838" t="s">
        <v>518</v>
      </c>
      <c r="C338" s="838">
        <v>880</v>
      </c>
      <c r="D338" s="838">
        <v>850</v>
      </c>
      <c r="E338" s="838">
        <v>830</v>
      </c>
      <c r="F338" s="851"/>
    </row>
    <row r="339" spans="1:6" s="825" customFormat="1" ht="14.25" customHeight="1" thickBot="1">
      <c r="A339" s="837" t="s">
        <v>308</v>
      </c>
      <c r="B339" s="831" t="s">
        <v>519</v>
      </c>
      <c r="C339" s="831">
        <v>830</v>
      </c>
      <c r="D339" s="831">
        <v>800</v>
      </c>
      <c r="E339" s="831">
        <v>780</v>
      </c>
      <c r="F339" s="849"/>
    </row>
    <row r="340" spans="1:6" s="825" customFormat="1" ht="14.25" customHeight="1" thickBot="1">
      <c r="A340" s="837" t="s">
        <v>308</v>
      </c>
      <c r="B340" s="831" t="s">
        <v>520</v>
      </c>
      <c r="C340" s="831">
        <v>980</v>
      </c>
      <c r="D340" s="831">
        <v>950</v>
      </c>
      <c r="E340" s="831">
        <v>920</v>
      </c>
      <c r="F340" s="849"/>
    </row>
    <row r="341" spans="1:6" s="825" customFormat="1" ht="14.25" customHeight="1" thickBot="1">
      <c r="A341" s="837" t="s">
        <v>308</v>
      </c>
      <c r="B341" s="831" t="s">
        <v>521</v>
      </c>
      <c r="C341" s="831">
        <v>760</v>
      </c>
      <c r="D341" s="831">
        <v>720</v>
      </c>
      <c r="E341" s="831">
        <v>690</v>
      </c>
      <c r="F341" s="845">
        <v>350</v>
      </c>
    </row>
    <row r="342" spans="1:6" s="825" customFormat="1" ht="14.25" customHeight="1" thickBot="1">
      <c r="A342" s="837" t="s">
        <v>308</v>
      </c>
      <c r="B342" s="831" t="s">
        <v>212</v>
      </c>
      <c r="C342" s="831">
        <v>910</v>
      </c>
      <c r="D342" s="831">
        <v>870</v>
      </c>
      <c r="E342" s="831">
        <v>850</v>
      </c>
      <c r="F342" s="845">
        <v>370</v>
      </c>
    </row>
    <row r="343" spans="1:6" s="825" customFormat="1" ht="14.25" customHeight="1" thickBot="1">
      <c r="A343" s="837" t="s">
        <v>308</v>
      </c>
      <c r="B343" s="831" t="s">
        <v>223</v>
      </c>
      <c r="C343" s="831">
        <v>800</v>
      </c>
      <c r="D343" s="831">
        <v>760</v>
      </c>
      <c r="E343" s="831">
        <v>730</v>
      </c>
      <c r="F343" s="845">
        <v>340</v>
      </c>
    </row>
    <row r="344" spans="1:6" s="825" customFormat="1" ht="14.25" customHeight="1" thickBot="1">
      <c r="A344" s="837" t="s">
        <v>308</v>
      </c>
      <c r="B344" s="843" t="s">
        <v>234</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8" t="s">
        <v>843</v>
      </c>
      <c r="B1" s="3288"/>
    </row>
    <row r="2" spans="1:6" ht="14.25" thickBot="1">
      <c r="A2" s="1054"/>
      <c r="B2" s="1054"/>
    </row>
    <row r="3" spans="1:6" ht="14.25" thickBot="1">
      <c r="A3" s="1054"/>
      <c r="B3" s="1054"/>
      <c r="C3" s="1058" t="s">
        <v>846</v>
      </c>
      <c r="D3" s="1058" t="s">
        <v>847</v>
      </c>
      <c r="E3" s="1058" t="s">
        <v>848</v>
      </c>
      <c r="F3" s="1058" t="s">
        <v>849</v>
      </c>
    </row>
    <row r="4" spans="1:6" ht="14.25" thickBot="1">
      <c r="A4" s="1056" t="s">
        <v>844</v>
      </c>
      <c r="B4" s="1057" t="s">
        <v>845</v>
      </c>
      <c r="C4" s="1058"/>
      <c r="D4" s="1058"/>
      <c r="E4" s="1058"/>
      <c r="F4" s="1058"/>
    </row>
    <row r="5" spans="1:6" ht="14.25" thickBot="1">
      <c r="A5" s="837" t="s">
        <v>850</v>
      </c>
      <c r="B5" s="838" t="s">
        <v>851</v>
      </c>
      <c r="C5" s="1059">
        <v>8.8999999999999996E-2</v>
      </c>
      <c r="D5" s="1059">
        <v>7.3999999999999996E-2</v>
      </c>
      <c r="E5" s="1059">
        <v>7.4999999999999997E-2</v>
      </c>
      <c r="F5" s="1060">
        <v>0.1</v>
      </c>
    </row>
    <row r="6" spans="1:6" ht="14.25" thickBot="1">
      <c r="A6" s="837" t="s">
        <v>188</v>
      </c>
      <c r="B6" s="831" t="s">
        <v>852</v>
      </c>
      <c r="C6" s="1061">
        <v>0.1</v>
      </c>
      <c r="D6" s="1061">
        <v>9.0999999999999998E-2</v>
      </c>
      <c r="E6" s="1061">
        <v>9.0999999999999998E-2</v>
      </c>
      <c r="F6" s="1062">
        <v>0.1</v>
      </c>
    </row>
    <row r="7" spans="1:6" ht="14.25" thickBot="1">
      <c r="A7" s="837" t="s">
        <v>188</v>
      </c>
      <c r="B7" s="841" t="s">
        <v>177</v>
      </c>
      <c r="C7" s="1061">
        <v>8.5999999999999993E-2</v>
      </c>
      <c r="D7" s="1061">
        <v>9.6000000000000002E-2</v>
      </c>
      <c r="E7" s="1061">
        <v>7.5999999999999998E-2</v>
      </c>
      <c r="F7" s="1062">
        <v>0.1</v>
      </c>
    </row>
    <row r="8" spans="1:6" ht="14.25" thickBot="1">
      <c r="A8" s="837" t="s">
        <v>188</v>
      </c>
      <c r="B8" s="831" t="s">
        <v>189</v>
      </c>
      <c r="C8" s="1061">
        <v>9.9000000000000005E-2</v>
      </c>
      <c r="D8" s="1061">
        <v>9.8000000000000004E-2</v>
      </c>
      <c r="E8" s="1061">
        <v>9.8000000000000004E-2</v>
      </c>
      <c r="F8" s="1062">
        <v>0.1</v>
      </c>
    </row>
    <row r="9" spans="1:6" ht="14.25" thickBot="1">
      <c r="A9" s="847" t="s">
        <v>188</v>
      </c>
      <c r="B9" s="842" t="s">
        <v>201</v>
      </c>
      <c r="C9" s="1063">
        <v>0.05</v>
      </c>
      <c r="D9" s="1071"/>
      <c r="E9" s="1071"/>
      <c r="F9" s="1072"/>
    </row>
    <row r="10" spans="1:6" ht="14.25" thickBot="1">
      <c r="A10" s="837" t="s">
        <v>245</v>
      </c>
      <c r="B10" s="838" t="s">
        <v>853</v>
      </c>
      <c r="C10" s="1059">
        <v>8.8999999999999996E-2</v>
      </c>
      <c r="D10" s="1059">
        <v>7.2999999999999995E-2</v>
      </c>
      <c r="E10" s="1059">
        <v>8.2000000000000003E-2</v>
      </c>
      <c r="F10" s="1060">
        <v>0.1</v>
      </c>
    </row>
    <row r="11" spans="1:6" ht="14.25" thickBot="1">
      <c r="A11" s="837" t="s">
        <v>245</v>
      </c>
      <c r="B11" s="841" t="s">
        <v>164</v>
      </c>
      <c r="C11" s="1061">
        <v>8.8999999999999996E-2</v>
      </c>
      <c r="D11" s="1061">
        <v>7.2999999999999995E-2</v>
      </c>
      <c r="E11" s="1061">
        <v>8.2000000000000003E-2</v>
      </c>
      <c r="F11" s="1062">
        <v>0.1</v>
      </c>
    </row>
    <row r="12" spans="1:6" ht="14.25" thickBot="1">
      <c r="A12" s="837" t="s">
        <v>245</v>
      </c>
      <c r="B12" s="841" t="s">
        <v>114</v>
      </c>
      <c r="C12" s="1061">
        <v>6.0999999999999999E-2</v>
      </c>
      <c r="D12" s="1061">
        <v>7.0999999999999994E-2</v>
      </c>
      <c r="E12" s="1061">
        <v>9.6000000000000002E-2</v>
      </c>
      <c r="F12" s="1062">
        <v>0.1</v>
      </c>
    </row>
    <row r="13" spans="1:6" ht="14.25" thickBot="1">
      <c r="A13" s="837" t="s">
        <v>245</v>
      </c>
      <c r="B13" s="841" t="s">
        <v>190</v>
      </c>
      <c r="C13" s="1061">
        <v>6.9000000000000006E-2</v>
      </c>
      <c r="D13" s="1061">
        <v>6.5000000000000002E-2</v>
      </c>
      <c r="E13" s="1061">
        <v>6.6000000000000003E-2</v>
      </c>
      <c r="F13" s="1062">
        <v>0.1</v>
      </c>
    </row>
    <row r="14" spans="1:6" ht="14.25" thickBot="1">
      <c r="A14" s="837" t="s">
        <v>245</v>
      </c>
      <c r="B14" s="841" t="s">
        <v>202</v>
      </c>
      <c r="C14" s="1061">
        <v>0.1</v>
      </c>
      <c r="D14" s="1061">
        <v>6.5000000000000002E-2</v>
      </c>
      <c r="E14" s="1061">
        <v>7.0000000000000007E-2</v>
      </c>
      <c r="F14" s="1062">
        <v>0.1</v>
      </c>
    </row>
    <row r="15" spans="1:6" ht="14.25" thickBot="1">
      <c r="A15" s="837" t="s">
        <v>245</v>
      </c>
      <c r="B15" s="841" t="s">
        <v>213</v>
      </c>
      <c r="C15" s="1061">
        <v>9.8000000000000004E-2</v>
      </c>
      <c r="D15" s="1061">
        <v>8.8999999999999996E-2</v>
      </c>
      <c r="E15" s="1061">
        <v>8.8999999999999996E-2</v>
      </c>
      <c r="F15" s="1062">
        <v>0.1</v>
      </c>
    </row>
    <row r="16" spans="1:6" ht="14.25" thickBot="1">
      <c r="A16" s="837" t="s">
        <v>245</v>
      </c>
      <c r="B16" s="841" t="s">
        <v>224</v>
      </c>
      <c r="C16" s="1061">
        <v>7.0000000000000007E-2</v>
      </c>
      <c r="D16" s="1061">
        <v>9.2999999999999999E-2</v>
      </c>
      <c r="E16" s="1061">
        <v>9.6000000000000002E-2</v>
      </c>
      <c r="F16" s="1062">
        <v>0.1</v>
      </c>
    </row>
    <row r="17" spans="1:6" ht="14.25" thickBot="1">
      <c r="A17" s="837" t="s">
        <v>245</v>
      </c>
      <c r="B17" s="841" t="s">
        <v>235</v>
      </c>
      <c r="C17" s="1061">
        <v>9.5000000000000001E-2</v>
      </c>
      <c r="D17" s="1061">
        <v>0.1</v>
      </c>
      <c r="E17" s="1061">
        <v>0.1</v>
      </c>
      <c r="F17" s="1073"/>
    </row>
    <row r="18" spans="1:6" ht="14.25" thickBot="1">
      <c r="A18" s="837" t="s">
        <v>245</v>
      </c>
      <c r="B18" s="841" t="s">
        <v>247</v>
      </c>
      <c r="C18" s="1061">
        <v>7.3999999999999996E-2</v>
      </c>
      <c r="D18" s="1061">
        <v>9.9000000000000005E-2</v>
      </c>
      <c r="E18" s="1061">
        <v>0.1</v>
      </c>
      <c r="F18" s="1073"/>
    </row>
    <row r="19" spans="1:6" ht="14.25" thickBot="1">
      <c r="A19" s="837" t="s">
        <v>245</v>
      </c>
      <c r="B19" s="841" t="s">
        <v>257</v>
      </c>
      <c r="C19" s="1061">
        <v>9.9000000000000005E-2</v>
      </c>
      <c r="D19" s="1061">
        <v>7.5999999999999998E-2</v>
      </c>
      <c r="E19" s="1061">
        <v>8.6999999999999994E-2</v>
      </c>
      <c r="F19" s="1073"/>
    </row>
    <row r="20" spans="1:6" ht="14.25" thickBot="1">
      <c r="A20" s="837" t="s">
        <v>245</v>
      </c>
      <c r="B20" s="841" t="s">
        <v>267</v>
      </c>
      <c r="C20" s="1061">
        <v>9.8000000000000004E-2</v>
      </c>
      <c r="D20" s="1061">
        <v>8.5000000000000006E-2</v>
      </c>
      <c r="E20" s="1061">
        <v>8.2000000000000003E-2</v>
      </c>
      <c r="F20" s="1073"/>
    </row>
    <row r="21" spans="1:6" ht="14.25" thickBot="1">
      <c r="A21" s="837" t="s">
        <v>245</v>
      </c>
      <c r="B21" s="841" t="s">
        <v>277</v>
      </c>
      <c r="C21" s="1061">
        <v>6.6000000000000003E-2</v>
      </c>
      <c r="D21" s="1061">
        <v>6.4000000000000001E-2</v>
      </c>
      <c r="E21" s="1061">
        <v>6.5000000000000002E-2</v>
      </c>
      <c r="F21" s="1073"/>
    </row>
    <row r="22" spans="1:6" ht="14.25" thickBot="1">
      <c r="A22" s="837" t="s">
        <v>245</v>
      </c>
      <c r="B22" s="841" t="s">
        <v>854</v>
      </c>
      <c r="C22" s="1061">
        <v>0.08</v>
      </c>
      <c r="D22" s="1061">
        <v>9.8000000000000004E-2</v>
      </c>
      <c r="E22" s="1061">
        <v>9.8000000000000004E-2</v>
      </c>
      <c r="F22" s="1073"/>
    </row>
    <row r="23" spans="1:6" ht="14.25" thickBot="1">
      <c r="A23" s="837" t="s">
        <v>245</v>
      </c>
      <c r="B23" s="841" t="s">
        <v>298</v>
      </c>
      <c r="C23" s="1061">
        <v>9.9000000000000005E-2</v>
      </c>
      <c r="D23" s="1061">
        <v>9.8000000000000004E-2</v>
      </c>
      <c r="E23" s="1061">
        <v>9.0999999999999998E-2</v>
      </c>
      <c r="F23" s="1073"/>
    </row>
    <row r="24" spans="1:6" ht="14.25" thickBot="1">
      <c r="A24" s="837" t="s">
        <v>245</v>
      </c>
      <c r="B24" s="841" t="s">
        <v>309</v>
      </c>
      <c r="C24" s="1061">
        <v>8.8999999999999996E-2</v>
      </c>
      <c r="D24" s="1061">
        <v>9.7000000000000003E-2</v>
      </c>
      <c r="E24" s="1061">
        <v>7.0000000000000007E-2</v>
      </c>
      <c r="F24" s="1073"/>
    </row>
    <row r="25" spans="1:6" ht="14.25" thickBot="1">
      <c r="A25" s="837" t="s">
        <v>245</v>
      </c>
      <c r="B25" s="841" t="s">
        <v>319</v>
      </c>
      <c r="C25" s="1061">
        <v>8.8999999999999996E-2</v>
      </c>
      <c r="D25" s="1061">
        <v>0.1</v>
      </c>
      <c r="E25" s="1061">
        <v>8.1000000000000003E-2</v>
      </c>
      <c r="F25" s="1073"/>
    </row>
    <row r="26" spans="1:6" ht="14.25" thickBot="1">
      <c r="A26" s="837" t="s">
        <v>245</v>
      </c>
      <c r="B26" s="841" t="s">
        <v>329</v>
      </c>
      <c r="C26" s="1074"/>
      <c r="D26" s="1061">
        <v>9.6000000000000002E-2</v>
      </c>
      <c r="E26" s="1061">
        <v>9.2999999999999999E-2</v>
      </c>
      <c r="F26" s="1073"/>
    </row>
    <row r="27" spans="1:6" ht="14.25" thickBot="1">
      <c r="A27" s="837" t="s">
        <v>245</v>
      </c>
      <c r="B27" s="841" t="s">
        <v>339</v>
      </c>
      <c r="C27" s="1074"/>
      <c r="D27" s="1061">
        <v>7.5999999999999998E-2</v>
      </c>
      <c r="E27" s="1061">
        <v>9.1999999999999998E-2</v>
      </c>
      <c r="F27" s="1073"/>
    </row>
    <row r="28" spans="1:6" ht="14.25" thickBot="1">
      <c r="A28" s="847" t="s">
        <v>245</v>
      </c>
      <c r="B28" s="842" t="s">
        <v>349</v>
      </c>
      <c r="C28" s="1071"/>
      <c r="D28" s="1063">
        <v>7.5999999999999998E-2</v>
      </c>
      <c r="E28" s="1063">
        <v>9.1999999999999998E-2</v>
      </c>
      <c r="F28" s="1072"/>
    </row>
    <row r="29" spans="1:6" ht="14.25" thickBot="1">
      <c r="A29" s="837" t="s">
        <v>418</v>
      </c>
      <c r="B29" s="838" t="s">
        <v>855</v>
      </c>
      <c r="C29" s="1059">
        <v>6.4000000000000001E-2</v>
      </c>
      <c r="D29" s="1059">
        <v>6.5000000000000002E-2</v>
      </c>
      <c r="E29" s="1059">
        <v>6.9000000000000006E-2</v>
      </c>
      <c r="F29" s="1060">
        <v>0.1</v>
      </c>
    </row>
    <row r="30" spans="1:6" ht="14.25" thickBot="1">
      <c r="A30" s="837" t="s">
        <v>418</v>
      </c>
      <c r="B30" s="841" t="s">
        <v>165</v>
      </c>
      <c r="C30" s="1061">
        <v>6.4000000000000001E-2</v>
      </c>
      <c r="D30" s="1061">
        <v>9.9000000000000005E-2</v>
      </c>
      <c r="E30" s="1061">
        <v>0.1</v>
      </c>
      <c r="F30" s="1062">
        <v>0.1</v>
      </c>
    </row>
    <row r="31" spans="1:6" ht="14.25" thickBot="1">
      <c r="A31" s="837" t="s">
        <v>418</v>
      </c>
      <c r="B31" s="841" t="s">
        <v>178</v>
      </c>
      <c r="C31" s="1061">
        <v>0.1</v>
      </c>
      <c r="D31" s="1061">
        <v>9.5000000000000001E-2</v>
      </c>
      <c r="E31" s="1061">
        <v>8.8999999999999996E-2</v>
      </c>
      <c r="F31" s="1062">
        <v>0.1</v>
      </c>
    </row>
    <row r="32" spans="1:6" ht="14.25" thickBot="1">
      <c r="A32" s="837" t="s">
        <v>418</v>
      </c>
      <c r="B32" s="841" t="s">
        <v>191</v>
      </c>
      <c r="C32" s="1061">
        <v>0.05</v>
      </c>
      <c r="D32" s="1061">
        <v>0.05</v>
      </c>
      <c r="E32" s="1061">
        <v>8.7999999999999995E-2</v>
      </c>
      <c r="F32" s="1062">
        <v>0.1</v>
      </c>
    </row>
    <row r="33" spans="1:6" ht="14.25" thickBot="1">
      <c r="A33" s="837" t="s">
        <v>418</v>
      </c>
      <c r="B33" s="841" t="s">
        <v>203</v>
      </c>
      <c r="C33" s="1061">
        <v>7.4999999999999997E-2</v>
      </c>
      <c r="D33" s="1061">
        <v>9.4E-2</v>
      </c>
      <c r="E33" s="1061">
        <v>9.7000000000000003E-2</v>
      </c>
      <c r="F33" s="1062">
        <v>0.1</v>
      </c>
    </row>
    <row r="34" spans="1:6" ht="14.25" thickBot="1">
      <c r="A34" s="837" t="s">
        <v>418</v>
      </c>
      <c r="B34" s="841" t="s">
        <v>214</v>
      </c>
      <c r="C34" s="1061">
        <v>9.8000000000000004E-2</v>
      </c>
      <c r="D34" s="1061">
        <v>8.5999999999999993E-2</v>
      </c>
      <c r="E34" s="1061">
        <v>9.7000000000000003E-2</v>
      </c>
      <c r="F34" s="1062">
        <v>0.1</v>
      </c>
    </row>
    <row r="35" spans="1:6" ht="14.25" thickBot="1">
      <c r="A35" s="837" t="s">
        <v>418</v>
      </c>
      <c r="B35" s="841" t="s">
        <v>225</v>
      </c>
      <c r="C35" s="1061">
        <v>5.8999999999999997E-2</v>
      </c>
      <c r="D35" s="1061">
        <v>6.5000000000000002E-2</v>
      </c>
      <c r="E35" s="1061">
        <v>7.0000000000000007E-2</v>
      </c>
      <c r="F35" s="1062">
        <v>0.1</v>
      </c>
    </row>
    <row r="36" spans="1:6" ht="14.25" thickBot="1">
      <c r="A36" s="837" t="s">
        <v>418</v>
      </c>
      <c r="B36" s="841" t="s">
        <v>236</v>
      </c>
      <c r="C36" s="1061">
        <v>6.3E-2</v>
      </c>
      <c r="D36" s="1061">
        <v>0.1</v>
      </c>
      <c r="E36" s="1061">
        <v>0.1</v>
      </c>
      <c r="F36" s="1062">
        <v>0.1</v>
      </c>
    </row>
    <row r="37" spans="1:6" ht="14.25" thickBot="1">
      <c r="A37" s="837" t="s">
        <v>418</v>
      </c>
      <c r="B37" s="841" t="s">
        <v>248</v>
      </c>
      <c r="C37" s="1061">
        <v>7.3999999999999996E-2</v>
      </c>
      <c r="D37" s="1061">
        <v>0.1</v>
      </c>
      <c r="E37" s="1061">
        <v>0.1</v>
      </c>
      <c r="F37" s="1062">
        <v>0.1</v>
      </c>
    </row>
    <row r="38" spans="1:6" ht="14.25" thickBot="1">
      <c r="A38" s="837" t="s">
        <v>418</v>
      </c>
      <c r="B38" s="841" t="s">
        <v>258</v>
      </c>
      <c r="C38" s="1061">
        <v>0.1</v>
      </c>
      <c r="D38" s="1061">
        <v>9.6000000000000002E-2</v>
      </c>
      <c r="E38" s="1061">
        <v>9.6000000000000002E-2</v>
      </c>
      <c r="F38" s="1073"/>
    </row>
    <row r="39" spans="1:6" ht="14.25" thickBot="1">
      <c r="A39" s="837" t="s">
        <v>418</v>
      </c>
      <c r="B39" s="841" t="s">
        <v>268</v>
      </c>
      <c r="C39" s="1061">
        <v>0.1</v>
      </c>
      <c r="D39" s="1061">
        <v>9.6000000000000002E-2</v>
      </c>
      <c r="E39" s="1061">
        <v>9.6000000000000002E-2</v>
      </c>
      <c r="F39" s="1073"/>
    </row>
    <row r="40" spans="1:6" ht="14.25" thickBot="1">
      <c r="A40" s="837" t="s">
        <v>418</v>
      </c>
      <c r="B40" s="841" t="s">
        <v>278</v>
      </c>
      <c r="C40" s="1061">
        <v>9.6000000000000002E-2</v>
      </c>
      <c r="D40" s="1061">
        <v>0.1</v>
      </c>
      <c r="E40" s="1061">
        <v>9.9000000000000005E-2</v>
      </c>
      <c r="F40" s="1073"/>
    </row>
    <row r="41" spans="1:6" ht="14.25" thickBot="1">
      <c r="A41" s="837" t="s">
        <v>418</v>
      </c>
      <c r="B41" s="841" t="s">
        <v>288</v>
      </c>
      <c r="C41" s="1061">
        <v>9.6000000000000002E-2</v>
      </c>
      <c r="D41" s="1061">
        <v>9.8000000000000004E-2</v>
      </c>
      <c r="E41" s="1061">
        <v>9.8000000000000004E-2</v>
      </c>
      <c r="F41" s="1073"/>
    </row>
    <row r="42" spans="1:6" ht="14.25" thickBot="1">
      <c r="A42" s="837" t="s">
        <v>418</v>
      </c>
      <c r="B42" s="841" t="s">
        <v>299</v>
      </c>
      <c r="C42" s="1061">
        <v>0.1</v>
      </c>
      <c r="D42" s="1061">
        <v>8.7999999999999995E-2</v>
      </c>
      <c r="E42" s="1061">
        <v>0.1</v>
      </c>
      <c r="F42" s="1073"/>
    </row>
    <row r="43" spans="1:6" ht="14.25" thickBot="1">
      <c r="A43" s="837" t="s">
        <v>418</v>
      </c>
      <c r="B43" s="841" t="s">
        <v>310</v>
      </c>
      <c r="C43" s="1061">
        <v>9.8000000000000004E-2</v>
      </c>
      <c r="D43" s="1061">
        <v>9.7000000000000003E-2</v>
      </c>
      <c r="E43" s="1061">
        <v>9.6000000000000002E-2</v>
      </c>
      <c r="F43" s="1073"/>
    </row>
    <row r="44" spans="1:6" ht="14.25" thickBot="1">
      <c r="A44" s="837" t="s">
        <v>418</v>
      </c>
      <c r="B44" s="841" t="s">
        <v>320</v>
      </c>
      <c r="C44" s="1061">
        <v>8.5999999999999993E-2</v>
      </c>
      <c r="D44" s="1061">
        <v>7.9000000000000001E-2</v>
      </c>
      <c r="E44" s="1061">
        <v>7.0999999999999994E-2</v>
      </c>
      <c r="F44" s="1073"/>
    </row>
    <row r="45" spans="1:6" ht="14.25" thickBot="1">
      <c r="A45" s="837" t="s">
        <v>418</v>
      </c>
      <c r="B45" s="841" t="s">
        <v>330</v>
      </c>
      <c r="C45" s="1061">
        <v>9.8000000000000004E-2</v>
      </c>
      <c r="D45" s="1061">
        <v>9.6000000000000002E-2</v>
      </c>
      <c r="E45" s="1061">
        <v>9.6000000000000002E-2</v>
      </c>
      <c r="F45" s="1073"/>
    </row>
    <row r="46" spans="1:6" ht="14.25" thickBot="1">
      <c r="A46" s="837" t="s">
        <v>418</v>
      </c>
      <c r="B46" s="841" t="s">
        <v>340</v>
      </c>
      <c r="C46" s="1061">
        <v>8.5999999999999993E-2</v>
      </c>
      <c r="D46" s="1061">
        <v>9.8000000000000004E-2</v>
      </c>
      <c r="E46" s="1061">
        <v>8.7999999999999995E-2</v>
      </c>
      <c r="F46" s="1073"/>
    </row>
    <row r="47" spans="1:6" ht="14.25" thickBot="1">
      <c r="A47" s="837" t="s">
        <v>418</v>
      </c>
      <c r="B47" s="841" t="s">
        <v>350</v>
      </c>
      <c r="C47" s="1061">
        <v>9.6000000000000002E-2</v>
      </c>
      <c r="D47" s="1074"/>
      <c r="E47" s="1061">
        <v>6.9000000000000006E-2</v>
      </c>
      <c r="F47" s="1073"/>
    </row>
    <row r="48" spans="1:6" ht="14.25" thickBot="1">
      <c r="A48" s="847" t="s">
        <v>418</v>
      </c>
      <c r="B48" s="842" t="s">
        <v>359</v>
      </c>
      <c r="C48" s="1063">
        <v>9.8000000000000004E-2</v>
      </c>
      <c r="D48" s="1071"/>
      <c r="E48" s="1063">
        <v>9.5000000000000001E-2</v>
      </c>
      <c r="F48" s="1072"/>
    </row>
    <row r="49" spans="1:6" ht="14.25" thickBot="1">
      <c r="A49" s="837" t="s">
        <v>113</v>
      </c>
      <c r="B49" s="838" t="s">
        <v>856</v>
      </c>
      <c r="C49" s="1059">
        <v>9.7000000000000003E-2</v>
      </c>
      <c r="D49" s="1059">
        <v>9.5000000000000001E-2</v>
      </c>
      <c r="E49" s="1059">
        <v>9.7000000000000003E-2</v>
      </c>
      <c r="F49" s="1060">
        <v>0.1</v>
      </c>
    </row>
    <row r="50" spans="1:6" ht="14.25" thickBot="1">
      <c r="A50" s="837" t="s">
        <v>113</v>
      </c>
      <c r="B50" s="831" t="s">
        <v>166</v>
      </c>
      <c r="C50" s="1061">
        <v>7.4999999999999997E-2</v>
      </c>
      <c r="D50" s="1061">
        <v>9.5000000000000001E-2</v>
      </c>
      <c r="E50" s="1061">
        <v>0.1</v>
      </c>
      <c r="F50" s="1062">
        <v>0.1</v>
      </c>
    </row>
    <row r="51" spans="1:6" ht="14.25" thickBot="1">
      <c r="A51" s="837" t="s">
        <v>113</v>
      </c>
      <c r="B51" s="831" t="s">
        <v>179</v>
      </c>
      <c r="C51" s="1061">
        <v>9.8000000000000004E-2</v>
      </c>
      <c r="D51" s="1061">
        <v>8.8999999999999996E-2</v>
      </c>
      <c r="E51" s="1061">
        <v>0.1</v>
      </c>
      <c r="F51" s="1062">
        <v>0.1</v>
      </c>
    </row>
    <row r="52" spans="1:6" ht="14.25" thickBot="1">
      <c r="A52" s="837" t="s">
        <v>113</v>
      </c>
      <c r="B52" s="831" t="s">
        <v>192</v>
      </c>
      <c r="C52" s="1061">
        <v>9.8000000000000004E-2</v>
      </c>
      <c r="D52" s="1061">
        <v>9.7000000000000003E-2</v>
      </c>
      <c r="E52" s="1061">
        <v>8.1000000000000003E-2</v>
      </c>
      <c r="F52" s="1062">
        <v>0.1</v>
      </c>
    </row>
    <row r="53" spans="1:6" ht="14.25" thickBot="1">
      <c r="A53" s="837" t="s">
        <v>113</v>
      </c>
      <c r="B53" s="831" t="s">
        <v>204</v>
      </c>
      <c r="C53" s="1061">
        <v>9.7000000000000003E-2</v>
      </c>
      <c r="D53" s="1061">
        <v>7.5999999999999998E-2</v>
      </c>
      <c r="E53" s="1061">
        <v>7.0999999999999994E-2</v>
      </c>
      <c r="F53" s="1062">
        <v>0.1</v>
      </c>
    </row>
    <row r="54" spans="1:6" ht="14.25" thickBot="1">
      <c r="A54" s="837" t="s">
        <v>113</v>
      </c>
      <c r="B54" s="831" t="s">
        <v>215</v>
      </c>
      <c r="C54" s="1061">
        <v>7.5999999999999998E-2</v>
      </c>
      <c r="D54" s="1061">
        <v>0.1</v>
      </c>
      <c r="E54" s="1061">
        <v>9.9000000000000005E-2</v>
      </c>
      <c r="F54" s="1062">
        <v>0.1</v>
      </c>
    </row>
    <row r="55" spans="1:6" ht="14.25" thickBot="1">
      <c r="A55" s="837" t="s">
        <v>113</v>
      </c>
      <c r="B55" s="831" t="s">
        <v>226</v>
      </c>
      <c r="C55" s="1061">
        <v>0.1</v>
      </c>
      <c r="D55" s="1061">
        <v>0.1</v>
      </c>
      <c r="E55" s="1061">
        <v>9.6000000000000002E-2</v>
      </c>
      <c r="F55" s="1062">
        <v>0.1</v>
      </c>
    </row>
    <row r="56" spans="1:6" ht="14.25" thickBot="1">
      <c r="A56" s="837" t="s">
        <v>113</v>
      </c>
      <c r="B56" s="831" t="s">
        <v>237</v>
      </c>
      <c r="C56" s="1061">
        <v>0.1</v>
      </c>
      <c r="D56" s="1061">
        <v>9.6000000000000002E-2</v>
      </c>
      <c r="E56" s="1061">
        <v>5.1999999999999998E-2</v>
      </c>
      <c r="F56" s="1062">
        <v>0.1</v>
      </c>
    </row>
    <row r="57" spans="1:6" ht="14.25" thickBot="1">
      <c r="A57" s="837" t="s">
        <v>113</v>
      </c>
      <c r="B57" s="831" t="s">
        <v>249</v>
      </c>
      <c r="C57" s="1061">
        <v>9.7000000000000003E-2</v>
      </c>
      <c r="D57" s="1061">
        <v>9.6000000000000002E-2</v>
      </c>
      <c r="E57" s="1061">
        <v>9.6000000000000002E-2</v>
      </c>
      <c r="F57" s="1062">
        <v>0.1</v>
      </c>
    </row>
    <row r="58" spans="1:6" ht="14.25" thickBot="1">
      <c r="A58" s="837" t="s">
        <v>113</v>
      </c>
      <c r="B58" s="831" t="s">
        <v>259</v>
      </c>
      <c r="C58" s="1061">
        <v>9.6000000000000002E-2</v>
      </c>
      <c r="D58" s="1061">
        <v>9.9000000000000005E-2</v>
      </c>
      <c r="E58" s="1061">
        <v>9.6000000000000002E-2</v>
      </c>
      <c r="F58" s="1062">
        <v>0.1</v>
      </c>
    </row>
    <row r="59" spans="1:6" ht="14.25" thickBot="1">
      <c r="A59" s="837" t="s">
        <v>113</v>
      </c>
      <c r="B59" s="831" t="s">
        <v>269</v>
      </c>
      <c r="C59" s="1061">
        <v>7.1999999999999995E-2</v>
      </c>
      <c r="D59" s="1061">
        <v>9.6000000000000002E-2</v>
      </c>
      <c r="E59" s="1061">
        <v>7.0999999999999994E-2</v>
      </c>
      <c r="F59" s="1062">
        <v>0.1</v>
      </c>
    </row>
    <row r="60" spans="1:6" ht="14.25" thickBot="1">
      <c r="A60" s="837" t="s">
        <v>113</v>
      </c>
      <c r="B60" s="831" t="s">
        <v>279</v>
      </c>
      <c r="C60" s="1061">
        <v>9.6000000000000002E-2</v>
      </c>
      <c r="D60" s="1061">
        <v>8.8999999999999996E-2</v>
      </c>
      <c r="E60" s="1061">
        <v>9.6000000000000002E-2</v>
      </c>
      <c r="F60" s="1062">
        <v>0.1</v>
      </c>
    </row>
    <row r="61" spans="1:6" ht="14.25" thickBot="1">
      <c r="A61" s="837" t="s">
        <v>113</v>
      </c>
      <c r="B61" s="831" t="s">
        <v>289</v>
      </c>
      <c r="C61" s="1061">
        <v>8.8999999999999996E-2</v>
      </c>
      <c r="D61" s="1061">
        <v>9.8000000000000004E-2</v>
      </c>
      <c r="E61" s="1061">
        <v>8.7999999999999995E-2</v>
      </c>
      <c r="F61" s="1073"/>
    </row>
    <row r="62" spans="1:6" ht="14.25" thickBot="1">
      <c r="A62" s="837" t="s">
        <v>113</v>
      </c>
      <c r="B62" s="831" t="s">
        <v>300</v>
      </c>
      <c r="C62" s="1061">
        <v>9.8000000000000004E-2</v>
      </c>
      <c r="D62" s="1061">
        <v>9.2999999999999999E-2</v>
      </c>
      <c r="E62" s="1061">
        <v>9.7000000000000003E-2</v>
      </c>
      <c r="F62" s="1073"/>
    </row>
    <row r="63" spans="1:6" ht="14.25" thickBot="1">
      <c r="A63" s="837" t="s">
        <v>113</v>
      </c>
      <c r="B63" s="831" t="s">
        <v>311</v>
      </c>
      <c r="C63" s="1061">
        <v>9.6000000000000002E-2</v>
      </c>
      <c r="D63" s="1061">
        <v>9.8000000000000004E-2</v>
      </c>
      <c r="E63" s="1061">
        <v>0.09</v>
      </c>
      <c r="F63" s="1073"/>
    </row>
    <row r="64" spans="1:6" ht="14.25" thickBot="1">
      <c r="A64" s="837" t="s">
        <v>113</v>
      </c>
      <c r="B64" s="831" t="s">
        <v>321</v>
      </c>
      <c r="C64" s="1061">
        <v>9.9000000000000005E-2</v>
      </c>
      <c r="D64" s="1061">
        <v>9.7000000000000003E-2</v>
      </c>
      <c r="E64" s="1061">
        <v>9.9000000000000005E-2</v>
      </c>
      <c r="F64" s="1073"/>
    </row>
    <row r="65" spans="1:6" ht="14.25" thickBot="1">
      <c r="A65" s="837" t="s">
        <v>113</v>
      </c>
      <c r="B65" s="831" t="s">
        <v>331</v>
      </c>
      <c r="C65" s="1061">
        <v>9.8000000000000004E-2</v>
      </c>
      <c r="D65" s="1061">
        <v>9.6000000000000002E-2</v>
      </c>
      <c r="E65" s="1061">
        <v>9.6000000000000002E-2</v>
      </c>
      <c r="F65" s="1073"/>
    </row>
    <row r="66" spans="1:6" ht="14.25" thickBot="1">
      <c r="A66" s="837" t="s">
        <v>113</v>
      </c>
      <c r="B66" s="831" t="s">
        <v>341</v>
      </c>
      <c r="C66" s="1061">
        <v>9.6000000000000002E-2</v>
      </c>
      <c r="D66" s="1061">
        <v>9.1999999999999998E-2</v>
      </c>
      <c r="E66" s="1061">
        <v>9.6000000000000002E-2</v>
      </c>
      <c r="F66" s="1073"/>
    </row>
    <row r="67" spans="1:6" ht="14.25" thickBot="1">
      <c r="A67" s="837" t="s">
        <v>113</v>
      </c>
      <c r="B67" s="831" t="s">
        <v>351</v>
      </c>
      <c r="C67" s="1061">
        <v>9.4E-2</v>
      </c>
      <c r="D67" s="1061">
        <v>0.1</v>
      </c>
      <c r="E67" s="1061">
        <v>8.7999999999999995E-2</v>
      </c>
      <c r="F67" s="1073"/>
    </row>
    <row r="68" spans="1:6" ht="14.25" thickBot="1">
      <c r="A68" s="837" t="s">
        <v>113</v>
      </c>
      <c r="B68" s="831" t="s">
        <v>360</v>
      </c>
      <c r="C68" s="1061">
        <v>0.1</v>
      </c>
      <c r="D68" s="1061">
        <v>8.7999999999999995E-2</v>
      </c>
      <c r="E68" s="1061">
        <v>9.7000000000000003E-2</v>
      </c>
      <c r="F68" s="1073"/>
    </row>
    <row r="69" spans="1:6" ht="14.25" thickBot="1">
      <c r="A69" s="837" t="s">
        <v>113</v>
      </c>
      <c r="B69" s="831" t="s">
        <v>369</v>
      </c>
      <c r="C69" s="1061">
        <v>6.4000000000000001E-2</v>
      </c>
      <c r="D69" s="1061">
        <v>0.1</v>
      </c>
      <c r="E69" s="1061">
        <v>0.1</v>
      </c>
      <c r="F69" s="1073"/>
    </row>
    <row r="70" spans="1:6" ht="14.25" thickBot="1">
      <c r="A70" s="837" t="s">
        <v>113</v>
      </c>
      <c r="B70" s="831" t="s">
        <v>377</v>
      </c>
      <c r="C70" s="1061">
        <v>9.0999999999999998E-2</v>
      </c>
      <c r="D70" s="1074"/>
      <c r="E70" s="1074"/>
      <c r="F70" s="1073"/>
    </row>
    <row r="71" spans="1:6" ht="14.25" thickBot="1">
      <c r="A71" s="837" t="s">
        <v>113</v>
      </c>
      <c r="B71" s="831" t="s">
        <v>384</v>
      </c>
      <c r="C71" s="1061">
        <v>0.1</v>
      </c>
      <c r="D71" s="1074"/>
      <c r="E71" s="1074"/>
      <c r="F71" s="1073"/>
    </row>
    <row r="72" spans="1:6" ht="14.25" thickBot="1">
      <c r="A72" s="837" t="s">
        <v>113</v>
      </c>
      <c r="B72" s="831" t="s">
        <v>857</v>
      </c>
      <c r="C72" s="1074"/>
      <c r="D72" s="1074"/>
      <c r="E72" s="1074"/>
      <c r="F72" s="1062">
        <v>0.05</v>
      </c>
    </row>
    <row r="73" spans="1:6" ht="14.25" thickBot="1">
      <c r="A73" s="837" t="s">
        <v>113</v>
      </c>
      <c r="B73" s="831" t="s">
        <v>858</v>
      </c>
      <c r="C73" s="1074"/>
      <c r="D73" s="1074"/>
      <c r="E73" s="1074"/>
      <c r="F73" s="1062">
        <v>0.05</v>
      </c>
    </row>
    <row r="74" spans="1:6" ht="14.25" thickBot="1">
      <c r="A74" s="837" t="s">
        <v>113</v>
      </c>
      <c r="B74" s="831" t="s">
        <v>859</v>
      </c>
      <c r="C74" s="1074"/>
      <c r="D74" s="1074"/>
      <c r="E74" s="1074"/>
      <c r="F74" s="1062">
        <v>0.05</v>
      </c>
    </row>
    <row r="75" spans="1:6" ht="14.25" thickBot="1">
      <c r="A75" s="847" t="s">
        <v>113</v>
      </c>
      <c r="B75" s="843" t="s">
        <v>860</v>
      </c>
      <c r="C75" s="1071"/>
      <c r="D75" s="1071"/>
      <c r="E75" s="1071"/>
      <c r="F75" s="1064">
        <v>0.05</v>
      </c>
    </row>
    <row r="76" spans="1:6" ht="14.25" thickBot="1">
      <c r="A76" s="837" t="s">
        <v>499</v>
      </c>
      <c r="B76" s="838" t="s">
        <v>861</v>
      </c>
      <c r="C76" s="1059">
        <v>0.1</v>
      </c>
      <c r="D76" s="1059">
        <v>0.1</v>
      </c>
      <c r="E76" s="1059">
        <v>0.1</v>
      </c>
      <c r="F76" s="1060">
        <v>0.1</v>
      </c>
    </row>
    <row r="77" spans="1:6" ht="14.25" thickBot="1">
      <c r="A77" s="837" t="s">
        <v>499</v>
      </c>
      <c r="B77" s="831" t="s">
        <v>167</v>
      </c>
      <c r="C77" s="1061">
        <v>8.7999999999999995E-2</v>
      </c>
      <c r="D77" s="1061">
        <v>8.6999999999999994E-2</v>
      </c>
      <c r="E77" s="1061">
        <v>7.9000000000000001E-2</v>
      </c>
      <c r="F77" s="1062">
        <v>0.1</v>
      </c>
    </row>
    <row r="78" spans="1:6" ht="14.25" thickBot="1">
      <c r="A78" s="837" t="s">
        <v>499</v>
      </c>
      <c r="B78" s="831" t="s">
        <v>180</v>
      </c>
      <c r="C78" s="1061">
        <v>8.6999999999999994E-2</v>
      </c>
      <c r="D78" s="1061">
        <v>8.4000000000000005E-2</v>
      </c>
      <c r="E78" s="1061">
        <v>9.6000000000000002E-2</v>
      </c>
      <c r="F78" s="1062">
        <v>0.1</v>
      </c>
    </row>
    <row r="79" spans="1:6" ht="14.25" thickBot="1">
      <c r="A79" s="837" t="s">
        <v>499</v>
      </c>
      <c r="B79" s="831" t="s">
        <v>193</v>
      </c>
      <c r="C79" s="1061">
        <v>9.8000000000000004E-2</v>
      </c>
      <c r="D79" s="1061">
        <v>9.8000000000000004E-2</v>
      </c>
      <c r="E79" s="1061">
        <v>9.0999999999999998E-2</v>
      </c>
      <c r="F79" s="1062">
        <v>0.1</v>
      </c>
    </row>
    <row r="80" spans="1:6" ht="14.25" thickBot="1">
      <c r="A80" s="837" t="s">
        <v>499</v>
      </c>
      <c r="B80" s="831" t="s">
        <v>205</v>
      </c>
      <c r="C80" s="1061">
        <v>9.6000000000000002E-2</v>
      </c>
      <c r="D80" s="1061">
        <v>9.6000000000000002E-2</v>
      </c>
      <c r="E80" s="1061">
        <v>0.1</v>
      </c>
      <c r="F80" s="1062">
        <v>0.1</v>
      </c>
    </row>
    <row r="81" spans="1:6" ht="14.25" thickBot="1">
      <c r="A81" s="837" t="s">
        <v>499</v>
      </c>
      <c r="B81" s="831" t="s">
        <v>216</v>
      </c>
      <c r="C81" s="1061">
        <v>9.9000000000000005E-2</v>
      </c>
      <c r="D81" s="1061">
        <v>9.9000000000000005E-2</v>
      </c>
      <c r="E81" s="1061">
        <v>9.8000000000000004E-2</v>
      </c>
      <c r="F81" s="1062">
        <v>0.1</v>
      </c>
    </row>
    <row r="82" spans="1:6" ht="14.25" thickBot="1">
      <c r="A82" s="837" t="s">
        <v>499</v>
      </c>
      <c r="B82" s="831" t="s">
        <v>227</v>
      </c>
      <c r="C82" s="1061">
        <v>9.9000000000000005E-2</v>
      </c>
      <c r="D82" s="1061">
        <v>9.9000000000000005E-2</v>
      </c>
      <c r="E82" s="1061">
        <v>9.7000000000000003E-2</v>
      </c>
      <c r="F82" s="1062">
        <v>0.1</v>
      </c>
    </row>
    <row r="83" spans="1:6" ht="14.25" thickBot="1">
      <c r="A83" s="837" t="s">
        <v>499</v>
      </c>
      <c r="B83" s="831" t="s">
        <v>238</v>
      </c>
      <c r="C83" s="1061">
        <v>9.8000000000000004E-2</v>
      </c>
      <c r="D83" s="1061">
        <v>9.8000000000000004E-2</v>
      </c>
      <c r="E83" s="1061">
        <v>9.8000000000000004E-2</v>
      </c>
      <c r="F83" s="1062">
        <v>0.1</v>
      </c>
    </row>
    <row r="84" spans="1:6" ht="14.25" thickBot="1">
      <c r="A84" s="837" t="s">
        <v>499</v>
      </c>
      <c r="B84" s="831" t="s">
        <v>250</v>
      </c>
      <c r="C84" s="1061">
        <v>9.9000000000000005E-2</v>
      </c>
      <c r="D84" s="1061">
        <v>9.9000000000000005E-2</v>
      </c>
      <c r="E84" s="1061">
        <v>9.9000000000000005E-2</v>
      </c>
      <c r="F84" s="1062">
        <v>0.1</v>
      </c>
    </row>
    <row r="85" spans="1:6" ht="14.25" thickBot="1">
      <c r="A85" s="837" t="s">
        <v>499</v>
      </c>
      <c r="B85" s="831" t="s">
        <v>260</v>
      </c>
      <c r="C85" s="1061">
        <v>9.9000000000000005E-2</v>
      </c>
      <c r="D85" s="1061">
        <v>9.9000000000000005E-2</v>
      </c>
      <c r="E85" s="1061">
        <v>9.9000000000000005E-2</v>
      </c>
      <c r="F85" s="1062">
        <v>0.1</v>
      </c>
    </row>
    <row r="86" spans="1:6" ht="14.25" thickBot="1">
      <c r="A86" s="837" t="s">
        <v>499</v>
      </c>
      <c r="B86" s="831" t="s">
        <v>270</v>
      </c>
      <c r="C86" s="1061">
        <v>0.1</v>
      </c>
      <c r="D86" s="1061">
        <v>0.1</v>
      </c>
      <c r="E86" s="1061">
        <v>7.6999999999999999E-2</v>
      </c>
      <c r="F86" s="1062">
        <v>0.1</v>
      </c>
    </row>
    <row r="87" spans="1:6" ht="14.25" thickBot="1">
      <c r="A87" s="837" t="s">
        <v>499</v>
      </c>
      <c r="B87" s="831" t="s">
        <v>280</v>
      </c>
      <c r="C87" s="1061">
        <v>0.1</v>
      </c>
      <c r="D87" s="1061">
        <v>0.1</v>
      </c>
      <c r="E87" s="1061">
        <v>9.8000000000000004E-2</v>
      </c>
      <c r="F87" s="1073"/>
    </row>
    <row r="88" spans="1:6" ht="14.25" thickBot="1">
      <c r="A88" s="837" t="s">
        <v>499</v>
      </c>
      <c r="B88" s="831" t="s">
        <v>290</v>
      </c>
      <c r="C88" s="1061">
        <v>9.1999999999999998E-2</v>
      </c>
      <c r="D88" s="1061">
        <v>8.5000000000000006E-2</v>
      </c>
      <c r="E88" s="1061">
        <v>9.6000000000000002E-2</v>
      </c>
      <c r="F88" s="1073"/>
    </row>
    <row r="89" spans="1:6" ht="14.25" thickBot="1">
      <c r="A89" s="837" t="s">
        <v>499</v>
      </c>
      <c r="B89" s="831" t="s">
        <v>301</v>
      </c>
      <c r="C89" s="1061">
        <v>0.1</v>
      </c>
      <c r="D89" s="1061">
        <v>0.1</v>
      </c>
      <c r="E89" s="1061">
        <v>9.7000000000000003E-2</v>
      </c>
      <c r="F89" s="1073"/>
    </row>
    <row r="90" spans="1:6" ht="14.25" thickBot="1">
      <c r="A90" s="837" t="s">
        <v>499</v>
      </c>
      <c r="B90" s="831" t="s">
        <v>312</v>
      </c>
      <c r="C90" s="1061">
        <v>9.8000000000000004E-2</v>
      </c>
      <c r="D90" s="1061">
        <v>9.8000000000000004E-2</v>
      </c>
      <c r="E90" s="1061">
        <v>8.7999999999999995E-2</v>
      </c>
      <c r="F90" s="1073"/>
    </row>
    <row r="91" spans="1:6" ht="14.25" thickBot="1">
      <c r="A91" s="837" t="s">
        <v>499</v>
      </c>
      <c r="B91" s="831" t="s">
        <v>322</v>
      </c>
      <c r="C91" s="1061">
        <v>9.9000000000000005E-2</v>
      </c>
      <c r="D91" s="1061">
        <v>9.9000000000000005E-2</v>
      </c>
      <c r="E91" s="1061">
        <v>9.0999999999999998E-2</v>
      </c>
      <c r="F91" s="1073"/>
    </row>
    <row r="92" spans="1:6" ht="14.25" thickBot="1">
      <c r="A92" s="837" t="s">
        <v>499</v>
      </c>
      <c r="B92" s="831" t="s">
        <v>332</v>
      </c>
      <c r="C92" s="1061">
        <v>9.6000000000000002E-2</v>
      </c>
      <c r="D92" s="1061">
        <v>9.6000000000000002E-2</v>
      </c>
      <c r="E92" s="1061">
        <v>7.2999999999999995E-2</v>
      </c>
      <c r="F92" s="1073"/>
    </row>
    <row r="93" spans="1:6" ht="14.25" thickBot="1">
      <c r="A93" s="837" t="s">
        <v>499</v>
      </c>
      <c r="B93" s="831" t="s">
        <v>342</v>
      </c>
      <c r="C93" s="1061">
        <v>9.6000000000000002E-2</v>
      </c>
      <c r="D93" s="1061">
        <v>9.6000000000000002E-2</v>
      </c>
      <c r="E93" s="1061">
        <v>9.9000000000000005E-2</v>
      </c>
      <c r="F93" s="1073"/>
    </row>
    <row r="94" spans="1:6" ht="14.25" thickBot="1">
      <c r="A94" s="837" t="s">
        <v>499</v>
      </c>
      <c r="B94" s="831" t="s">
        <v>352</v>
      </c>
      <c r="C94" s="1061">
        <v>7.5999999999999998E-2</v>
      </c>
      <c r="D94" s="1061">
        <v>7.3999999999999996E-2</v>
      </c>
      <c r="E94" s="1061">
        <v>9.7000000000000003E-2</v>
      </c>
      <c r="F94" s="1073"/>
    </row>
    <row r="95" spans="1:6" ht="14.25" thickBot="1">
      <c r="A95" s="837" t="s">
        <v>499</v>
      </c>
      <c r="B95" s="831" t="s">
        <v>361</v>
      </c>
      <c r="C95" s="1061">
        <v>9.9000000000000005E-2</v>
      </c>
      <c r="D95" s="1061">
        <v>9.4E-2</v>
      </c>
      <c r="E95" s="1061">
        <v>9.6000000000000002E-2</v>
      </c>
      <c r="F95" s="1073"/>
    </row>
    <row r="96" spans="1:6" ht="14.25" thickBot="1">
      <c r="A96" s="837" t="s">
        <v>499</v>
      </c>
      <c r="B96" s="831" t="s">
        <v>370</v>
      </c>
      <c r="C96" s="1061">
        <v>9.9000000000000005E-2</v>
      </c>
      <c r="D96" s="1061">
        <v>9.9000000000000005E-2</v>
      </c>
      <c r="E96" s="1061">
        <v>9.9000000000000005E-2</v>
      </c>
      <c r="F96" s="1073"/>
    </row>
    <row r="97" spans="1:6" ht="14.25" thickBot="1">
      <c r="A97" s="837" t="s">
        <v>499</v>
      </c>
      <c r="B97" s="831" t="s">
        <v>378</v>
      </c>
      <c r="C97" s="1061">
        <v>9.8000000000000004E-2</v>
      </c>
      <c r="D97" s="1061">
        <v>9.8000000000000004E-2</v>
      </c>
      <c r="E97" s="1061">
        <v>9.7000000000000003E-2</v>
      </c>
      <c r="F97" s="1073"/>
    </row>
    <row r="98" spans="1:6" ht="14.25" thickBot="1">
      <c r="A98" s="837" t="s">
        <v>499</v>
      </c>
      <c r="B98" s="831" t="s">
        <v>385</v>
      </c>
      <c r="C98" s="1061">
        <v>0.1</v>
      </c>
      <c r="D98" s="1061">
        <v>0.1</v>
      </c>
      <c r="E98" s="1061">
        <v>9.7000000000000003E-2</v>
      </c>
      <c r="F98" s="1073"/>
    </row>
    <row r="99" spans="1:6" ht="14.25" thickBot="1">
      <c r="A99" s="837" t="s">
        <v>499</v>
      </c>
      <c r="B99" s="831" t="s">
        <v>392</v>
      </c>
      <c r="C99" s="1061">
        <v>0.1</v>
      </c>
      <c r="D99" s="1061">
        <v>0.1</v>
      </c>
      <c r="E99" s="1074"/>
      <c r="F99" s="1073"/>
    </row>
    <row r="100" spans="1:6" ht="14.25" thickBot="1">
      <c r="A100" s="837" t="s">
        <v>499</v>
      </c>
      <c r="B100" s="831" t="s">
        <v>399</v>
      </c>
      <c r="C100" s="1061">
        <v>0.09</v>
      </c>
      <c r="D100" s="1061">
        <v>8.8999999999999996E-2</v>
      </c>
      <c r="E100" s="1074"/>
      <c r="F100" s="1073"/>
    </row>
    <row r="101" spans="1:6" ht="14.25" thickBot="1">
      <c r="A101" s="837" t="s">
        <v>499</v>
      </c>
      <c r="B101" s="831" t="s">
        <v>406</v>
      </c>
      <c r="C101" s="1061">
        <v>9.8000000000000004E-2</v>
      </c>
      <c r="D101" s="1061">
        <v>9.7000000000000003E-2</v>
      </c>
      <c r="E101" s="1074"/>
      <c r="F101" s="1073"/>
    </row>
    <row r="102" spans="1:6" ht="14.25" thickBot="1">
      <c r="A102" s="837" t="s">
        <v>499</v>
      </c>
      <c r="B102" s="831" t="s">
        <v>862</v>
      </c>
      <c r="C102" s="1074"/>
      <c r="D102" s="1074"/>
      <c r="E102" s="1074"/>
      <c r="F102" s="1062">
        <v>0.05</v>
      </c>
    </row>
    <row r="103" spans="1:6" ht="24.75" thickBot="1">
      <c r="A103" s="837" t="s">
        <v>499</v>
      </c>
      <c r="B103" s="831" t="s">
        <v>863</v>
      </c>
      <c r="C103" s="1074"/>
      <c r="D103" s="1074"/>
      <c r="E103" s="1074"/>
      <c r="F103" s="1062">
        <v>0.05</v>
      </c>
    </row>
    <row r="104" spans="1:6" ht="14.25" thickBot="1">
      <c r="A104" s="837" t="s">
        <v>499</v>
      </c>
      <c r="B104" s="831" t="s">
        <v>864</v>
      </c>
      <c r="C104" s="1074"/>
      <c r="D104" s="1074"/>
      <c r="E104" s="1074"/>
      <c r="F104" s="1062">
        <v>0.05</v>
      </c>
    </row>
    <row r="105" spans="1:6" ht="14.25" thickBot="1">
      <c r="A105" s="837" t="s">
        <v>499</v>
      </c>
      <c r="B105" s="831" t="s">
        <v>865</v>
      </c>
      <c r="C105" s="1074"/>
      <c r="D105" s="1074"/>
      <c r="E105" s="1074"/>
      <c r="F105" s="1062">
        <v>0.05</v>
      </c>
    </row>
    <row r="106" spans="1:6" ht="14.25" thickBot="1">
      <c r="A106" s="837" t="s">
        <v>499</v>
      </c>
      <c r="B106" s="831" t="s">
        <v>866</v>
      </c>
      <c r="C106" s="1074"/>
      <c r="D106" s="1074"/>
      <c r="E106" s="1074"/>
      <c r="F106" s="1062">
        <v>0.05</v>
      </c>
    </row>
    <row r="107" spans="1:6" ht="24.75" thickBot="1">
      <c r="A107" s="837" t="s">
        <v>499</v>
      </c>
      <c r="B107" s="831" t="s">
        <v>867</v>
      </c>
      <c r="C107" s="1074"/>
      <c r="D107" s="1074"/>
      <c r="E107" s="1074"/>
      <c r="F107" s="1062">
        <v>0.05</v>
      </c>
    </row>
    <row r="108" spans="1:6" ht="24.75" thickBot="1">
      <c r="A108" s="837" t="s">
        <v>499</v>
      </c>
      <c r="B108" s="831" t="s">
        <v>868</v>
      </c>
      <c r="C108" s="1074"/>
      <c r="D108" s="1074"/>
      <c r="E108" s="1074"/>
      <c r="F108" s="1062">
        <v>0.05</v>
      </c>
    </row>
    <row r="109" spans="1:6" ht="24.75" thickBot="1">
      <c r="A109" s="847" t="s">
        <v>499</v>
      </c>
      <c r="B109" s="843" t="s">
        <v>869</v>
      </c>
      <c r="C109" s="1071"/>
      <c r="D109" s="1071"/>
      <c r="E109" s="1071"/>
      <c r="F109" s="1064">
        <v>0.05</v>
      </c>
    </row>
    <row r="110" spans="1:6" ht="14.25" thickBot="1">
      <c r="A110" s="837" t="s">
        <v>32</v>
      </c>
      <c r="B110" s="838" t="s">
        <v>870</v>
      </c>
      <c r="C110" s="1059">
        <v>0.129</v>
      </c>
      <c r="D110" s="1059">
        <v>0.129</v>
      </c>
      <c r="E110" s="1059">
        <v>0.126</v>
      </c>
      <c r="F110" s="1060">
        <v>0.13</v>
      </c>
    </row>
    <row r="111" spans="1:6" ht="14.25" thickBot="1">
      <c r="A111" s="837" t="s">
        <v>32</v>
      </c>
      <c r="B111" s="831" t="s">
        <v>168</v>
      </c>
      <c r="C111" s="1061">
        <v>0.11</v>
      </c>
      <c r="D111" s="1061">
        <v>0.11</v>
      </c>
      <c r="E111" s="1061">
        <v>9.9000000000000005E-2</v>
      </c>
      <c r="F111" s="1062">
        <v>0.128</v>
      </c>
    </row>
    <row r="112" spans="1:6" ht="14.25" thickBot="1">
      <c r="A112" s="837" t="s">
        <v>32</v>
      </c>
      <c r="B112" s="831" t="s">
        <v>181</v>
      </c>
      <c r="C112" s="1061">
        <v>0.125</v>
      </c>
      <c r="D112" s="1061">
        <v>0.125</v>
      </c>
      <c r="E112" s="1061">
        <v>0.12</v>
      </c>
      <c r="F112" s="1062">
        <v>0.125</v>
      </c>
    </row>
    <row r="113" spans="1:6" ht="14.25" thickBot="1">
      <c r="A113" s="837" t="s">
        <v>32</v>
      </c>
      <c r="B113" s="831" t="s">
        <v>194</v>
      </c>
      <c r="C113" s="1061">
        <v>0.13</v>
      </c>
      <c r="D113" s="1061">
        <v>0.13</v>
      </c>
      <c r="E113" s="1061">
        <v>0.13</v>
      </c>
      <c r="F113" s="1062">
        <v>0.13</v>
      </c>
    </row>
    <row r="114" spans="1:6" ht="14.25" thickBot="1">
      <c r="A114" s="837" t="s">
        <v>32</v>
      </c>
      <c r="B114" s="831" t="s">
        <v>206</v>
      </c>
      <c r="C114" s="1061">
        <v>0.123</v>
      </c>
      <c r="D114" s="1061">
        <v>0.123</v>
      </c>
      <c r="E114" s="1061">
        <v>0.12</v>
      </c>
      <c r="F114" s="1062">
        <v>0.13</v>
      </c>
    </row>
    <row r="115" spans="1:6" ht="14.25" thickBot="1">
      <c r="A115" s="837" t="s">
        <v>32</v>
      </c>
      <c r="B115" s="831" t="s">
        <v>217</v>
      </c>
      <c r="C115" s="1061">
        <v>0.125</v>
      </c>
      <c r="D115" s="1061">
        <v>0.125</v>
      </c>
      <c r="E115" s="1061">
        <v>0.11700000000000001</v>
      </c>
      <c r="F115" s="1062">
        <v>0.13</v>
      </c>
    </row>
    <row r="116" spans="1:6" ht="14.25" thickBot="1">
      <c r="A116" s="837" t="s">
        <v>32</v>
      </c>
      <c r="B116" s="831" t="s">
        <v>228</v>
      </c>
      <c r="C116" s="1061">
        <v>0.11700000000000001</v>
      </c>
      <c r="D116" s="1061">
        <v>0.11700000000000001</v>
      </c>
      <c r="E116" s="1061">
        <v>8.7999999999999995E-2</v>
      </c>
      <c r="F116" s="1062">
        <v>0.13</v>
      </c>
    </row>
    <row r="117" spans="1:6" ht="14.25" thickBot="1">
      <c r="A117" s="837" t="s">
        <v>32</v>
      </c>
      <c r="B117" s="831" t="s">
        <v>239</v>
      </c>
      <c r="C117" s="1061">
        <v>0.13</v>
      </c>
      <c r="D117" s="1061">
        <v>0.13</v>
      </c>
      <c r="E117" s="1061">
        <v>0.129</v>
      </c>
      <c r="F117" s="1062">
        <v>0.13</v>
      </c>
    </row>
    <row r="118" spans="1:6" ht="14.25" thickBot="1">
      <c r="A118" s="837" t="s">
        <v>32</v>
      </c>
      <c r="B118" s="831" t="s">
        <v>251</v>
      </c>
      <c r="C118" s="1061">
        <v>0.123</v>
      </c>
      <c r="D118" s="1061">
        <v>0.123</v>
      </c>
      <c r="E118" s="1061">
        <v>0.11600000000000001</v>
      </c>
      <c r="F118" s="1062">
        <v>0.13</v>
      </c>
    </row>
    <row r="119" spans="1:6" ht="14.25" thickBot="1">
      <c r="A119" s="837" t="s">
        <v>32</v>
      </c>
      <c r="B119" s="831" t="s">
        <v>261</v>
      </c>
      <c r="C119" s="1061">
        <v>0.127</v>
      </c>
      <c r="D119" s="1061">
        <v>0.127</v>
      </c>
      <c r="E119" s="1061">
        <v>0.124</v>
      </c>
      <c r="F119" s="1062">
        <v>0.13</v>
      </c>
    </row>
    <row r="120" spans="1:6" ht="14.25" thickBot="1">
      <c r="A120" s="837" t="s">
        <v>32</v>
      </c>
      <c r="B120" s="831" t="s">
        <v>271</v>
      </c>
      <c r="C120" s="1061">
        <v>0.125</v>
      </c>
      <c r="D120" s="1061">
        <v>0.125</v>
      </c>
      <c r="E120" s="1061">
        <v>0.122</v>
      </c>
      <c r="F120" s="1062">
        <v>0.13</v>
      </c>
    </row>
    <row r="121" spans="1:6" ht="14.25" thickBot="1">
      <c r="A121" s="837" t="s">
        <v>32</v>
      </c>
      <c r="B121" s="831" t="s">
        <v>281</v>
      </c>
      <c r="C121" s="1061">
        <v>0.13</v>
      </c>
      <c r="D121" s="1061">
        <v>0.13</v>
      </c>
      <c r="E121" s="1061">
        <v>0.13</v>
      </c>
      <c r="F121" s="1062">
        <v>0.13</v>
      </c>
    </row>
    <row r="122" spans="1:6" ht="14.25" thickBot="1">
      <c r="A122" s="837" t="s">
        <v>32</v>
      </c>
      <c r="B122" s="831" t="s">
        <v>291</v>
      </c>
      <c r="C122" s="1061">
        <v>0.13</v>
      </c>
      <c r="D122" s="1061">
        <v>0.13</v>
      </c>
      <c r="E122" s="1061">
        <v>0.125</v>
      </c>
      <c r="F122" s="1062">
        <v>0.13</v>
      </c>
    </row>
    <row r="123" spans="1:6" ht="14.25" thickBot="1">
      <c r="A123" s="837" t="s">
        <v>32</v>
      </c>
      <c r="B123" s="831" t="s">
        <v>302</v>
      </c>
      <c r="C123" s="1061">
        <v>0.129</v>
      </c>
      <c r="D123" s="1061">
        <v>0.129</v>
      </c>
      <c r="E123" s="1061">
        <v>0.123</v>
      </c>
      <c r="F123" s="1062">
        <v>0.13</v>
      </c>
    </row>
    <row r="124" spans="1:6" ht="14.25" thickBot="1">
      <c r="A124" s="837" t="s">
        <v>32</v>
      </c>
      <c r="B124" s="831" t="s">
        <v>313</v>
      </c>
      <c r="C124" s="1061">
        <v>0.10199999999999999</v>
      </c>
      <c r="D124" s="1061">
        <v>0.10100000000000001</v>
      </c>
      <c r="E124" s="1061">
        <v>0.08</v>
      </c>
      <c r="F124" s="1073"/>
    </row>
    <row r="125" spans="1:6" ht="14.25" thickBot="1">
      <c r="A125" s="837" t="s">
        <v>32</v>
      </c>
      <c r="B125" s="831" t="s">
        <v>323</v>
      </c>
      <c r="C125" s="1061">
        <v>0.13</v>
      </c>
      <c r="D125" s="1061">
        <v>0.13</v>
      </c>
      <c r="E125" s="1061">
        <v>0.129</v>
      </c>
      <c r="F125" s="1073"/>
    </row>
    <row r="126" spans="1:6" ht="14.25" thickBot="1">
      <c r="A126" s="837" t="s">
        <v>32</v>
      </c>
      <c r="B126" s="831" t="s">
        <v>333</v>
      </c>
      <c r="C126" s="1061">
        <v>0.13</v>
      </c>
      <c r="D126" s="1061">
        <v>0.13</v>
      </c>
      <c r="E126" s="1061">
        <v>0.126</v>
      </c>
      <c r="F126" s="1073"/>
    </row>
    <row r="127" spans="1:6" ht="14.25" thickBot="1">
      <c r="A127" s="837" t="s">
        <v>32</v>
      </c>
      <c r="B127" s="831" t="s">
        <v>343</v>
      </c>
      <c r="C127" s="1061">
        <v>0.125</v>
      </c>
      <c r="D127" s="1061">
        <v>0.125</v>
      </c>
      <c r="E127" s="1061">
        <v>0.121</v>
      </c>
      <c r="F127" s="1073"/>
    </row>
    <row r="128" spans="1:6" ht="14.25" thickBot="1">
      <c r="A128" s="837" t="s">
        <v>32</v>
      </c>
      <c r="B128" s="831" t="s">
        <v>353</v>
      </c>
      <c r="C128" s="1061">
        <v>0.12</v>
      </c>
      <c r="D128" s="1061">
        <v>0.12</v>
      </c>
      <c r="E128" s="1061">
        <v>0.105</v>
      </c>
      <c r="F128" s="1073"/>
    </row>
    <row r="129" spans="1:6" ht="14.25" thickBot="1">
      <c r="A129" s="837" t="s">
        <v>32</v>
      </c>
      <c r="B129" s="831" t="s">
        <v>362</v>
      </c>
      <c r="C129" s="1061">
        <v>0.13</v>
      </c>
      <c r="D129" s="1061">
        <v>0.13</v>
      </c>
      <c r="E129" s="1061">
        <v>0.126</v>
      </c>
      <c r="F129" s="1073"/>
    </row>
    <row r="130" spans="1:6" ht="14.25" thickBot="1">
      <c r="A130" s="837" t="s">
        <v>32</v>
      </c>
      <c r="B130" s="831" t="s">
        <v>371</v>
      </c>
      <c r="C130" s="1061">
        <v>0.125</v>
      </c>
      <c r="D130" s="1061">
        <v>0.125</v>
      </c>
      <c r="E130" s="1061">
        <v>0.122</v>
      </c>
      <c r="F130" s="1073"/>
    </row>
    <row r="131" spans="1:6" ht="14.25" thickBot="1">
      <c r="A131" s="837" t="s">
        <v>32</v>
      </c>
      <c r="B131" s="831" t="s">
        <v>379</v>
      </c>
      <c r="C131" s="1061">
        <v>0.127</v>
      </c>
      <c r="D131" s="1061">
        <v>0.126</v>
      </c>
      <c r="E131" s="1061">
        <v>0.123</v>
      </c>
      <c r="F131" s="1073"/>
    </row>
    <row r="132" spans="1:6" ht="14.25" thickBot="1">
      <c r="A132" s="837" t="s">
        <v>32</v>
      </c>
      <c r="B132" s="831" t="s">
        <v>386</v>
      </c>
      <c r="C132" s="1061">
        <v>9.0999999999999998E-2</v>
      </c>
      <c r="D132" s="1061">
        <v>0.121</v>
      </c>
      <c r="E132" s="1061">
        <v>9.9000000000000005E-2</v>
      </c>
      <c r="F132" s="1073"/>
    </row>
    <row r="133" spans="1:6" ht="14.25" thickBot="1">
      <c r="A133" s="837" t="s">
        <v>32</v>
      </c>
      <c r="B133" s="831" t="s">
        <v>393</v>
      </c>
      <c r="C133" s="1061">
        <v>0.13</v>
      </c>
      <c r="D133" s="1061">
        <v>0.13</v>
      </c>
      <c r="E133" s="1061">
        <v>0.129</v>
      </c>
      <c r="F133" s="1073"/>
    </row>
    <row r="134" spans="1:6" ht="14.25" thickBot="1">
      <c r="A134" s="837" t="s">
        <v>32</v>
      </c>
      <c r="B134" s="831" t="s">
        <v>871</v>
      </c>
      <c r="C134" s="1061">
        <v>6.8000000000000005E-2</v>
      </c>
      <c r="D134" s="1061">
        <v>6.5000000000000002E-2</v>
      </c>
      <c r="E134" s="1061">
        <v>6.5000000000000002E-2</v>
      </c>
      <c r="F134" s="1062">
        <v>0.13</v>
      </c>
    </row>
    <row r="135" spans="1:6" ht="14.25" thickBot="1">
      <c r="A135" s="837" t="s">
        <v>32</v>
      </c>
      <c r="B135" s="831" t="s">
        <v>407</v>
      </c>
      <c r="C135" s="1061">
        <v>0.123</v>
      </c>
      <c r="D135" s="1061">
        <v>0.123</v>
      </c>
      <c r="E135" s="1061">
        <v>0.11</v>
      </c>
      <c r="F135" s="1073"/>
    </row>
    <row r="136" spans="1:6" ht="14.25" thickBot="1">
      <c r="A136" s="837" t="s">
        <v>32</v>
      </c>
      <c r="B136" s="831" t="s">
        <v>414</v>
      </c>
      <c r="C136" s="1061">
        <v>0.13</v>
      </c>
      <c r="D136" s="1061">
        <v>0.13</v>
      </c>
      <c r="E136" s="1061">
        <v>0.125</v>
      </c>
      <c r="F136" s="1073"/>
    </row>
    <row r="137" spans="1:6" ht="14.25" thickBot="1">
      <c r="A137" s="837" t="s">
        <v>32</v>
      </c>
      <c r="B137" s="831" t="s">
        <v>421</v>
      </c>
      <c r="C137" s="1061">
        <v>0.121</v>
      </c>
      <c r="D137" s="1061">
        <v>0.122</v>
      </c>
      <c r="E137" s="1061">
        <v>0.115</v>
      </c>
      <c r="F137" s="1073"/>
    </row>
    <row r="138" spans="1:6" ht="14.25" thickBot="1">
      <c r="A138" s="837" t="s">
        <v>32</v>
      </c>
      <c r="B138" s="831" t="s">
        <v>872</v>
      </c>
      <c r="C138" s="1061">
        <v>0.105</v>
      </c>
      <c r="D138" s="1061">
        <v>0.125</v>
      </c>
      <c r="E138" s="1061">
        <v>0.112</v>
      </c>
      <c r="F138" s="1073"/>
    </row>
    <row r="139" spans="1:6" ht="14.25" thickBot="1">
      <c r="A139" s="837" t="s">
        <v>32</v>
      </c>
      <c r="B139" s="831" t="s">
        <v>873</v>
      </c>
      <c r="C139" s="1061">
        <v>0.127</v>
      </c>
      <c r="D139" s="1061">
        <v>0.127</v>
      </c>
      <c r="E139" s="1061">
        <v>0.122</v>
      </c>
      <c r="F139" s="1062">
        <v>0.13</v>
      </c>
    </row>
    <row r="140" spans="1:6" ht="14.25" thickBot="1">
      <c r="A140" s="837" t="s">
        <v>32</v>
      </c>
      <c r="B140" s="831" t="s">
        <v>874</v>
      </c>
      <c r="C140" s="1061">
        <v>0.125</v>
      </c>
      <c r="D140" s="1061">
        <v>0.125</v>
      </c>
      <c r="E140" s="1061">
        <v>0.11899999999999999</v>
      </c>
      <c r="F140" s="1062">
        <v>0.13</v>
      </c>
    </row>
    <row r="141" spans="1:6" ht="14.25" thickBot="1">
      <c r="A141" s="837" t="s">
        <v>32</v>
      </c>
      <c r="B141" s="831" t="s">
        <v>440</v>
      </c>
      <c r="C141" s="1061">
        <v>0.125</v>
      </c>
      <c r="D141" s="1061">
        <v>0.125</v>
      </c>
      <c r="E141" s="1061">
        <v>0.11700000000000001</v>
      </c>
      <c r="F141" s="1073"/>
    </row>
    <row r="142" spans="1:6" ht="14.25" thickBot="1">
      <c r="A142" s="837" t="s">
        <v>32</v>
      </c>
      <c r="B142" s="831" t="s">
        <v>445</v>
      </c>
      <c r="C142" s="1061">
        <v>0.125</v>
      </c>
      <c r="D142" s="1061">
        <v>0.125</v>
      </c>
      <c r="E142" s="1061">
        <v>0.115</v>
      </c>
      <c r="F142" s="1073"/>
    </row>
    <row r="143" spans="1:6" ht="14.25" thickBot="1">
      <c r="A143" s="837" t="s">
        <v>32</v>
      </c>
      <c r="B143" s="831" t="s">
        <v>450</v>
      </c>
      <c r="C143" s="1061">
        <v>0.121</v>
      </c>
      <c r="D143" s="1061">
        <v>0.121</v>
      </c>
      <c r="E143" s="1061">
        <v>0.108</v>
      </c>
      <c r="F143" s="1073"/>
    </row>
    <row r="144" spans="1:6" ht="14.25" thickBot="1">
      <c r="A144" s="837" t="s">
        <v>32</v>
      </c>
      <c r="B144" s="1065" t="s">
        <v>875</v>
      </c>
      <c r="C144" s="1066">
        <v>0.126</v>
      </c>
      <c r="D144" s="1066">
        <v>0.126</v>
      </c>
      <c r="E144" s="1066">
        <v>0.121</v>
      </c>
      <c r="F144" s="1073"/>
    </row>
    <row r="145" spans="1:6" ht="14.25" thickBot="1">
      <c r="A145" s="847" t="s">
        <v>32</v>
      </c>
      <c r="B145" s="1067" t="s">
        <v>876</v>
      </c>
      <c r="C145" s="1075"/>
      <c r="D145" s="1075"/>
      <c r="E145" s="1075"/>
      <c r="F145" s="1068">
        <v>0.05</v>
      </c>
    </row>
    <row r="146" spans="1:6" ht="24.75" thickBot="1">
      <c r="A146" s="1069" t="s">
        <v>32</v>
      </c>
      <c r="B146" s="841" t="s">
        <v>877</v>
      </c>
      <c r="C146" s="1074"/>
      <c r="D146" s="1074"/>
      <c r="E146" s="1074"/>
      <c r="F146" s="1070">
        <v>0.05</v>
      </c>
    </row>
    <row r="147" spans="1:6" ht="24.75" thickBot="1">
      <c r="A147" s="837" t="s">
        <v>32</v>
      </c>
      <c r="B147" s="831" t="s">
        <v>878</v>
      </c>
      <c r="C147" s="1074"/>
      <c r="D147" s="1074"/>
      <c r="E147" s="1074"/>
      <c r="F147" s="1062">
        <v>0.05</v>
      </c>
    </row>
    <row r="148" spans="1:6" ht="24.75" thickBot="1">
      <c r="A148" s="837" t="s">
        <v>32</v>
      </c>
      <c r="B148" s="831" t="s">
        <v>879</v>
      </c>
      <c r="C148" s="1074"/>
      <c r="D148" s="1074"/>
      <c r="E148" s="1074"/>
      <c r="F148" s="1062">
        <v>0.05</v>
      </c>
    </row>
    <row r="149" spans="1:6" ht="24.75" thickBot="1">
      <c r="A149" s="837" t="s">
        <v>32</v>
      </c>
      <c r="B149" s="831" t="s">
        <v>880</v>
      </c>
      <c r="C149" s="1074"/>
      <c r="D149" s="1074"/>
      <c r="E149" s="1074"/>
      <c r="F149" s="1062">
        <v>0.05</v>
      </c>
    </row>
    <row r="150" spans="1:6" ht="24.75" thickBot="1">
      <c r="A150" s="837" t="s">
        <v>32</v>
      </c>
      <c r="B150" s="831" t="s">
        <v>881</v>
      </c>
      <c r="C150" s="1074"/>
      <c r="D150" s="1074"/>
      <c r="E150" s="1074"/>
      <c r="F150" s="1062">
        <v>0.05</v>
      </c>
    </row>
    <row r="151" spans="1:6" ht="24.75" thickBot="1">
      <c r="A151" s="837" t="s">
        <v>32</v>
      </c>
      <c r="B151" s="831" t="s">
        <v>882</v>
      </c>
      <c r="C151" s="1074"/>
      <c r="D151" s="1074"/>
      <c r="E151" s="1074"/>
      <c r="F151" s="1062">
        <v>0.05</v>
      </c>
    </row>
    <row r="152" spans="1:6" ht="24.75" thickBot="1">
      <c r="A152" s="837" t="s">
        <v>32</v>
      </c>
      <c r="B152" s="831" t="s">
        <v>483</v>
      </c>
      <c r="C152" s="1074"/>
      <c r="D152" s="1074"/>
      <c r="E152" s="1074"/>
      <c r="F152" s="1062">
        <v>0.05</v>
      </c>
    </row>
    <row r="153" spans="1:6" ht="14.25" thickBot="1">
      <c r="A153" s="837" t="s">
        <v>32</v>
      </c>
      <c r="B153" s="831" t="s">
        <v>883</v>
      </c>
      <c r="C153" s="1074"/>
      <c r="D153" s="1074"/>
      <c r="E153" s="1074"/>
      <c r="F153" s="1062">
        <v>0.05</v>
      </c>
    </row>
    <row r="154" spans="1:6" ht="14.25" thickBot="1">
      <c r="A154" s="837" t="s">
        <v>32</v>
      </c>
      <c r="B154" s="831" t="s">
        <v>884</v>
      </c>
      <c r="C154" s="1074"/>
      <c r="D154" s="1074"/>
      <c r="E154" s="1074"/>
      <c r="F154" s="1062">
        <v>0.05</v>
      </c>
    </row>
    <row r="155" spans="1:6" ht="24.75" thickBot="1">
      <c r="A155" s="837" t="s">
        <v>32</v>
      </c>
      <c r="B155" s="831" t="s">
        <v>885</v>
      </c>
      <c r="C155" s="1074"/>
      <c r="D155" s="1074"/>
      <c r="E155" s="1074"/>
      <c r="F155" s="1062">
        <v>0.05</v>
      </c>
    </row>
    <row r="156" spans="1:6" ht="24.75" thickBot="1">
      <c r="A156" s="837" t="s">
        <v>32</v>
      </c>
      <c r="B156" s="831" t="s">
        <v>886</v>
      </c>
      <c r="C156" s="1074"/>
      <c r="D156" s="1074"/>
      <c r="E156" s="1074"/>
      <c r="F156" s="1062">
        <v>0.05</v>
      </c>
    </row>
    <row r="157" spans="1:6" ht="14.25" thickBot="1">
      <c r="A157" s="847" t="s">
        <v>32</v>
      </c>
      <c r="B157" s="843" t="s">
        <v>887</v>
      </c>
      <c r="C157" s="1071"/>
      <c r="D157" s="1071"/>
      <c r="E157" s="1071"/>
      <c r="F157" s="1064">
        <v>0.05</v>
      </c>
    </row>
    <row r="158" spans="1:6" ht="14.25" thickBot="1">
      <c r="A158" s="837" t="s">
        <v>502</v>
      </c>
      <c r="B158" s="838" t="s">
        <v>888</v>
      </c>
      <c r="C158" s="1059">
        <v>0.13</v>
      </c>
      <c r="D158" s="1059">
        <v>0.13</v>
      </c>
      <c r="E158" s="1059">
        <v>0.13</v>
      </c>
      <c r="F158" s="1060">
        <v>0.13</v>
      </c>
    </row>
    <row r="159" spans="1:6" ht="14.25" thickBot="1">
      <c r="A159" s="837" t="s">
        <v>502</v>
      </c>
      <c r="B159" s="831" t="s">
        <v>169</v>
      </c>
      <c r="C159" s="1061">
        <v>0.13</v>
      </c>
      <c r="D159" s="1061">
        <v>0.13</v>
      </c>
      <c r="E159" s="1061">
        <v>0.13</v>
      </c>
      <c r="F159" s="1062">
        <v>0.13</v>
      </c>
    </row>
    <row r="160" spans="1:6" ht="14.25" thickBot="1">
      <c r="A160" s="837" t="s">
        <v>502</v>
      </c>
      <c r="B160" s="831" t="s">
        <v>182</v>
      </c>
      <c r="C160" s="1061">
        <v>0.13</v>
      </c>
      <c r="D160" s="1061">
        <v>0.13</v>
      </c>
      <c r="E160" s="1061">
        <v>0.129</v>
      </c>
      <c r="F160" s="1062">
        <v>0.13</v>
      </c>
    </row>
    <row r="161" spans="1:6" ht="14.25" thickBot="1">
      <c r="A161" s="837" t="s">
        <v>502</v>
      </c>
      <c r="B161" s="831" t="s">
        <v>195</v>
      </c>
      <c r="C161" s="1061">
        <v>0.128</v>
      </c>
      <c r="D161" s="1061">
        <v>0.128</v>
      </c>
      <c r="E161" s="1061">
        <v>0.125</v>
      </c>
      <c r="F161" s="1062">
        <v>0.13</v>
      </c>
    </row>
    <row r="162" spans="1:6" ht="14.25" thickBot="1">
      <c r="A162" s="837" t="s">
        <v>502</v>
      </c>
      <c r="B162" s="831" t="s">
        <v>207</v>
      </c>
      <c r="C162" s="1061">
        <v>0.122</v>
      </c>
      <c r="D162" s="1061">
        <v>0.122</v>
      </c>
      <c r="E162" s="1061">
        <v>0.126</v>
      </c>
      <c r="F162" s="1062">
        <v>0.122</v>
      </c>
    </row>
    <row r="163" spans="1:6" ht="14.25" thickBot="1">
      <c r="A163" s="837" t="s">
        <v>502</v>
      </c>
      <c r="B163" s="831" t="s">
        <v>218</v>
      </c>
      <c r="C163" s="1061">
        <v>0.13</v>
      </c>
      <c r="D163" s="1061">
        <v>0.13</v>
      </c>
      <c r="E163" s="1061">
        <v>0.125</v>
      </c>
      <c r="F163" s="1062">
        <v>0.13</v>
      </c>
    </row>
    <row r="164" spans="1:6" ht="14.25" thickBot="1">
      <c r="A164" s="837" t="s">
        <v>502</v>
      </c>
      <c r="B164" s="831" t="s">
        <v>229</v>
      </c>
      <c r="C164" s="1061">
        <v>0.13</v>
      </c>
      <c r="D164" s="1061">
        <v>0.13</v>
      </c>
      <c r="E164" s="1061">
        <v>0.13</v>
      </c>
      <c r="F164" s="1062">
        <v>0.13</v>
      </c>
    </row>
    <row r="165" spans="1:6" ht="14.25" thickBot="1">
      <c r="A165" s="837" t="s">
        <v>502</v>
      </c>
      <c r="B165" s="831" t="s">
        <v>240</v>
      </c>
      <c r="C165" s="1061">
        <v>0.13</v>
      </c>
      <c r="D165" s="1061">
        <v>0.13</v>
      </c>
      <c r="E165" s="1061">
        <v>0.124</v>
      </c>
      <c r="F165" s="1062">
        <v>0.13</v>
      </c>
    </row>
    <row r="166" spans="1:6" ht="14.25" thickBot="1">
      <c r="A166" s="837" t="s">
        <v>502</v>
      </c>
      <c r="B166" s="831" t="s">
        <v>252</v>
      </c>
      <c r="C166" s="1061">
        <v>0.13</v>
      </c>
      <c r="D166" s="1061">
        <v>0.13</v>
      </c>
      <c r="E166" s="1061">
        <v>0.13</v>
      </c>
      <c r="F166" s="1062">
        <v>0.13</v>
      </c>
    </row>
    <row r="167" spans="1:6" ht="14.25" thickBot="1">
      <c r="A167" s="837" t="s">
        <v>502</v>
      </c>
      <c r="B167" s="831" t="s">
        <v>262</v>
      </c>
      <c r="C167" s="1061">
        <v>0.125</v>
      </c>
      <c r="D167" s="1061">
        <v>0.125</v>
      </c>
      <c r="E167" s="1061">
        <v>0.121</v>
      </c>
      <c r="F167" s="1073"/>
    </row>
    <row r="168" spans="1:6" ht="14.25" thickBot="1">
      <c r="A168" s="837" t="s">
        <v>502</v>
      </c>
      <c r="B168" s="831" t="s">
        <v>272</v>
      </c>
      <c r="C168" s="1061">
        <v>0.13</v>
      </c>
      <c r="D168" s="1061">
        <v>0.13</v>
      </c>
      <c r="E168" s="1061">
        <v>0.126</v>
      </c>
      <c r="F168" s="1073"/>
    </row>
    <row r="169" spans="1:6" ht="14.25" thickBot="1">
      <c r="A169" s="837" t="s">
        <v>502</v>
      </c>
      <c r="B169" s="831" t="s">
        <v>282</v>
      </c>
      <c r="C169" s="1061">
        <v>0.128</v>
      </c>
      <c r="D169" s="1061">
        <v>0.129</v>
      </c>
      <c r="E169" s="1061">
        <v>0.13</v>
      </c>
      <c r="F169" s="1073"/>
    </row>
    <row r="170" spans="1:6" ht="14.25" thickBot="1">
      <c r="A170" s="837" t="s">
        <v>502</v>
      </c>
      <c r="B170" s="831" t="s">
        <v>292</v>
      </c>
      <c r="C170" s="1061">
        <v>0.14099999999999999</v>
      </c>
      <c r="D170" s="1061">
        <v>0.13</v>
      </c>
      <c r="E170" s="1061">
        <v>0.125</v>
      </c>
      <c r="F170" s="1073"/>
    </row>
    <row r="171" spans="1:6" ht="14.25" thickBot="1">
      <c r="A171" s="837" t="s">
        <v>502</v>
      </c>
      <c r="B171" s="831" t="s">
        <v>889</v>
      </c>
      <c r="C171" s="1061">
        <v>0.127</v>
      </c>
      <c r="D171" s="1061">
        <v>0.126</v>
      </c>
      <c r="E171" s="1061">
        <v>0.126</v>
      </c>
      <c r="F171" s="1062">
        <v>0.11799999999999999</v>
      </c>
    </row>
    <row r="172" spans="1:6" ht="14.25" thickBot="1">
      <c r="A172" s="837" t="s">
        <v>502</v>
      </c>
      <c r="B172" s="831" t="s">
        <v>890</v>
      </c>
      <c r="C172" s="1061">
        <v>0.13</v>
      </c>
      <c r="D172" s="1061">
        <v>0.13</v>
      </c>
      <c r="E172" s="1061">
        <v>0.13</v>
      </c>
      <c r="F172" s="1073"/>
    </row>
    <row r="173" spans="1:6" ht="14.25" thickBot="1">
      <c r="A173" s="837" t="s">
        <v>502</v>
      </c>
      <c r="B173" s="831" t="s">
        <v>324</v>
      </c>
      <c r="C173" s="1061">
        <v>0.13</v>
      </c>
      <c r="D173" s="1061">
        <v>0.13</v>
      </c>
      <c r="E173" s="1061">
        <v>0.13</v>
      </c>
      <c r="F173" s="1073"/>
    </row>
    <row r="174" spans="1:6" ht="14.25" thickBot="1">
      <c r="A174" s="837" t="s">
        <v>502</v>
      </c>
      <c r="B174" s="831" t="s">
        <v>891</v>
      </c>
      <c r="C174" s="1061">
        <v>0.13</v>
      </c>
      <c r="D174" s="1061">
        <v>0.13</v>
      </c>
      <c r="E174" s="1061">
        <v>0.13</v>
      </c>
      <c r="F174" s="1062">
        <v>0.13</v>
      </c>
    </row>
    <row r="175" spans="1:6" ht="14.25" thickBot="1">
      <c r="A175" s="837" t="s">
        <v>502</v>
      </c>
      <c r="B175" s="831" t="s">
        <v>892</v>
      </c>
      <c r="C175" s="1061">
        <v>0.13</v>
      </c>
      <c r="D175" s="1061">
        <v>0.13</v>
      </c>
      <c r="E175" s="1061">
        <v>0.13</v>
      </c>
      <c r="F175" s="1062">
        <v>0.13</v>
      </c>
    </row>
    <row r="176" spans="1:6" ht="14.25" thickBot="1">
      <c r="A176" s="837" t="s">
        <v>502</v>
      </c>
      <c r="B176" s="831" t="s">
        <v>354</v>
      </c>
      <c r="C176" s="1061">
        <v>0.13</v>
      </c>
      <c r="D176" s="1061">
        <v>0.13</v>
      </c>
      <c r="E176" s="1061">
        <v>0.13</v>
      </c>
      <c r="F176" s="1062">
        <v>0.13</v>
      </c>
    </row>
    <row r="177" spans="1:6" ht="14.25" thickBot="1">
      <c r="A177" s="837" t="s">
        <v>502</v>
      </c>
      <c r="B177" s="831" t="s">
        <v>893</v>
      </c>
      <c r="C177" s="1061">
        <v>0.13</v>
      </c>
      <c r="D177" s="1061">
        <v>0.13</v>
      </c>
      <c r="E177" s="1061">
        <v>0.13</v>
      </c>
      <c r="F177" s="1062">
        <v>0.13</v>
      </c>
    </row>
    <row r="178" spans="1:6" ht="14.25" thickBot="1">
      <c r="A178" s="837" t="s">
        <v>502</v>
      </c>
      <c r="B178" s="831" t="s">
        <v>372</v>
      </c>
      <c r="C178" s="1061">
        <v>0.13</v>
      </c>
      <c r="D178" s="1061">
        <v>0.13</v>
      </c>
      <c r="E178" s="1061">
        <v>0.13</v>
      </c>
      <c r="F178" s="1062">
        <v>0.127</v>
      </c>
    </row>
    <row r="179" spans="1:6" ht="14.25" thickBot="1">
      <c r="A179" s="837" t="s">
        <v>502</v>
      </c>
      <c r="B179" s="831" t="s">
        <v>380</v>
      </c>
      <c r="C179" s="1061">
        <v>0.13</v>
      </c>
      <c r="D179" s="1061">
        <v>0.13</v>
      </c>
      <c r="E179" s="1061">
        <v>0.13</v>
      </c>
      <c r="F179" s="1073"/>
    </row>
    <row r="180" spans="1:6" ht="14.25" thickBot="1">
      <c r="A180" s="837" t="s">
        <v>502</v>
      </c>
      <c r="B180" s="831" t="s">
        <v>894</v>
      </c>
      <c r="C180" s="1061">
        <v>0.13</v>
      </c>
      <c r="D180" s="1061">
        <v>0.13</v>
      </c>
      <c r="E180" s="1061">
        <v>0.125</v>
      </c>
      <c r="F180" s="1062">
        <v>0.13</v>
      </c>
    </row>
    <row r="181" spans="1:6" ht="14.25" thickBot="1">
      <c r="A181" s="837" t="s">
        <v>502</v>
      </c>
      <c r="B181" s="831" t="s">
        <v>394</v>
      </c>
      <c r="C181" s="1061">
        <v>0.122</v>
      </c>
      <c r="D181" s="1061">
        <v>0.123</v>
      </c>
      <c r="E181" s="1061">
        <v>0.126</v>
      </c>
      <c r="F181" s="1062">
        <v>0.121</v>
      </c>
    </row>
    <row r="182" spans="1:6" ht="14.25" thickBot="1">
      <c r="A182" s="837" t="s">
        <v>502</v>
      </c>
      <c r="B182" s="831" t="s">
        <v>401</v>
      </c>
      <c r="C182" s="1061">
        <v>0.125</v>
      </c>
      <c r="D182" s="1061">
        <v>0.125</v>
      </c>
      <c r="E182" s="1061">
        <v>0.11700000000000001</v>
      </c>
      <c r="F182" s="1062">
        <v>0.13</v>
      </c>
    </row>
    <row r="183" spans="1:6" ht="14.25" thickBot="1">
      <c r="A183" s="837" t="s">
        <v>502</v>
      </c>
      <c r="B183" s="831" t="s">
        <v>408</v>
      </c>
      <c r="C183" s="1061">
        <v>0.127</v>
      </c>
      <c r="D183" s="1061">
        <v>0.127</v>
      </c>
      <c r="E183" s="1061">
        <v>0.128</v>
      </c>
      <c r="F183" s="1073"/>
    </row>
    <row r="184" spans="1:6" ht="14.25" thickBot="1">
      <c r="A184" s="837" t="s">
        <v>502</v>
      </c>
      <c r="B184" s="831" t="s">
        <v>415</v>
      </c>
      <c r="C184" s="1061">
        <v>0.125</v>
      </c>
      <c r="D184" s="1061">
        <v>0.125</v>
      </c>
      <c r="E184" s="1061">
        <v>0.127</v>
      </c>
      <c r="F184" s="1073"/>
    </row>
    <row r="185" spans="1:6" ht="14.25" thickBot="1">
      <c r="A185" s="837" t="s">
        <v>502</v>
      </c>
      <c r="B185" s="831" t="s">
        <v>895</v>
      </c>
      <c r="C185" s="1061">
        <v>0.127</v>
      </c>
      <c r="D185" s="1061">
        <v>0.127</v>
      </c>
      <c r="E185" s="1061">
        <v>0.128</v>
      </c>
      <c r="F185" s="1062">
        <v>0.13</v>
      </c>
    </row>
    <row r="186" spans="1:6" ht="24.75" thickBot="1">
      <c r="A186" s="837" t="s">
        <v>502</v>
      </c>
      <c r="B186" s="831" t="s">
        <v>896</v>
      </c>
      <c r="C186" s="1074"/>
      <c r="D186" s="1074"/>
      <c r="E186" s="1074"/>
      <c r="F186" s="1062">
        <v>0.05</v>
      </c>
    </row>
    <row r="187" spans="1:6" ht="14.25" thickBot="1">
      <c r="A187" s="837" t="s">
        <v>502</v>
      </c>
      <c r="B187" s="831" t="s">
        <v>897</v>
      </c>
      <c r="C187" s="1074"/>
      <c r="D187" s="1074"/>
      <c r="E187" s="1074"/>
      <c r="F187" s="1062">
        <v>0.05</v>
      </c>
    </row>
    <row r="188" spans="1:6" ht="14.25" thickBot="1">
      <c r="A188" s="837" t="s">
        <v>502</v>
      </c>
      <c r="B188" s="831" t="s">
        <v>898</v>
      </c>
      <c r="C188" s="1074"/>
      <c r="D188" s="1074"/>
      <c r="E188" s="1074"/>
      <c r="F188" s="1062">
        <v>0.05</v>
      </c>
    </row>
    <row r="189" spans="1:6" ht="24.75" thickBot="1">
      <c r="A189" s="837" t="s">
        <v>502</v>
      </c>
      <c r="B189" s="831" t="s">
        <v>899</v>
      </c>
      <c r="C189" s="1074"/>
      <c r="D189" s="1074"/>
      <c r="E189" s="1074"/>
      <c r="F189" s="1062">
        <v>0.05</v>
      </c>
    </row>
    <row r="190" spans="1:6" ht="24.75" thickBot="1">
      <c r="A190" s="837" t="s">
        <v>502</v>
      </c>
      <c r="B190" s="831" t="s">
        <v>900</v>
      </c>
      <c r="C190" s="1074"/>
      <c r="D190" s="1074"/>
      <c r="E190" s="1074"/>
      <c r="F190" s="1062">
        <v>0.05</v>
      </c>
    </row>
    <row r="191" spans="1:6" ht="24.75" thickBot="1">
      <c r="A191" s="837" t="s">
        <v>502</v>
      </c>
      <c r="B191" s="831" t="s">
        <v>901</v>
      </c>
      <c r="C191" s="1074"/>
      <c r="D191" s="1074"/>
      <c r="E191" s="1074"/>
      <c r="F191" s="1062">
        <v>0.05</v>
      </c>
    </row>
    <row r="192" spans="1:6" ht="24.75" thickBot="1">
      <c r="A192" s="837" t="s">
        <v>502</v>
      </c>
      <c r="B192" s="831" t="s">
        <v>902</v>
      </c>
      <c r="C192" s="1074"/>
      <c r="D192" s="1074"/>
      <c r="E192" s="1074"/>
      <c r="F192" s="1062">
        <v>0.05</v>
      </c>
    </row>
    <row r="193" spans="1:6" ht="24.75" thickBot="1">
      <c r="A193" s="837" t="s">
        <v>502</v>
      </c>
      <c r="B193" s="831" t="s">
        <v>903</v>
      </c>
      <c r="C193" s="1074"/>
      <c r="D193" s="1074"/>
      <c r="E193" s="1074"/>
      <c r="F193" s="1062">
        <v>0.05</v>
      </c>
    </row>
    <row r="194" spans="1:6" ht="24.75" thickBot="1">
      <c r="A194" s="837" t="s">
        <v>502</v>
      </c>
      <c r="B194" s="831" t="s">
        <v>904</v>
      </c>
      <c r="C194" s="1074"/>
      <c r="D194" s="1074"/>
      <c r="E194" s="1074"/>
      <c r="F194" s="1062">
        <v>0.05</v>
      </c>
    </row>
    <row r="195" spans="1:6" ht="14.25" thickBot="1">
      <c r="A195" s="837" t="s">
        <v>502</v>
      </c>
      <c r="B195" s="831" t="s">
        <v>905</v>
      </c>
      <c r="C195" s="1074"/>
      <c r="D195" s="1074"/>
      <c r="E195" s="1074"/>
      <c r="F195" s="1062">
        <v>0.05</v>
      </c>
    </row>
    <row r="196" spans="1:6" ht="24.75" thickBot="1">
      <c r="A196" s="837" t="s">
        <v>502</v>
      </c>
      <c r="B196" s="831" t="s">
        <v>906</v>
      </c>
      <c r="C196" s="1074"/>
      <c r="D196" s="1074"/>
      <c r="E196" s="1074"/>
      <c r="F196" s="1062">
        <v>0.05</v>
      </c>
    </row>
    <row r="197" spans="1:6" ht="24.75" thickBot="1">
      <c r="A197" s="837" t="s">
        <v>502</v>
      </c>
      <c r="B197" s="831" t="s">
        <v>907</v>
      </c>
      <c r="C197" s="1074"/>
      <c r="D197" s="1074"/>
      <c r="E197" s="1074"/>
      <c r="F197" s="1062">
        <v>0.05</v>
      </c>
    </row>
    <row r="198" spans="1:6" ht="24.75" thickBot="1">
      <c r="A198" s="837" t="s">
        <v>502</v>
      </c>
      <c r="B198" s="831" t="s">
        <v>908</v>
      </c>
      <c r="C198" s="1074"/>
      <c r="D198" s="1074"/>
      <c r="E198" s="1074"/>
      <c r="F198" s="1062">
        <v>0.05</v>
      </c>
    </row>
    <row r="199" spans="1:6" ht="24.75" thickBot="1">
      <c r="A199" s="837" t="s">
        <v>502</v>
      </c>
      <c r="B199" s="831" t="s">
        <v>909</v>
      </c>
      <c r="C199" s="1074"/>
      <c r="D199" s="1074"/>
      <c r="E199" s="1074"/>
      <c r="F199" s="1062">
        <v>0.05</v>
      </c>
    </row>
    <row r="200" spans="1:6" ht="24.75" thickBot="1">
      <c r="A200" s="837" t="s">
        <v>502</v>
      </c>
      <c r="B200" s="831" t="s">
        <v>910</v>
      </c>
      <c r="C200" s="1074"/>
      <c r="D200" s="1074"/>
      <c r="E200" s="1074"/>
      <c r="F200" s="1062">
        <v>0.05</v>
      </c>
    </row>
    <row r="201" spans="1:6" ht="24.75" thickBot="1">
      <c r="A201" s="837" t="s">
        <v>502</v>
      </c>
      <c r="B201" s="831" t="s">
        <v>911</v>
      </c>
      <c r="C201" s="1074"/>
      <c r="D201" s="1074"/>
      <c r="E201" s="1074"/>
      <c r="F201" s="1062">
        <v>0.05</v>
      </c>
    </row>
    <row r="202" spans="1:6" ht="24.75" thickBot="1">
      <c r="A202" s="837" t="s">
        <v>502</v>
      </c>
      <c r="B202" s="831" t="s">
        <v>912</v>
      </c>
      <c r="C202" s="1074"/>
      <c r="D202" s="1074"/>
      <c r="E202" s="1074"/>
      <c r="F202" s="1062">
        <v>0.05</v>
      </c>
    </row>
    <row r="203" spans="1:6" ht="24.75" thickBot="1">
      <c r="A203" s="837" t="s">
        <v>502</v>
      </c>
      <c r="B203" s="831" t="s">
        <v>913</v>
      </c>
      <c r="C203" s="1074"/>
      <c r="D203" s="1074"/>
      <c r="E203" s="1074"/>
      <c r="F203" s="1062">
        <v>0.05</v>
      </c>
    </row>
    <row r="204" spans="1:6" ht="14.25" thickBot="1">
      <c r="A204" s="837" t="s">
        <v>502</v>
      </c>
      <c r="B204" s="831" t="s">
        <v>914</v>
      </c>
      <c r="C204" s="1074"/>
      <c r="D204" s="1074"/>
      <c r="E204" s="1074"/>
      <c r="F204" s="1062">
        <v>0.05</v>
      </c>
    </row>
    <row r="205" spans="1:6" ht="14.25" thickBot="1">
      <c r="A205" s="847" t="s">
        <v>502</v>
      </c>
      <c r="B205" s="843" t="s">
        <v>915</v>
      </c>
      <c r="C205" s="1071"/>
      <c r="D205" s="1071"/>
      <c r="E205" s="1071"/>
      <c r="F205" s="1064">
        <v>0.05</v>
      </c>
    </row>
    <row r="206" spans="1:6" ht="14.25" thickBot="1">
      <c r="A206" s="837" t="s">
        <v>504</v>
      </c>
      <c r="B206" s="838" t="s">
        <v>916</v>
      </c>
      <c r="C206" s="1059">
        <v>0.15</v>
      </c>
      <c r="D206" s="1059">
        <v>0.15</v>
      </c>
      <c r="E206" s="1059">
        <v>0.15</v>
      </c>
      <c r="F206" s="1060">
        <v>0.15</v>
      </c>
    </row>
    <row r="207" spans="1:6" ht="14.25" thickBot="1">
      <c r="A207" s="837" t="s">
        <v>504</v>
      </c>
      <c r="B207" s="831" t="s">
        <v>170</v>
      </c>
      <c r="C207" s="1061">
        <v>0.15</v>
      </c>
      <c r="D207" s="1061">
        <v>0.15</v>
      </c>
      <c r="E207" s="1061">
        <v>0.15</v>
      </c>
      <c r="F207" s="1062">
        <v>0.14399999999999999</v>
      </c>
    </row>
    <row r="208" spans="1:6" ht="14.25" thickBot="1">
      <c r="A208" s="837" t="s">
        <v>504</v>
      </c>
      <c r="B208" s="831" t="s">
        <v>183</v>
      </c>
      <c r="C208" s="1061">
        <v>0.15</v>
      </c>
      <c r="D208" s="1061">
        <v>0.15</v>
      </c>
      <c r="E208" s="1061">
        <v>0.15</v>
      </c>
      <c r="F208" s="1062">
        <v>0.15</v>
      </c>
    </row>
    <row r="209" spans="1:6" ht="14.25" thickBot="1">
      <c r="A209" s="837" t="s">
        <v>504</v>
      </c>
      <c r="B209" s="831" t="s">
        <v>196</v>
      </c>
      <c r="C209" s="1061">
        <v>0.13700000000000001</v>
      </c>
      <c r="D209" s="1061">
        <v>0.13700000000000001</v>
      </c>
      <c r="E209" s="1061">
        <v>0.14000000000000001</v>
      </c>
      <c r="F209" s="1062">
        <v>0.11700000000000001</v>
      </c>
    </row>
    <row r="210" spans="1:6" ht="14.25" thickBot="1">
      <c r="A210" s="837" t="s">
        <v>504</v>
      </c>
      <c r="B210" s="831" t="s">
        <v>917</v>
      </c>
      <c r="C210" s="1061">
        <v>0.15</v>
      </c>
      <c r="D210" s="1061">
        <v>0.15</v>
      </c>
      <c r="E210" s="1061">
        <v>0.15</v>
      </c>
      <c r="F210" s="1062">
        <v>0.13800000000000001</v>
      </c>
    </row>
    <row r="211" spans="1:6" ht="14.25" thickBot="1">
      <c r="A211" s="837" t="s">
        <v>504</v>
      </c>
      <c r="B211" s="831" t="s">
        <v>918</v>
      </c>
      <c r="C211" s="1061">
        <v>0.13700000000000001</v>
      </c>
      <c r="D211" s="1061">
        <v>0.13500000000000001</v>
      </c>
      <c r="E211" s="1061">
        <v>0.13600000000000001</v>
      </c>
      <c r="F211" s="1062">
        <v>0.1</v>
      </c>
    </row>
    <row r="212" spans="1:6" ht="14.25" thickBot="1">
      <c r="A212" s="837" t="s">
        <v>504</v>
      </c>
      <c r="B212" s="831" t="s">
        <v>919</v>
      </c>
      <c r="C212" s="1061">
        <v>0.15</v>
      </c>
      <c r="D212" s="1061">
        <v>0.15</v>
      </c>
      <c r="E212" s="1061">
        <v>0.14799999999999999</v>
      </c>
      <c r="F212" s="1062">
        <v>0.13600000000000001</v>
      </c>
    </row>
    <row r="213" spans="1:6" ht="14.25" thickBot="1">
      <c r="A213" s="837" t="s">
        <v>504</v>
      </c>
      <c r="B213" s="831" t="s">
        <v>241</v>
      </c>
      <c r="C213" s="1061">
        <v>0.15</v>
      </c>
      <c r="D213" s="1061">
        <v>0.15</v>
      </c>
      <c r="E213" s="1061">
        <v>0.15</v>
      </c>
      <c r="F213" s="1062">
        <v>0.13800000000000001</v>
      </c>
    </row>
    <row r="214" spans="1:6" ht="14.25" thickBot="1">
      <c r="A214" s="837" t="s">
        <v>504</v>
      </c>
      <c r="B214" s="831" t="s">
        <v>253</v>
      </c>
      <c r="C214" s="1061">
        <v>9.0999999999999998E-2</v>
      </c>
      <c r="D214" s="1061">
        <v>0.09</v>
      </c>
      <c r="E214" s="1061">
        <v>9.1999999999999998E-2</v>
      </c>
      <c r="F214" s="1073"/>
    </row>
    <row r="215" spans="1:6" ht="14.25" thickBot="1">
      <c r="A215" s="837" t="s">
        <v>504</v>
      </c>
      <c r="B215" s="831" t="s">
        <v>920</v>
      </c>
      <c r="C215" s="1061">
        <v>0.15</v>
      </c>
      <c r="D215" s="1061">
        <v>0.15</v>
      </c>
      <c r="E215" s="1061">
        <v>0.15</v>
      </c>
      <c r="F215" s="1062">
        <v>0.15</v>
      </c>
    </row>
    <row r="216" spans="1:6" ht="14.25" thickBot="1">
      <c r="A216" s="837" t="s">
        <v>504</v>
      </c>
      <c r="B216" s="831" t="s">
        <v>273</v>
      </c>
      <c r="C216" s="1061">
        <v>0.14699999999999999</v>
      </c>
      <c r="D216" s="1061">
        <v>0.14699999999999999</v>
      </c>
      <c r="E216" s="1061">
        <v>0.15</v>
      </c>
      <c r="F216" s="1062">
        <v>0.14000000000000001</v>
      </c>
    </row>
    <row r="217" spans="1:6" ht="14.25" thickBot="1">
      <c r="A217" s="837" t="s">
        <v>504</v>
      </c>
      <c r="B217" s="831" t="s">
        <v>283</v>
      </c>
      <c r="C217" s="1061">
        <v>0.15</v>
      </c>
      <c r="D217" s="1061">
        <v>0.15</v>
      </c>
      <c r="E217" s="1061">
        <v>0.15</v>
      </c>
      <c r="F217" s="1062">
        <v>0.15</v>
      </c>
    </row>
    <row r="218" spans="1:6" ht="14.25" thickBot="1">
      <c r="A218" s="837" t="s">
        <v>504</v>
      </c>
      <c r="B218" s="831" t="s">
        <v>921</v>
      </c>
      <c r="C218" s="1061">
        <v>0.15</v>
      </c>
      <c r="D218" s="1061">
        <v>0.15</v>
      </c>
      <c r="E218" s="1061">
        <v>0.15</v>
      </c>
      <c r="F218" s="1062">
        <v>0.15</v>
      </c>
    </row>
    <row r="219" spans="1:6" ht="14.25" thickBot="1">
      <c r="A219" s="837" t="s">
        <v>504</v>
      </c>
      <c r="B219" s="831" t="s">
        <v>304</v>
      </c>
      <c r="C219" s="1061">
        <v>0.15</v>
      </c>
      <c r="D219" s="1061">
        <v>0.15</v>
      </c>
      <c r="E219" s="1061">
        <v>0.15</v>
      </c>
      <c r="F219" s="1062">
        <v>0.14799999999999999</v>
      </c>
    </row>
    <row r="220" spans="1:6" ht="14.25" thickBot="1">
      <c r="A220" s="837" t="s">
        <v>504</v>
      </c>
      <c r="B220" s="831" t="s">
        <v>922</v>
      </c>
      <c r="C220" s="1061">
        <v>0.15</v>
      </c>
      <c r="D220" s="1061">
        <v>0.15</v>
      </c>
      <c r="E220" s="1061">
        <v>0.15</v>
      </c>
      <c r="F220" s="1062">
        <v>0.15</v>
      </c>
    </row>
    <row r="221" spans="1:6" ht="14.25" thickBot="1">
      <c r="A221" s="837" t="s">
        <v>504</v>
      </c>
      <c r="B221" s="831" t="s">
        <v>325</v>
      </c>
      <c r="C221" s="1061"/>
      <c r="D221" s="1074"/>
      <c r="E221" s="1074"/>
      <c r="F221" s="1062">
        <v>0.14799999999999999</v>
      </c>
    </row>
    <row r="222" spans="1:6" ht="14.25" thickBot="1">
      <c r="A222" s="837" t="s">
        <v>504</v>
      </c>
      <c r="B222" s="831" t="s">
        <v>335</v>
      </c>
      <c r="C222" s="1061"/>
      <c r="D222" s="1074"/>
      <c r="E222" s="1074"/>
      <c r="F222" s="1062">
        <v>0.1</v>
      </c>
    </row>
    <row r="223" spans="1:6" ht="14.25" thickBot="1">
      <c r="A223" s="837" t="s">
        <v>504</v>
      </c>
      <c r="B223" s="831" t="s">
        <v>345</v>
      </c>
      <c r="C223" s="1061"/>
      <c r="D223" s="1074"/>
      <c r="E223" s="1074"/>
      <c r="F223" s="1062">
        <v>0.15</v>
      </c>
    </row>
    <row r="224" spans="1:6" ht="14.25" thickBot="1">
      <c r="A224" s="837" t="s">
        <v>504</v>
      </c>
      <c r="B224" s="831" t="s">
        <v>355</v>
      </c>
      <c r="C224" s="1061"/>
      <c r="D224" s="1074"/>
      <c r="E224" s="1074"/>
      <c r="F224" s="1062">
        <v>0.15</v>
      </c>
    </row>
    <row r="225" spans="1:6" ht="14.25" thickBot="1">
      <c r="A225" s="837" t="s">
        <v>504</v>
      </c>
      <c r="B225" s="831" t="s">
        <v>923</v>
      </c>
      <c r="C225" s="1061">
        <v>0.15</v>
      </c>
      <c r="D225" s="1061">
        <v>0.15</v>
      </c>
      <c r="E225" s="1061">
        <v>0.15</v>
      </c>
      <c r="F225" s="1062">
        <v>0.15</v>
      </c>
    </row>
    <row r="226" spans="1:6" ht="14.25" thickBot="1">
      <c r="A226" s="837" t="s">
        <v>504</v>
      </c>
      <c r="B226" s="831" t="s">
        <v>373</v>
      </c>
      <c r="C226" s="1061">
        <v>0.15</v>
      </c>
      <c r="D226" s="1061">
        <v>0.15</v>
      </c>
      <c r="E226" s="1061">
        <v>0.15</v>
      </c>
      <c r="F226" s="1062">
        <v>0.14799999999999999</v>
      </c>
    </row>
    <row r="227" spans="1:6" ht="14.25" thickBot="1">
      <c r="A227" s="837" t="s">
        <v>504</v>
      </c>
      <c r="B227" s="831" t="s">
        <v>924</v>
      </c>
      <c r="C227" s="1061">
        <v>0.15</v>
      </c>
      <c r="D227" s="1061">
        <v>0.15</v>
      </c>
      <c r="E227" s="1061">
        <v>0.15</v>
      </c>
      <c r="F227" s="1062">
        <v>0.15</v>
      </c>
    </row>
    <row r="228" spans="1:6" ht="14.25" thickBot="1">
      <c r="A228" s="837" t="s">
        <v>504</v>
      </c>
      <c r="B228" s="831" t="s">
        <v>388</v>
      </c>
      <c r="C228" s="1061">
        <v>0.15</v>
      </c>
      <c r="D228" s="1061">
        <v>0.15</v>
      </c>
      <c r="E228" s="1061">
        <v>0.15</v>
      </c>
      <c r="F228" s="1062">
        <v>0.15</v>
      </c>
    </row>
    <row r="229" spans="1:6" ht="14.25" thickBot="1">
      <c r="A229" s="837" t="s">
        <v>504</v>
      </c>
      <c r="B229" s="831" t="s">
        <v>395</v>
      </c>
      <c r="C229" s="1061">
        <v>0.15</v>
      </c>
      <c r="D229" s="1061">
        <v>0.15</v>
      </c>
      <c r="E229" s="1061">
        <v>0.15</v>
      </c>
      <c r="F229" s="1073"/>
    </row>
    <row r="230" spans="1:6" ht="14.25" thickBot="1">
      <c r="A230" s="837" t="s">
        <v>504</v>
      </c>
      <c r="B230" s="831" t="s">
        <v>402</v>
      </c>
      <c r="C230" s="1061">
        <v>0.14499999999999999</v>
      </c>
      <c r="D230" s="1061">
        <v>0.14499999999999999</v>
      </c>
      <c r="E230" s="1061">
        <v>0.14399999999999999</v>
      </c>
      <c r="F230" s="1073"/>
    </row>
    <row r="231" spans="1:6" ht="14.25" thickBot="1">
      <c r="A231" s="837" t="s">
        <v>504</v>
      </c>
      <c r="B231" s="831" t="s">
        <v>925</v>
      </c>
      <c r="C231" s="1061">
        <v>0.128</v>
      </c>
      <c r="D231" s="1061">
        <v>0.125</v>
      </c>
      <c r="E231" s="1061">
        <v>0.13200000000000001</v>
      </c>
      <c r="F231" s="1073"/>
    </row>
    <row r="232" spans="1:6" ht="14.25" thickBot="1">
      <c r="A232" s="837" t="s">
        <v>504</v>
      </c>
      <c r="B232" s="831" t="s">
        <v>926</v>
      </c>
      <c r="C232" s="1061">
        <v>0.14499999999999999</v>
      </c>
      <c r="D232" s="1061">
        <v>0.14399999999999999</v>
      </c>
      <c r="E232" s="1061">
        <v>0.14599999999999999</v>
      </c>
      <c r="F232" s="1062">
        <v>0.13800000000000001</v>
      </c>
    </row>
    <row r="233" spans="1:6" ht="14.25" thickBot="1">
      <c r="A233" s="837" t="s">
        <v>504</v>
      </c>
      <c r="B233" s="831" t="s">
        <v>927</v>
      </c>
      <c r="C233" s="1061">
        <v>0.14499999999999999</v>
      </c>
      <c r="D233" s="1061">
        <v>0.14299999999999999</v>
      </c>
      <c r="E233" s="1061">
        <v>0.14199999999999999</v>
      </c>
      <c r="F233" s="1073"/>
    </row>
    <row r="234" spans="1:6" ht="14.25" thickBot="1">
      <c r="A234" s="837" t="s">
        <v>504</v>
      </c>
      <c r="B234" s="831" t="s">
        <v>928</v>
      </c>
      <c r="C234" s="1061">
        <v>0.14000000000000001</v>
      </c>
      <c r="D234" s="1061">
        <v>0.14000000000000001</v>
      </c>
      <c r="E234" s="1061">
        <v>0.14399999999999999</v>
      </c>
      <c r="F234" s="1073"/>
    </row>
    <row r="235" spans="1:6" ht="14.25" thickBot="1">
      <c r="A235" s="837" t="s">
        <v>504</v>
      </c>
      <c r="B235" s="831" t="s">
        <v>929</v>
      </c>
      <c r="C235" s="1061">
        <v>0.14099999999999999</v>
      </c>
      <c r="D235" s="1061">
        <v>0.14199999999999999</v>
      </c>
      <c r="E235" s="1061">
        <v>0.14499999999999999</v>
      </c>
      <c r="F235" s="1062">
        <v>0.15</v>
      </c>
    </row>
    <row r="236" spans="1:6" ht="14.25" thickBot="1">
      <c r="A236" s="837" t="s">
        <v>504</v>
      </c>
      <c r="B236" s="831" t="s">
        <v>437</v>
      </c>
      <c r="C236" s="1074"/>
      <c r="D236" s="1074"/>
      <c r="E236" s="1074"/>
      <c r="F236" s="1062">
        <v>0.14299999999999999</v>
      </c>
    </row>
    <row r="237" spans="1:6" ht="24.75" thickBot="1">
      <c r="A237" s="837" t="s">
        <v>504</v>
      </c>
      <c r="B237" s="831" t="s">
        <v>930</v>
      </c>
      <c r="C237" s="1074"/>
      <c r="D237" s="1074"/>
      <c r="E237" s="1074"/>
      <c r="F237" s="1062">
        <v>0.05</v>
      </c>
    </row>
    <row r="238" spans="1:6" ht="24.75" thickBot="1">
      <c r="A238" s="837" t="s">
        <v>504</v>
      </c>
      <c r="B238" s="831" t="s">
        <v>931</v>
      </c>
      <c r="C238" s="1074"/>
      <c r="D238" s="1074"/>
      <c r="E238" s="1074"/>
      <c r="F238" s="1062">
        <v>0.05</v>
      </c>
    </row>
    <row r="239" spans="1:6" ht="24.75" thickBot="1">
      <c r="A239" s="837" t="s">
        <v>504</v>
      </c>
      <c r="B239" s="831" t="s">
        <v>932</v>
      </c>
      <c r="C239" s="1074"/>
      <c r="D239" s="1074"/>
      <c r="E239" s="1074"/>
      <c r="F239" s="1062">
        <v>0.05</v>
      </c>
    </row>
    <row r="240" spans="1:6" ht="24.75" thickBot="1">
      <c r="A240" s="837" t="s">
        <v>504</v>
      </c>
      <c r="B240" s="831" t="s">
        <v>933</v>
      </c>
      <c r="C240" s="1074"/>
      <c r="D240" s="1074"/>
      <c r="E240" s="1074"/>
      <c r="F240" s="1062">
        <v>0.05</v>
      </c>
    </row>
    <row r="241" spans="1:6" ht="24.75" thickBot="1">
      <c r="A241" s="837" t="s">
        <v>504</v>
      </c>
      <c r="B241" s="831" t="s">
        <v>934</v>
      </c>
      <c r="C241" s="1074"/>
      <c r="D241" s="1074"/>
      <c r="E241" s="1074"/>
      <c r="F241" s="1062">
        <v>0.05</v>
      </c>
    </row>
    <row r="242" spans="1:6" ht="24.75" thickBot="1">
      <c r="A242" s="837" t="s">
        <v>504</v>
      </c>
      <c r="B242" s="831" t="s">
        <v>935</v>
      </c>
      <c r="C242" s="1074"/>
      <c r="D242" s="1074"/>
      <c r="E242" s="1074"/>
      <c r="F242" s="1062">
        <v>0.05</v>
      </c>
    </row>
    <row r="243" spans="1:6" ht="24.75" thickBot="1">
      <c r="A243" s="837" t="s">
        <v>504</v>
      </c>
      <c r="B243" s="831" t="s">
        <v>936</v>
      </c>
      <c r="C243" s="1074"/>
      <c r="D243" s="1074"/>
      <c r="E243" s="1074"/>
      <c r="F243" s="1062">
        <v>0.05</v>
      </c>
    </row>
    <row r="244" spans="1:6" ht="24.75" thickBot="1">
      <c r="A244" s="847" t="s">
        <v>504</v>
      </c>
      <c r="B244" s="843" t="s">
        <v>937</v>
      </c>
      <c r="C244" s="1071"/>
      <c r="D244" s="1071"/>
      <c r="E244" s="1071"/>
      <c r="F244" s="1064">
        <v>0.05</v>
      </c>
    </row>
    <row r="245" spans="1:6" ht="14.25" thickBot="1">
      <c r="A245" s="837" t="s">
        <v>506</v>
      </c>
      <c r="B245" s="838" t="s">
        <v>938</v>
      </c>
      <c r="C245" s="1059">
        <v>0.15</v>
      </c>
      <c r="D245" s="1059">
        <v>0.15</v>
      </c>
      <c r="E245" s="1059">
        <v>0.15</v>
      </c>
      <c r="F245" s="1060">
        <v>0.14299999999999999</v>
      </c>
    </row>
    <row r="246" spans="1:6" ht="14.25" thickBot="1">
      <c r="A246" s="837" t="s">
        <v>506</v>
      </c>
      <c r="B246" s="831" t="s">
        <v>171</v>
      </c>
      <c r="C246" s="1061">
        <v>0.15</v>
      </c>
      <c r="D246" s="1061">
        <v>0.15</v>
      </c>
      <c r="E246" s="1061">
        <v>0.15</v>
      </c>
      <c r="F246" s="1062">
        <v>0.114</v>
      </c>
    </row>
    <row r="247" spans="1:6" ht="14.25" thickBot="1">
      <c r="A247" s="837" t="s">
        <v>506</v>
      </c>
      <c r="B247" s="831" t="s">
        <v>939</v>
      </c>
      <c r="C247" s="1061">
        <v>0.15</v>
      </c>
      <c r="D247" s="1061">
        <v>0.15</v>
      </c>
      <c r="E247" s="1061">
        <v>0.15</v>
      </c>
      <c r="F247" s="1062">
        <v>0.15</v>
      </c>
    </row>
    <row r="248" spans="1:6" ht="14.25" thickBot="1">
      <c r="A248" s="837" t="s">
        <v>506</v>
      </c>
      <c r="B248" s="831" t="s">
        <v>940</v>
      </c>
      <c r="C248" s="1061">
        <v>0.15</v>
      </c>
      <c r="D248" s="1061">
        <v>0.15</v>
      </c>
      <c r="E248" s="1061">
        <v>0.15</v>
      </c>
      <c r="F248" s="1062">
        <v>0.14000000000000001</v>
      </c>
    </row>
    <row r="249" spans="1:6" ht="14.25" thickBot="1">
      <c r="A249" s="837" t="s">
        <v>506</v>
      </c>
      <c r="B249" s="831" t="s">
        <v>941</v>
      </c>
      <c r="C249" s="1061">
        <v>0.15</v>
      </c>
      <c r="D249" s="1061">
        <v>0.14899999999999999</v>
      </c>
      <c r="E249" s="1061">
        <v>0.15</v>
      </c>
      <c r="F249" s="1062">
        <v>0.1</v>
      </c>
    </row>
    <row r="250" spans="1:6" ht="14.25" thickBot="1">
      <c r="A250" s="837" t="s">
        <v>506</v>
      </c>
      <c r="B250" s="831" t="s">
        <v>942</v>
      </c>
      <c r="C250" s="1061">
        <v>0.15</v>
      </c>
      <c r="D250" s="1061">
        <v>0.15</v>
      </c>
      <c r="E250" s="1061">
        <v>0.15</v>
      </c>
      <c r="F250" s="1062">
        <v>0.14399999999999999</v>
      </c>
    </row>
    <row r="251" spans="1:6" ht="14.25" thickBot="1">
      <c r="A251" s="837" t="s">
        <v>506</v>
      </c>
      <c r="B251" s="831" t="s">
        <v>231</v>
      </c>
      <c r="C251" s="1061">
        <v>0.15</v>
      </c>
      <c r="D251" s="1061">
        <v>0.15</v>
      </c>
      <c r="E251" s="1061">
        <v>0.15</v>
      </c>
      <c r="F251" s="1062">
        <v>0.14299999999999999</v>
      </c>
    </row>
    <row r="252" spans="1:6" ht="14.25" thickBot="1">
      <c r="A252" s="837" t="s">
        <v>506</v>
      </c>
      <c r="B252" s="831" t="s">
        <v>242</v>
      </c>
      <c r="C252" s="1061">
        <v>0.15</v>
      </c>
      <c r="D252" s="1061">
        <v>0.15</v>
      </c>
      <c r="E252" s="1061">
        <v>0.15</v>
      </c>
      <c r="F252" s="1062">
        <v>0.1</v>
      </c>
    </row>
    <row r="253" spans="1:6" ht="14.25" thickBot="1">
      <c r="A253" s="837" t="s">
        <v>506</v>
      </c>
      <c r="B253" s="831" t="s">
        <v>254</v>
      </c>
      <c r="C253" s="1061">
        <v>0.15</v>
      </c>
      <c r="D253" s="1061">
        <v>0.15</v>
      </c>
      <c r="E253" s="1061">
        <v>0.15</v>
      </c>
      <c r="F253" s="1062">
        <v>0.1</v>
      </c>
    </row>
    <row r="254" spans="1:6" ht="14.25" thickBot="1">
      <c r="A254" s="837" t="s">
        <v>506</v>
      </c>
      <c r="B254" s="831" t="s">
        <v>264</v>
      </c>
      <c r="C254" s="1074"/>
      <c r="D254" s="1074"/>
      <c r="E254" s="1074"/>
      <c r="F254" s="1062">
        <v>0.15</v>
      </c>
    </row>
    <row r="255" spans="1:6" ht="14.25" thickBot="1">
      <c r="A255" s="837" t="s">
        <v>506</v>
      </c>
      <c r="B255" s="831" t="s">
        <v>274</v>
      </c>
      <c r="C255" s="1074"/>
      <c r="D255" s="1074"/>
      <c r="E255" s="1074"/>
      <c r="F255" s="1062">
        <v>0.14299999999999999</v>
      </c>
    </row>
    <row r="256" spans="1:6" ht="14.25" thickBot="1">
      <c r="A256" s="837" t="s">
        <v>506</v>
      </c>
      <c r="B256" s="831" t="s">
        <v>943</v>
      </c>
      <c r="C256" s="1061">
        <v>0.14599999999999999</v>
      </c>
      <c r="D256" s="1061">
        <v>0.14699999999999999</v>
      </c>
      <c r="E256" s="1061">
        <v>0.15</v>
      </c>
      <c r="F256" s="1062">
        <v>0.13200000000000001</v>
      </c>
    </row>
    <row r="257" spans="1:6" ht="14.25" thickBot="1">
      <c r="A257" s="837" t="s">
        <v>506</v>
      </c>
      <c r="B257" s="831" t="s">
        <v>294</v>
      </c>
      <c r="C257" s="1061">
        <v>0.15</v>
      </c>
      <c r="D257" s="1061">
        <v>0.15</v>
      </c>
      <c r="E257" s="1061">
        <v>0.15</v>
      </c>
      <c r="F257" s="1062">
        <v>0.13900000000000001</v>
      </c>
    </row>
    <row r="258" spans="1:6" ht="14.25" thickBot="1">
      <c r="A258" s="837" t="s">
        <v>506</v>
      </c>
      <c r="B258" s="831" t="s">
        <v>305</v>
      </c>
      <c r="C258" s="1061">
        <v>0.15</v>
      </c>
      <c r="D258" s="1061">
        <v>0.15</v>
      </c>
      <c r="E258" s="1061">
        <v>0.15</v>
      </c>
      <c r="F258" s="1062">
        <v>0.13</v>
      </c>
    </row>
    <row r="259" spans="1:6" ht="14.25" thickBot="1">
      <c r="A259" s="837" t="s">
        <v>506</v>
      </c>
      <c r="B259" s="831" t="s">
        <v>944</v>
      </c>
      <c r="C259" s="1061">
        <v>0.14799999999999999</v>
      </c>
      <c r="D259" s="1061">
        <v>0.14899999999999999</v>
      </c>
      <c r="E259" s="1061">
        <v>0.15</v>
      </c>
      <c r="F259" s="1062">
        <v>0.13700000000000001</v>
      </c>
    </row>
    <row r="260" spans="1:6" ht="14.25" thickBot="1">
      <c r="A260" s="837" t="s">
        <v>506</v>
      </c>
      <c r="B260" s="831" t="s">
        <v>326</v>
      </c>
      <c r="C260" s="1061">
        <v>0.15</v>
      </c>
      <c r="D260" s="1061">
        <v>0.15</v>
      </c>
      <c r="E260" s="1061">
        <v>0.15</v>
      </c>
      <c r="F260" s="1062">
        <v>0.14199999999999999</v>
      </c>
    </row>
    <row r="261" spans="1:6" ht="14.25" thickBot="1">
      <c r="A261" s="837" t="s">
        <v>506</v>
      </c>
      <c r="B261" s="831" t="s">
        <v>336</v>
      </c>
      <c r="C261" s="1061">
        <v>0.15</v>
      </c>
      <c r="D261" s="1061">
        <v>0.15</v>
      </c>
      <c r="E261" s="1061">
        <v>0.14899999999999999</v>
      </c>
      <c r="F261" s="1062">
        <v>0.14799999999999999</v>
      </c>
    </row>
    <row r="262" spans="1:6" ht="14.25" thickBot="1">
      <c r="A262" s="837" t="s">
        <v>506</v>
      </c>
      <c r="B262" s="831" t="s">
        <v>346</v>
      </c>
      <c r="C262" s="1061">
        <v>0.15</v>
      </c>
      <c r="D262" s="1061">
        <v>0.15</v>
      </c>
      <c r="E262" s="1061">
        <v>0.15</v>
      </c>
      <c r="F262" s="1073"/>
    </row>
    <row r="263" spans="1:6" ht="14.25" thickBot="1">
      <c r="A263" s="837" t="s">
        <v>506</v>
      </c>
      <c r="B263" s="831" t="s">
        <v>945</v>
      </c>
      <c r="C263" s="1061">
        <v>0.14899999999999999</v>
      </c>
      <c r="D263" s="1061">
        <v>0.14899999999999999</v>
      </c>
      <c r="E263" s="1061">
        <v>0.15</v>
      </c>
      <c r="F263" s="1062">
        <v>0.13</v>
      </c>
    </row>
    <row r="264" spans="1:6" ht="14.25" thickBot="1">
      <c r="A264" s="837" t="s">
        <v>506</v>
      </c>
      <c r="B264" s="831" t="s">
        <v>365</v>
      </c>
      <c r="C264" s="1061">
        <v>0.14799999999999999</v>
      </c>
      <c r="D264" s="1061">
        <v>0.14699999999999999</v>
      </c>
      <c r="E264" s="1061">
        <v>0.15</v>
      </c>
      <c r="F264" s="1062">
        <v>7.8E-2</v>
      </c>
    </row>
    <row r="265" spans="1:6" ht="14.25" thickBot="1">
      <c r="A265" s="837" t="s">
        <v>506</v>
      </c>
      <c r="B265" s="831" t="s">
        <v>374</v>
      </c>
      <c r="C265" s="1061">
        <v>0.15</v>
      </c>
      <c r="D265" s="1061">
        <v>0.15</v>
      </c>
      <c r="E265" s="1061">
        <v>0.15</v>
      </c>
      <c r="F265" s="1062">
        <v>7.3999999999999996E-2</v>
      </c>
    </row>
    <row r="266" spans="1:6" ht="14.25" thickBot="1">
      <c r="A266" s="837" t="s">
        <v>506</v>
      </c>
      <c r="B266" s="831" t="s">
        <v>382</v>
      </c>
      <c r="C266" s="1061">
        <v>0.14699999999999999</v>
      </c>
      <c r="D266" s="1061">
        <v>0.14699999999999999</v>
      </c>
      <c r="E266" s="1061">
        <v>0.15</v>
      </c>
      <c r="F266" s="1062">
        <v>0.14299999999999999</v>
      </c>
    </row>
    <row r="267" spans="1:6" ht="14.25" thickBot="1">
      <c r="A267" s="837" t="s">
        <v>506</v>
      </c>
      <c r="B267" s="831" t="s">
        <v>389</v>
      </c>
      <c r="C267" s="1061">
        <v>0.14199999999999999</v>
      </c>
      <c r="D267" s="1061">
        <v>0.14299999999999999</v>
      </c>
      <c r="E267" s="1061">
        <v>0.15</v>
      </c>
      <c r="F267" s="1073"/>
    </row>
    <row r="268" spans="1:6" ht="14.25" thickBot="1">
      <c r="A268" s="837" t="s">
        <v>506</v>
      </c>
      <c r="B268" s="831" t="s">
        <v>946</v>
      </c>
      <c r="C268" s="1061">
        <v>0.15</v>
      </c>
      <c r="D268" s="1061">
        <v>0.15</v>
      </c>
      <c r="E268" s="1061">
        <v>0.15</v>
      </c>
      <c r="F268" s="1062">
        <v>0.13</v>
      </c>
    </row>
    <row r="269" spans="1:6" ht="14.25" thickBot="1">
      <c r="A269" s="837" t="s">
        <v>506</v>
      </c>
      <c r="B269" s="831" t="s">
        <v>403</v>
      </c>
      <c r="C269" s="1061">
        <v>0.15</v>
      </c>
      <c r="D269" s="1061">
        <v>0.15</v>
      </c>
      <c r="E269" s="1061">
        <v>0.15</v>
      </c>
      <c r="F269" s="1062">
        <v>0.14299999999999999</v>
      </c>
    </row>
    <row r="270" spans="1:6" ht="14.25" thickBot="1">
      <c r="A270" s="837" t="s">
        <v>506</v>
      </c>
      <c r="B270" s="831" t="s">
        <v>410</v>
      </c>
      <c r="C270" s="1061">
        <v>0.14499999999999999</v>
      </c>
      <c r="D270" s="1061">
        <v>0.14499999999999999</v>
      </c>
      <c r="E270" s="1061">
        <v>0.15</v>
      </c>
      <c r="F270" s="1062">
        <v>0.14699999999999999</v>
      </c>
    </row>
    <row r="271" spans="1:6" ht="14.25" thickBot="1">
      <c r="A271" s="837" t="s">
        <v>506</v>
      </c>
      <c r="B271" s="831" t="s">
        <v>417</v>
      </c>
      <c r="C271" s="1061">
        <v>0.15</v>
      </c>
      <c r="D271" s="1061">
        <v>0.15</v>
      </c>
      <c r="E271" s="1061">
        <v>0.15</v>
      </c>
      <c r="F271" s="1062">
        <v>0.13800000000000001</v>
      </c>
    </row>
    <row r="272" spans="1:6" ht="14.25" thickBot="1">
      <c r="A272" s="837" t="s">
        <v>506</v>
      </c>
      <c r="B272" s="831" t="s">
        <v>424</v>
      </c>
      <c r="C272" s="1074"/>
      <c r="D272" s="1074"/>
      <c r="E272" s="1074"/>
      <c r="F272" s="1062">
        <v>0.14000000000000001</v>
      </c>
    </row>
    <row r="273" spans="1:6" ht="14.25" thickBot="1">
      <c r="A273" s="837" t="s">
        <v>506</v>
      </c>
      <c r="B273" s="831" t="s">
        <v>947</v>
      </c>
      <c r="C273" s="1061">
        <v>0.14199999999999999</v>
      </c>
      <c r="D273" s="1061">
        <v>0.14299999999999999</v>
      </c>
      <c r="E273" s="1061">
        <v>0.15</v>
      </c>
      <c r="F273" s="1062">
        <v>0.1</v>
      </c>
    </row>
    <row r="274" spans="1:6" ht="14.25" thickBot="1">
      <c r="A274" s="837" t="s">
        <v>506</v>
      </c>
      <c r="B274" s="831" t="s">
        <v>948</v>
      </c>
      <c r="C274" s="1061">
        <v>0.14799999999999999</v>
      </c>
      <c r="D274" s="1061">
        <v>0.14799999999999999</v>
      </c>
      <c r="E274" s="1061">
        <v>0.15</v>
      </c>
      <c r="F274" s="1062">
        <v>6.7000000000000004E-2</v>
      </c>
    </row>
    <row r="275" spans="1:6" ht="14.25" thickBot="1">
      <c r="A275" s="837" t="s">
        <v>506</v>
      </c>
      <c r="B275" s="831" t="s">
        <v>949</v>
      </c>
      <c r="C275" s="1061">
        <v>0.15</v>
      </c>
      <c r="D275" s="1061">
        <v>0.15</v>
      </c>
      <c r="E275" s="1061">
        <v>0.15</v>
      </c>
      <c r="F275" s="1062">
        <v>0.15</v>
      </c>
    </row>
    <row r="276" spans="1:6" ht="14.25" thickBot="1">
      <c r="A276" s="837" t="s">
        <v>506</v>
      </c>
      <c r="B276" s="831" t="s">
        <v>950</v>
      </c>
      <c r="C276" s="1061">
        <v>0.14499999999999999</v>
      </c>
      <c r="D276" s="1061">
        <v>0.14299999999999999</v>
      </c>
      <c r="E276" s="1061">
        <v>0.15</v>
      </c>
      <c r="F276" s="1062">
        <v>5.8999999999999997E-2</v>
      </c>
    </row>
    <row r="277" spans="1:6" ht="14.25" thickBot="1">
      <c r="A277" s="837" t="s">
        <v>506</v>
      </c>
      <c r="B277" s="831" t="s">
        <v>951</v>
      </c>
      <c r="C277" s="1061">
        <v>0.15</v>
      </c>
      <c r="D277" s="1061">
        <v>0.15</v>
      </c>
      <c r="E277" s="1061">
        <v>0.15</v>
      </c>
      <c r="F277" s="1062">
        <v>0.121</v>
      </c>
    </row>
    <row r="278" spans="1:6" ht="14.25" thickBot="1">
      <c r="A278" s="837" t="s">
        <v>506</v>
      </c>
      <c r="B278" s="831" t="s">
        <v>952</v>
      </c>
      <c r="C278" s="1061">
        <v>0.15</v>
      </c>
      <c r="D278" s="1061">
        <v>0.15</v>
      </c>
      <c r="E278" s="1061">
        <v>0.15</v>
      </c>
      <c r="F278" s="1062">
        <v>0.13800000000000001</v>
      </c>
    </row>
    <row r="279" spans="1:6" ht="24.75" thickBot="1">
      <c r="A279" s="837" t="s">
        <v>506</v>
      </c>
      <c r="B279" s="831" t="s">
        <v>953</v>
      </c>
      <c r="C279" s="1074"/>
      <c r="D279" s="1074"/>
      <c r="E279" s="1074"/>
      <c r="F279" s="1062">
        <v>0.05</v>
      </c>
    </row>
    <row r="280" spans="1:6" ht="24.75" thickBot="1">
      <c r="A280" s="837" t="s">
        <v>506</v>
      </c>
      <c r="B280" s="831" t="s">
        <v>954</v>
      </c>
      <c r="C280" s="1074"/>
      <c r="D280" s="1074"/>
      <c r="E280" s="1074"/>
      <c r="F280" s="1062">
        <v>0.05</v>
      </c>
    </row>
    <row r="281" spans="1:6" ht="24.75" thickBot="1">
      <c r="A281" s="837" t="s">
        <v>506</v>
      </c>
      <c r="B281" s="831" t="s">
        <v>955</v>
      </c>
      <c r="C281" s="1074"/>
      <c r="D281" s="1074"/>
      <c r="E281" s="1074"/>
      <c r="F281" s="1062">
        <v>0.05</v>
      </c>
    </row>
    <row r="282" spans="1:6" ht="24.75" thickBot="1">
      <c r="A282" s="837" t="s">
        <v>506</v>
      </c>
      <c r="B282" s="831" t="s">
        <v>956</v>
      </c>
      <c r="C282" s="1074"/>
      <c r="D282" s="1074"/>
      <c r="E282" s="1074"/>
      <c r="F282" s="1062">
        <v>0.05</v>
      </c>
    </row>
    <row r="283" spans="1:6" ht="24.75" thickBot="1">
      <c r="A283" s="837" t="s">
        <v>506</v>
      </c>
      <c r="B283" s="831" t="s">
        <v>957</v>
      </c>
      <c r="C283" s="1074"/>
      <c r="D283" s="1074"/>
      <c r="E283" s="1074"/>
      <c r="F283" s="1062">
        <v>0.05</v>
      </c>
    </row>
    <row r="284" spans="1:6" ht="24.75" thickBot="1">
      <c r="A284" s="837" t="s">
        <v>506</v>
      </c>
      <c r="B284" s="831" t="s">
        <v>958</v>
      </c>
      <c r="C284" s="1074"/>
      <c r="D284" s="1074"/>
      <c r="E284" s="1074"/>
      <c r="F284" s="1062">
        <v>0.05</v>
      </c>
    </row>
    <row r="285" spans="1:6" ht="24.75" thickBot="1">
      <c r="A285" s="837" t="s">
        <v>506</v>
      </c>
      <c r="B285" s="831" t="s">
        <v>959</v>
      </c>
      <c r="C285" s="1074"/>
      <c r="D285" s="1074"/>
      <c r="E285" s="1074"/>
      <c r="F285" s="1062">
        <v>0.05</v>
      </c>
    </row>
    <row r="286" spans="1:6" ht="24.75" thickBot="1">
      <c r="A286" s="837" t="s">
        <v>506</v>
      </c>
      <c r="B286" s="831" t="s">
        <v>960</v>
      </c>
      <c r="C286" s="1074"/>
      <c r="D286" s="1074"/>
      <c r="E286" s="1074"/>
      <c r="F286" s="1062">
        <v>0.05</v>
      </c>
    </row>
    <row r="287" spans="1:6" ht="24.75" thickBot="1">
      <c r="A287" s="837" t="s">
        <v>506</v>
      </c>
      <c r="B287" s="831" t="s">
        <v>961</v>
      </c>
      <c r="C287" s="1074"/>
      <c r="D287" s="1074"/>
      <c r="E287" s="1074"/>
      <c r="F287" s="1062">
        <v>0.05</v>
      </c>
    </row>
    <row r="288" spans="1:6" ht="24.75" thickBot="1">
      <c r="A288" s="837" t="s">
        <v>506</v>
      </c>
      <c r="B288" s="831" t="s">
        <v>962</v>
      </c>
      <c r="C288" s="1074"/>
      <c r="D288" s="1074"/>
      <c r="E288" s="1074"/>
      <c r="F288" s="1062">
        <v>0.05</v>
      </c>
    </row>
    <row r="289" spans="1:6" ht="24.75" thickBot="1">
      <c r="A289" s="847" t="s">
        <v>506</v>
      </c>
      <c r="B289" s="843" t="s">
        <v>963</v>
      </c>
      <c r="C289" s="1071"/>
      <c r="D289" s="1071"/>
      <c r="E289" s="1071"/>
      <c r="F289" s="1064">
        <v>0.05</v>
      </c>
    </row>
    <row r="290" spans="1:6" ht="14.25" thickBot="1">
      <c r="A290" s="837" t="s">
        <v>510</v>
      </c>
      <c r="B290" s="838" t="s">
        <v>964</v>
      </c>
      <c r="C290" s="1059">
        <v>0.15</v>
      </c>
      <c r="D290" s="1059">
        <v>0.15</v>
      </c>
      <c r="E290" s="1059">
        <v>0.15</v>
      </c>
      <c r="F290" s="1076"/>
    </row>
    <row r="291" spans="1:6" ht="14.25" thickBot="1">
      <c r="A291" s="837" t="s">
        <v>510</v>
      </c>
      <c r="B291" s="831" t="s">
        <v>172</v>
      </c>
      <c r="C291" s="1061">
        <v>0.15</v>
      </c>
      <c r="D291" s="1061">
        <v>0.15</v>
      </c>
      <c r="E291" s="1061">
        <v>0.15</v>
      </c>
      <c r="F291" s="1073"/>
    </row>
    <row r="292" spans="1:6" ht="14.25" thickBot="1">
      <c r="A292" s="837" t="s">
        <v>510</v>
      </c>
      <c r="B292" s="831" t="s">
        <v>965</v>
      </c>
      <c r="C292" s="1061">
        <v>0.15</v>
      </c>
      <c r="D292" s="1061">
        <v>0.15</v>
      </c>
      <c r="E292" s="1061">
        <v>0.15</v>
      </c>
      <c r="F292" s="1062">
        <v>0.14699999999999999</v>
      </c>
    </row>
    <row r="293" spans="1:6" ht="14.25" thickBot="1">
      <c r="A293" s="837" t="s">
        <v>510</v>
      </c>
      <c r="B293" s="831" t="s">
        <v>966</v>
      </c>
      <c r="C293" s="1074"/>
      <c r="D293" s="1074"/>
      <c r="E293" s="1074"/>
      <c r="F293" s="1062">
        <v>0.1</v>
      </c>
    </row>
    <row r="294" spans="1:6" ht="14.25" thickBot="1">
      <c r="A294" s="837" t="s">
        <v>510</v>
      </c>
      <c r="B294" s="831" t="s">
        <v>967</v>
      </c>
      <c r="C294" s="1061">
        <v>0.15</v>
      </c>
      <c r="D294" s="1061">
        <v>0.15</v>
      </c>
      <c r="E294" s="1061">
        <v>0.15</v>
      </c>
      <c r="F294" s="1062">
        <v>0.15</v>
      </c>
    </row>
    <row r="295" spans="1:6" ht="14.25" thickBot="1">
      <c r="A295" s="837" t="s">
        <v>510</v>
      </c>
      <c r="B295" s="831" t="s">
        <v>210</v>
      </c>
      <c r="C295" s="1061">
        <v>0.15</v>
      </c>
      <c r="D295" s="1061">
        <v>0.15</v>
      </c>
      <c r="E295" s="1061">
        <v>0.15</v>
      </c>
      <c r="F295" s="1062">
        <v>0.15</v>
      </c>
    </row>
    <row r="296" spans="1:6" ht="14.25" thickBot="1">
      <c r="A296" s="837" t="s">
        <v>510</v>
      </c>
      <c r="B296" s="831" t="s">
        <v>968</v>
      </c>
      <c r="C296" s="1061">
        <v>0.15</v>
      </c>
      <c r="D296" s="1061">
        <v>0.15</v>
      </c>
      <c r="E296" s="1061">
        <v>0.15</v>
      </c>
      <c r="F296" s="1062">
        <v>0.15</v>
      </c>
    </row>
    <row r="297" spans="1:6" ht="14.25" thickBot="1">
      <c r="A297" s="837" t="s">
        <v>510</v>
      </c>
      <c r="B297" s="831" t="s">
        <v>969</v>
      </c>
      <c r="C297" s="1061">
        <v>0.14799999999999999</v>
      </c>
      <c r="D297" s="1061">
        <v>0.14899999999999999</v>
      </c>
      <c r="E297" s="1061">
        <v>0.15</v>
      </c>
      <c r="F297" s="1062">
        <v>0.13700000000000001</v>
      </c>
    </row>
    <row r="298" spans="1:6" ht="14.25" thickBot="1">
      <c r="A298" s="837" t="s">
        <v>510</v>
      </c>
      <c r="B298" s="831" t="s">
        <v>243</v>
      </c>
      <c r="C298" s="1061">
        <v>0.13400000000000001</v>
      </c>
      <c r="D298" s="1061">
        <v>0.13400000000000001</v>
      </c>
      <c r="E298" s="1061">
        <v>0.14499999999999999</v>
      </c>
      <c r="F298" s="1062">
        <v>0.14799999999999999</v>
      </c>
    </row>
    <row r="299" spans="1:6" ht="14.25" thickBot="1">
      <c r="A299" s="837" t="s">
        <v>510</v>
      </c>
      <c r="B299" s="831" t="s">
        <v>255</v>
      </c>
      <c r="C299" s="1061">
        <v>0.15</v>
      </c>
      <c r="D299" s="1061">
        <v>0.15</v>
      </c>
      <c r="E299" s="1061">
        <v>0.15</v>
      </c>
      <c r="F299" s="1073"/>
    </row>
    <row r="300" spans="1:6" ht="14.25" thickBot="1">
      <c r="A300" s="837" t="s">
        <v>510</v>
      </c>
      <c r="B300" s="831" t="s">
        <v>970</v>
      </c>
      <c r="C300" s="1061">
        <v>0.15</v>
      </c>
      <c r="D300" s="1061">
        <v>0.15</v>
      </c>
      <c r="E300" s="1061">
        <v>0.15</v>
      </c>
      <c r="F300" s="1062">
        <v>0.15</v>
      </c>
    </row>
    <row r="301" spans="1:6" ht="14.25" thickBot="1">
      <c r="A301" s="837" t="s">
        <v>510</v>
      </c>
      <c r="B301" s="831" t="s">
        <v>275</v>
      </c>
      <c r="C301" s="1061">
        <v>0.15</v>
      </c>
      <c r="D301" s="1061">
        <v>0.15</v>
      </c>
      <c r="E301" s="1061">
        <v>0.15</v>
      </c>
      <c r="F301" s="1073"/>
    </row>
    <row r="302" spans="1:6" ht="14.25" thickBot="1">
      <c r="A302" s="837" t="s">
        <v>510</v>
      </c>
      <c r="B302" s="831" t="s">
        <v>971</v>
      </c>
      <c r="C302" s="1061">
        <v>0.15</v>
      </c>
      <c r="D302" s="1061">
        <v>0.15</v>
      </c>
      <c r="E302" s="1061">
        <v>0.15</v>
      </c>
      <c r="F302" s="1062">
        <v>0.15</v>
      </c>
    </row>
    <row r="303" spans="1:6" ht="14.25" thickBot="1">
      <c r="A303" s="837" t="s">
        <v>510</v>
      </c>
      <c r="B303" s="831" t="s">
        <v>295</v>
      </c>
      <c r="C303" s="1061">
        <v>0.15</v>
      </c>
      <c r="D303" s="1061">
        <v>0.15</v>
      </c>
      <c r="E303" s="1061">
        <v>0.15</v>
      </c>
      <c r="F303" s="1062">
        <v>0.15</v>
      </c>
    </row>
    <row r="304" spans="1:6" ht="14.25" thickBot="1">
      <c r="A304" s="837" t="s">
        <v>510</v>
      </c>
      <c r="B304" s="831" t="s">
        <v>306</v>
      </c>
      <c r="C304" s="1061">
        <v>0.15</v>
      </c>
      <c r="D304" s="1061">
        <v>0.15</v>
      </c>
      <c r="E304" s="1061">
        <v>0.15</v>
      </c>
      <c r="F304" s="1073"/>
    </row>
    <row r="305" spans="1:6" ht="14.25" thickBot="1">
      <c r="A305" s="837" t="s">
        <v>510</v>
      </c>
      <c r="B305" s="831" t="s">
        <v>972</v>
      </c>
      <c r="C305" s="1061">
        <v>0.15</v>
      </c>
      <c r="D305" s="1061">
        <v>0.15</v>
      </c>
      <c r="E305" s="1061">
        <v>0.15</v>
      </c>
      <c r="F305" s="1062">
        <v>0.14000000000000001</v>
      </c>
    </row>
    <row r="306" spans="1:6" ht="14.25" thickBot="1">
      <c r="A306" s="837" t="s">
        <v>510</v>
      </c>
      <c r="B306" s="831" t="s">
        <v>327</v>
      </c>
      <c r="C306" s="1061">
        <v>0.15</v>
      </c>
      <c r="D306" s="1061">
        <v>0.15</v>
      </c>
      <c r="E306" s="1061">
        <v>0.15</v>
      </c>
      <c r="F306" s="1073"/>
    </row>
    <row r="307" spans="1:6" ht="14.25" thickBot="1">
      <c r="A307" s="837" t="s">
        <v>510</v>
      </c>
      <c r="B307" s="831" t="s">
        <v>973</v>
      </c>
      <c r="C307" s="1061">
        <v>0.15</v>
      </c>
      <c r="D307" s="1061">
        <v>0.15</v>
      </c>
      <c r="E307" s="1061">
        <v>0.15</v>
      </c>
      <c r="F307" s="1062">
        <v>0.14299999999999999</v>
      </c>
    </row>
    <row r="308" spans="1:6" ht="14.25" thickBot="1">
      <c r="A308" s="837" t="s">
        <v>510</v>
      </c>
      <c r="B308" s="831" t="s">
        <v>347</v>
      </c>
      <c r="C308" s="1061">
        <v>0.15</v>
      </c>
      <c r="D308" s="1061">
        <v>0.15</v>
      </c>
      <c r="E308" s="1061">
        <v>0.15</v>
      </c>
      <c r="F308" s="1062">
        <v>0.15</v>
      </c>
    </row>
    <row r="309" spans="1:6" ht="14.25" thickBot="1">
      <c r="A309" s="837" t="s">
        <v>510</v>
      </c>
      <c r="B309" s="831" t="s">
        <v>357</v>
      </c>
      <c r="C309" s="1061">
        <v>0.15</v>
      </c>
      <c r="D309" s="1061">
        <v>0.15</v>
      </c>
      <c r="E309" s="1061">
        <v>0.15</v>
      </c>
      <c r="F309" s="1073"/>
    </row>
    <row r="310" spans="1:6" ht="14.25" thickBot="1">
      <c r="A310" s="837" t="s">
        <v>510</v>
      </c>
      <c r="B310" s="831" t="s">
        <v>974</v>
      </c>
      <c r="C310" s="1061">
        <v>0.15</v>
      </c>
      <c r="D310" s="1061">
        <v>0.15</v>
      </c>
      <c r="E310" s="1061">
        <v>0.15</v>
      </c>
      <c r="F310" s="1062">
        <v>0.13700000000000001</v>
      </c>
    </row>
    <row r="311" spans="1:6" ht="14.25" thickBot="1">
      <c r="A311" s="837" t="s">
        <v>510</v>
      </c>
      <c r="B311" s="831" t="s">
        <v>975</v>
      </c>
      <c r="C311" s="1061">
        <v>0.15</v>
      </c>
      <c r="D311" s="1061">
        <v>0.15</v>
      </c>
      <c r="E311" s="1061">
        <v>0.15</v>
      </c>
      <c r="F311" s="1062">
        <v>0.15</v>
      </c>
    </row>
    <row r="312" spans="1:6" ht="14.25" thickBot="1">
      <c r="A312" s="837" t="s">
        <v>510</v>
      </c>
      <c r="B312" s="831" t="s">
        <v>383</v>
      </c>
      <c r="C312" s="1061">
        <v>0.15</v>
      </c>
      <c r="D312" s="1061">
        <v>0.15</v>
      </c>
      <c r="E312" s="1061">
        <v>0.15</v>
      </c>
      <c r="F312" s="1062">
        <v>0.1</v>
      </c>
    </row>
    <row r="313" spans="1:6" ht="14.25" thickBot="1">
      <c r="A313" s="837" t="s">
        <v>510</v>
      </c>
      <c r="B313" s="831" t="s">
        <v>976</v>
      </c>
      <c r="C313" s="1061">
        <v>0.15</v>
      </c>
      <c r="D313" s="1061">
        <v>0.15</v>
      </c>
      <c r="E313" s="1061">
        <v>0.15</v>
      </c>
      <c r="F313" s="1062">
        <v>0.15</v>
      </c>
    </row>
    <row r="314" spans="1:6" ht="24.75" thickBot="1">
      <c r="A314" s="837" t="s">
        <v>510</v>
      </c>
      <c r="B314" s="831" t="s">
        <v>977</v>
      </c>
      <c r="C314" s="1074"/>
      <c r="D314" s="1074"/>
      <c r="E314" s="1074"/>
      <c r="F314" s="1062">
        <v>0.05</v>
      </c>
    </row>
    <row r="315" spans="1:6" ht="24.75" thickBot="1">
      <c r="A315" s="837" t="s">
        <v>510</v>
      </c>
      <c r="B315" s="831" t="s">
        <v>978</v>
      </c>
      <c r="C315" s="1074"/>
      <c r="D315" s="1074"/>
      <c r="E315" s="1074"/>
      <c r="F315" s="1062">
        <v>0.05</v>
      </c>
    </row>
    <row r="316" spans="1:6" ht="24.75" thickBot="1">
      <c r="A316" s="847" t="s">
        <v>510</v>
      </c>
      <c r="B316" s="843" t="s">
        <v>979</v>
      </c>
      <c r="C316" s="1071"/>
      <c r="D316" s="1071"/>
      <c r="E316" s="1071"/>
      <c r="F316" s="1064">
        <v>0.05</v>
      </c>
    </row>
    <row r="317" spans="1:6" ht="14.25" thickBot="1">
      <c r="A317" s="837" t="s">
        <v>980</v>
      </c>
      <c r="B317" s="838" t="s">
        <v>981</v>
      </c>
      <c r="C317" s="1059">
        <v>0.15</v>
      </c>
      <c r="D317" s="1059">
        <v>0.15</v>
      </c>
      <c r="E317" s="1059">
        <v>0.15</v>
      </c>
      <c r="F317" s="1060">
        <v>0.15</v>
      </c>
    </row>
    <row r="318" spans="1:6" ht="14.25" thickBot="1">
      <c r="A318" s="837" t="s">
        <v>980</v>
      </c>
      <c r="B318" s="831" t="s">
        <v>982</v>
      </c>
      <c r="C318" s="1061">
        <v>0.107</v>
      </c>
      <c r="D318" s="1061">
        <v>0.11</v>
      </c>
      <c r="E318" s="1061">
        <v>0.112</v>
      </c>
      <c r="F318" s="1073"/>
    </row>
    <row r="319" spans="1:6" ht="14.25" thickBot="1">
      <c r="A319" s="837" t="s">
        <v>980</v>
      </c>
      <c r="B319" s="831" t="s">
        <v>983</v>
      </c>
      <c r="C319" s="1061">
        <v>0.15</v>
      </c>
      <c r="D319" s="1061">
        <v>0.15</v>
      </c>
      <c r="E319" s="1061">
        <v>0.15</v>
      </c>
      <c r="F319" s="1062">
        <v>0.15</v>
      </c>
    </row>
    <row r="320" spans="1:6" ht="14.25" thickBot="1">
      <c r="A320" s="837" t="s">
        <v>980</v>
      </c>
      <c r="B320" s="831" t="s">
        <v>199</v>
      </c>
      <c r="C320" s="1061">
        <v>0.15</v>
      </c>
      <c r="D320" s="1061">
        <v>0.15</v>
      </c>
      <c r="E320" s="1061">
        <v>0.15</v>
      </c>
      <c r="F320" s="1073"/>
    </row>
    <row r="321" spans="1:6" ht="14.25" thickBot="1">
      <c r="A321" s="837" t="s">
        <v>980</v>
      </c>
      <c r="B321" s="831" t="s">
        <v>984</v>
      </c>
      <c r="C321" s="1061">
        <v>0.15</v>
      </c>
      <c r="D321" s="1061">
        <v>0.15</v>
      </c>
      <c r="E321" s="1061">
        <v>0.15</v>
      </c>
      <c r="F321" s="1073"/>
    </row>
    <row r="322" spans="1:6" ht="14.25" thickBot="1">
      <c r="A322" s="837" t="s">
        <v>980</v>
      </c>
      <c r="B322" s="831" t="s">
        <v>985</v>
      </c>
      <c r="C322" s="1061">
        <v>0.15</v>
      </c>
      <c r="D322" s="1061">
        <v>0.15</v>
      </c>
      <c r="E322" s="1061">
        <v>0.15</v>
      </c>
      <c r="F322" s="1062">
        <v>0.15</v>
      </c>
    </row>
    <row r="323" spans="1:6" ht="14.25" thickBot="1">
      <c r="A323" s="837" t="s">
        <v>980</v>
      </c>
      <c r="B323" s="831" t="s">
        <v>986</v>
      </c>
      <c r="C323" s="1061">
        <v>0.15</v>
      </c>
      <c r="D323" s="1061">
        <v>0.15</v>
      </c>
      <c r="E323" s="1061">
        <v>0.15</v>
      </c>
      <c r="F323" s="1073"/>
    </row>
    <row r="324" spans="1:6" ht="14.25" thickBot="1">
      <c r="A324" s="837" t="s">
        <v>980</v>
      </c>
      <c r="B324" s="831" t="s">
        <v>987</v>
      </c>
      <c r="C324" s="1061">
        <v>0.15</v>
      </c>
      <c r="D324" s="1061">
        <v>0.15</v>
      </c>
      <c r="E324" s="1061">
        <v>0.15</v>
      </c>
      <c r="F324" s="1073"/>
    </row>
    <row r="325" spans="1:6" ht="14.25" thickBot="1">
      <c r="A325" s="837" t="s">
        <v>980</v>
      </c>
      <c r="B325" s="831" t="s">
        <v>988</v>
      </c>
      <c r="C325" s="1061">
        <v>0.15</v>
      </c>
      <c r="D325" s="1061">
        <v>0.15</v>
      </c>
      <c r="E325" s="1061">
        <v>0.15</v>
      </c>
      <c r="F325" s="1062">
        <v>0.14699999999999999</v>
      </c>
    </row>
    <row r="326" spans="1:6" ht="14.25" thickBot="1">
      <c r="A326" s="837" t="s">
        <v>980</v>
      </c>
      <c r="B326" s="831" t="s">
        <v>266</v>
      </c>
      <c r="C326" s="1061">
        <v>0.15</v>
      </c>
      <c r="D326" s="1061">
        <v>0.15</v>
      </c>
      <c r="E326" s="1061">
        <v>0.15</v>
      </c>
      <c r="F326" s="1073"/>
    </row>
    <row r="327" spans="1:6" ht="14.25" thickBot="1">
      <c r="A327" s="837" t="s">
        <v>980</v>
      </c>
      <c r="B327" s="831" t="s">
        <v>989</v>
      </c>
      <c r="C327" s="1061">
        <v>0.15</v>
      </c>
      <c r="D327" s="1061">
        <v>0.15</v>
      </c>
      <c r="E327" s="1061">
        <v>0.15</v>
      </c>
      <c r="F327" s="1062">
        <v>0.15</v>
      </c>
    </row>
    <row r="328" spans="1:6" ht="14.25" thickBot="1">
      <c r="A328" s="837" t="s">
        <v>980</v>
      </c>
      <c r="B328" s="831" t="s">
        <v>286</v>
      </c>
      <c r="C328" s="1061">
        <v>0.15</v>
      </c>
      <c r="D328" s="1061">
        <v>0.15</v>
      </c>
      <c r="E328" s="1061">
        <v>0.15</v>
      </c>
      <c r="F328" s="1062">
        <v>0.14099999999999999</v>
      </c>
    </row>
    <row r="329" spans="1:6" ht="14.25" thickBot="1">
      <c r="A329" s="837" t="s">
        <v>980</v>
      </c>
      <c r="B329" s="831" t="s">
        <v>296</v>
      </c>
      <c r="C329" s="1061">
        <v>0.15</v>
      </c>
      <c r="D329" s="1061">
        <v>0.15</v>
      </c>
      <c r="E329" s="1061">
        <v>0.15</v>
      </c>
      <c r="F329" s="1062">
        <v>0.15</v>
      </c>
    </row>
    <row r="330" spans="1:6" ht="14.25" thickBot="1">
      <c r="A330" s="837" t="s">
        <v>980</v>
      </c>
      <c r="B330" s="831" t="s">
        <v>307</v>
      </c>
      <c r="C330" s="1061">
        <v>0.15</v>
      </c>
      <c r="D330" s="1061">
        <v>0.15</v>
      </c>
      <c r="E330" s="1061">
        <v>0.15</v>
      </c>
      <c r="F330" s="1073"/>
    </row>
    <row r="331" spans="1:6" ht="14.25" thickBot="1">
      <c r="A331" s="837" t="s">
        <v>980</v>
      </c>
      <c r="B331" s="831" t="s">
        <v>990</v>
      </c>
      <c r="C331" s="1061">
        <v>0.15</v>
      </c>
      <c r="D331" s="1061">
        <v>0.15</v>
      </c>
      <c r="E331" s="1061">
        <v>0.15</v>
      </c>
      <c r="F331" s="1062">
        <v>0.15</v>
      </c>
    </row>
    <row r="332" spans="1:6" ht="14.25" thickBot="1">
      <c r="A332" s="837" t="s">
        <v>980</v>
      </c>
      <c r="B332" s="831" t="s">
        <v>328</v>
      </c>
      <c r="C332" s="1061">
        <v>0.15</v>
      </c>
      <c r="D332" s="1061">
        <v>0.15</v>
      </c>
      <c r="E332" s="1061">
        <v>0.15</v>
      </c>
      <c r="F332" s="1062">
        <v>0.15</v>
      </c>
    </row>
    <row r="333" spans="1:6" ht="14.25" thickBot="1">
      <c r="A333" s="837" t="s">
        <v>980</v>
      </c>
      <c r="B333" s="831" t="s">
        <v>991</v>
      </c>
      <c r="C333" s="1061">
        <v>0.15</v>
      </c>
      <c r="D333" s="1061">
        <v>0.15</v>
      </c>
      <c r="E333" s="1061">
        <v>0.15</v>
      </c>
      <c r="F333" s="1062">
        <v>0.14099999999999999</v>
      </c>
    </row>
    <row r="334" spans="1:6" ht="14.25" thickBot="1">
      <c r="A334" s="837" t="s">
        <v>980</v>
      </c>
      <c r="B334" s="831" t="s">
        <v>348</v>
      </c>
      <c r="C334" s="1061">
        <v>0.15</v>
      </c>
      <c r="D334" s="1061">
        <v>0.15</v>
      </c>
      <c r="E334" s="1061">
        <v>0.15</v>
      </c>
      <c r="F334" s="1062">
        <v>0.15</v>
      </c>
    </row>
    <row r="335" spans="1:6" ht="14.25" thickBot="1">
      <c r="A335" s="837" t="s">
        <v>980</v>
      </c>
      <c r="B335" s="831" t="s">
        <v>358</v>
      </c>
      <c r="C335" s="1061">
        <v>0.15</v>
      </c>
      <c r="D335" s="1061">
        <v>0.15</v>
      </c>
      <c r="E335" s="1061">
        <v>0.15</v>
      </c>
      <c r="F335" s="1073"/>
    </row>
    <row r="336" spans="1:6" ht="14.25" thickBot="1">
      <c r="A336" s="837" t="s">
        <v>980</v>
      </c>
      <c r="B336" s="831" t="s">
        <v>992</v>
      </c>
      <c r="C336" s="1061">
        <v>0.15</v>
      </c>
      <c r="D336" s="1061">
        <v>0.15</v>
      </c>
      <c r="E336" s="1061">
        <v>0.15</v>
      </c>
      <c r="F336" s="1062">
        <v>0.11799999999999999</v>
      </c>
    </row>
    <row r="337" spans="1:6" ht="14.25" thickBot="1">
      <c r="A337" s="847" t="s">
        <v>980</v>
      </c>
      <c r="B337" s="843" t="s">
        <v>376</v>
      </c>
      <c r="C337" s="1071"/>
      <c r="D337" s="1071"/>
      <c r="E337" s="1071"/>
      <c r="F337" s="1064">
        <v>0.14299999999999999</v>
      </c>
    </row>
    <row r="338" spans="1:6" ht="14.25" thickBot="1">
      <c r="A338" s="837" t="s">
        <v>993</v>
      </c>
      <c r="B338" s="838" t="s">
        <v>994</v>
      </c>
      <c r="C338" s="1059">
        <v>0.15</v>
      </c>
      <c r="D338" s="1059">
        <v>0.15</v>
      </c>
      <c r="E338" s="1059">
        <v>0.15</v>
      </c>
      <c r="F338" s="1076"/>
    </row>
    <row r="339" spans="1:6" ht="14.25" thickBot="1">
      <c r="A339" s="837" t="s">
        <v>993</v>
      </c>
      <c r="B339" s="831" t="s">
        <v>995</v>
      </c>
      <c r="C339" s="1061">
        <v>0.15</v>
      </c>
      <c r="D339" s="1061">
        <v>0.15</v>
      </c>
      <c r="E339" s="1061">
        <v>0.15</v>
      </c>
      <c r="F339" s="1073"/>
    </row>
    <row r="340" spans="1:6" ht="14.25" thickBot="1">
      <c r="A340" s="837" t="s">
        <v>993</v>
      </c>
      <c r="B340" s="831" t="s">
        <v>996</v>
      </c>
      <c r="C340" s="1061">
        <v>0.15</v>
      </c>
      <c r="D340" s="1061">
        <v>0.15</v>
      </c>
      <c r="E340" s="1061">
        <v>0.15</v>
      </c>
      <c r="F340" s="1073"/>
    </row>
    <row r="341" spans="1:6" ht="14.25" thickBot="1">
      <c r="A341" s="837" t="s">
        <v>993</v>
      </c>
      <c r="B341" s="831" t="s">
        <v>997</v>
      </c>
      <c r="C341" s="1061">
        <v>0.15</v>
      </c>
      <c r="D341" s="1061">
        <v>0.15</v>
      </c>
      <c r="E341" s="1061">
        <v>0.15</v>
      </c>
      <c r="F341" s="1062">
        <v>0.15</v>
      </c>
    </row>
    <row r="342" spans="1:6" ht="14.25" thickBot="1">
      <c r="A342" s="837" t="s">
        <v>993</v>
      </c>
      <c r="B342" s="831" t="s">
        <v>998</v>
      </c>
      <c r="C342" s="1061">
        <v>0.15</v>
      </c>
      <c r="D342" s="1061">
        <v>0.15</v>
      </c>
      <c r="E342" s="1061">
        <v>0.15</v>
      </c>
      <c r="F342" s="1062">
        <v>0.15</v>
      </c>
    </row>
    <row r="343" spans="1:6" ht="14.25" thickBot="1">
      <c r="A343" s="837" t="s">
        <v>993</v>
      </c>
      <c r="B343" s="831" t="s">
        <v>999</v>
      </c>
      <c r="C343" s="1061">
        <v>0.15</v>
      </c>
      <c r="D343" s="1061">
        <v>0.15</v>
      </c>
      <c r="E343" s="1061">
        <v>0.15</v>
      </c>
      <c r="F343" s="1062">
        <v>0.15</v>
      </c>
    </row>
    <row r="344" spans="1:6" ht="14.25" thickBot="1">
      <c r="A344" s="847" t="s">
        <v>993</v>
      </c>
      <c r="B344" s="843" t="s">
        <v>1000</v>
      </c>
      <c r="C344" s="1063">
        <v>0.15</v>
      </c>
      <c r="D344" s="1063">
        <v>0.15</v>
      </c>
      <c r="E344" s="1063">
        <v>0.15</v>
      </c>
      <c r="F344" s="1064">
        <v>0.15</v>
      </c>
    </row>
  </sheetData>
  <sheetProtection password="C66D" sheet="1" objects="1" scenarios="1"/>
  <mergeCells count="1">
    <mergeCell ref="A1:B1"/>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1271</v>
      </c>
      <c r="C1" s="1691">
        <f>项目基本情况!D3</f>
        <v>43832</v>
      </c>
      <c r="D1" s="1697" t="s">
        <v>1272</v>
      </c>
      <c r="E1" s="1692">
        <f>'数据-取费表'!B22</f>
        <v>2</v>
      </c>
      <c r="F1" s="1697" t="s">
        <v>1273</v>
      </c>
      <c r="G1" s="1693">
        <f ca="1">INDIRECT("d"&amp;$K$1)/100</f>
        <v>4.7500000000000001E-2</v>
      </c>
      <c r="H1" s="1697" t="s">
        <v>1303</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1274</v>
      </c>
      <c r="E2" s="1633"/>
      <c r="F2" s="1633" t="s">
        <v>1275</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1276</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1277</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1278</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1279</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1280</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1281</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1282</v>
      </c>
      <c r="C10" s="1661"/>
      <c r="D10" s="1661"/>
      <c r="E10" s="1661"/>
      <c r="F10" s="1661"/>
      <c r="G10" s="1661"/>
      <c r="H10" s="1661"/>
      <c r="I10" s="1635"/>
      <c r="J10" s="1635"/>
      <c r="K10" s="1661"/>
      <c r="L10" s="1662" t="s">
        <v>1283</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1284</v>
      </c>
      <c r="C11" s="1666" t="s">
        <v>1285</v>
      </c>
      <c r="D11" s="1667" t="s">
        <v>1286</v>
      </c>
      <c r="E11" s="1668"/>
      <c r="F11" s="1667" t="s">
        <v>1287</v>
      </c>
      <c r="G11" s="1669"/>
      <c r="H11" s="1668"/>
      <c r="I11" s="1667" t="s">
        <v>1288</v>
      </c>
      <c r="J11" s="1668"/>
      <c r="K11" s="1664"/>
      <c r="L11" s="1665" t="s">
        <v>1284</v>
      </c>
      <c r="M11" s="1666" t="s">
        <v>1285</v>
      </c>
      <c r="N11" s="1665" t="s">
        <v>1289</v>
      </c>
      <c r="O11" s="1667" t="s">
        <v>1290</v>
      </c>
      <c r="P11" s="1669"/>
      <c r="Q11" s="1669"/>
      <c r="R11" s="1669"/>
      <c r="S11" s="1669"/>
      <c r="T11" s="1668"/>
      <c r="U11" s="1667" t="s">
        <v>1291</v>
      </c>
      <c r="V11" s="1669"/>
      <c r="W11" s="1668"/>
      <c r="X11" s="1665" t="s">
        <v>1292</v>
      </c>
      <c r="Y11" s="1665" t="s">
        <v>1293</v>
      </c>
      <c r="Z11" s="1665" t="s">
        <v>1294</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1295</v>
      </c>
      <c r="E12" s="1674" t="s">
        <v>1296</v>
      </c>
      <c r="F12" s="1674" t="s">
        <v>1297</v>
      </c>
      <c r="G12" s="1674" t="s">
        <v>1298</v>
      </c>
      <c r="H12" s="1674" t="s">
        <v>1280</v>
      </c>
      <c r="I12" s="1675" t="s">
        <v>1299</v>
      </c>
      <c r="J12" s="1675" t="s">
        <v>1299</v>
      </c>
      <c r="K12" s="1671"/>
      <c r="L12" s="1672"/>
      <c r="M12" s="1673"/>
      <c r="N12" s="1672"/>
      <c r="O12" s="1675" t="s">
        <v>1300</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1301</v>
      </c>
      <c r="C13" s="1679">
        <v>42301</v>
      </c>
      <c r="D13" s="1680">
        <v>4.3499999999999996</v>
      </c>
      <c r="E13" s="1680">
        <v>4.3499999999999996</v>
      </c>
      <c r="F13" s="1680">
        <v>4.75</v>
      </c>
      <c r="G13" s="1680">
        <v>4.75</v>
      </c>
      <c r="H13" s="1680">
        <v>4.9000000000000004</v>
      </c>
      <c r="I13" s="1680">
        <v>2.75</v>
      </c>
      <c r="J13" s="1680">
        <v>3.25</v>
      </c>
      <c r="K13" s="1677"/>
      <c r="L13" s="1678" t="s">
        <v>1301</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1302</v>
      </c>
      <c r="Y42" s="1684" t="s">
        <v>1302</v>
      </c>
      <c r="Z42" s="1684" t="s">
        <v>1302</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1302</v>
      </c>
      <c r="Y43" s="1684" t="s">
        <v>1302</v>
      </c>
      <c r="Z43" s="1684" t="s">
        <v>1302</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1302</v>
      </c>
      <c r="Y44" s="1684" t="s">
        <v>1302</v>
      </c>
      <c r="Z44" s="1684" t="s">
        <v>1302</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1302</v>
      </c>
      <c r="Y45" s="1684" t="s">
        <v>1302</v>
      </c>
      <c r="Z45" s="1684" t="s">
        <v>1302</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1302</v>
      </c>
      <c r="Y46" s="1684" t="s">
        <v>1302</v>
      </c>
      <c r="Z46" s="1684" t="s">
        <v>1302</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1302</v>
      </c>
      <c r="Y47" s="1684" t="s">
        <v>1302</v>
      </c>
      <c r="Z47" s="1684" t="s">
        <v>1302</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1302</v>
      </c>
      <c r="Y48" s="1684" t="s">
        <v>1302</v>
      </c>
      <c r="Z48" s="1684" t="s">
        <v>1302</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1302</v>
      </c>
      <c r="Y49" s="1684" t="s">
        <v>1302</v>
      </c>
      <c r="Z49" s="1684" t="s">
        <v>1302</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1302</v>
      </c>
      <c r="Y50" s="1684" t="s">
        <v>1302</v>
      </c>
      <c r="Z50" s="1684" t="s">
        <v>1302</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1302</v>
      </c>
      <c r="V51" s="1684" t="s">
        <v>1302</v>
      </c>
      <c r="W51" s="1684" t="s">
        <v>1302</v>
      </c>
      <c r="X51" s="1684" t="s">
        <v>1302</v>
      </c>
      <c r="Y51" s="1684" t="s">
        <v>1302</v>
      </c>
      <c r="Z51" s="1684" t="s">
        <v>1302</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1302</v>
      </c>
      <c r="J55" s="1684" t="s">
        <v>1302</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1343</v>
      </c>
      <c r="E1" s="1773" t="s">
        <v>1347</v>
      </c>
      <c r="F1" s="1774" t="s">
        <v>1351</v>
      </c>
    </row>
    <row r="2" spans="1:13" ht="20.25">
      <c r="A2" s="1780" t="s">
        <v>1344</v>
      </c>
    </row>
    <row r="3" spans="1:13" ht="16.5">
      <c r="A3" s="1781" t="s">
        <v>1345</v>
      </c>
    </row>
    <row r="4" spans="1:13" ht="14.25">
      <c r="A4" s="1771" t="s">
        <v>1346</v>
      </c>
      <c r="B4" s="1776" t="s">
        <v>1348</v>
      </c>
      <c r="C4" s="1777"/>
      <c r="D4" s="1778"/>
      <c r="E4" s="1776" t="s">
        <v>24</v>
      </c>
      <c r="F4" s="1777"/>
      <c r="G4" s="1778"/>
      <c r="H4" s="1776" t="s">
        <v>1349</v>
      </c>
      <c r="I4" s="1777"/>
      <c r="J4" s="1778"/>
      <c r="K4" s="1776" t="s">
        <v>3</v>
      </c>
      <c r="L4" s="1777"/>
      <c r="M4" s="1778"/>
    </row>
    <row r="5" spans="1:13" ht="14.25">
      <c r="A5" s="1772" t="s">
        <v>1350</v>
      </c>
      <c r="B5" s="1771" t="s">
        <v>1352</v>
      </c>
      <c r="C5" s="1771" t="s">
        <v>1353</v>
      </c>
      <c r="D5" s="1771" t="s">
        <v>1354</v>
      </c>
      <c r="E5" s="1771" t="s">
        <v>1352</v>
      </c>
      <c r="F5" s="1771" t="s">
        <v>1353</v>
      </c>
      <c r="G5" s="1771" t="s">
        <v>1354</v>
      </c>
      <c r="H5" s="1771" t="s">
        <v>1352</v>
      </c>
      <c r="I5" s="1771" t="s">
        <v>1353</v>
      </c>
      <c r="J5" s="1771" t="s">
        <v>1354</v>
      </c>
      <c r="K5" s="1771" t="s">
        <v>1352</v>
      </c>
      <c r="L5" s="1771" t="s">
        <v>1353</v>
      </c>
      <c r="M5" s="1771" t="s">
        <v>1354</v>
      </c>
    </row>
    <row r="6" spans="1:13" ht="14.25">
      <c r="A6" s="1775" t="s">
        <v>188</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245</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418</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113</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499</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32</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502</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504</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506</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510</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790</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791</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E16" sqref="E16"/>
    </sheetView>
  </sheetViews>
  <sheetFormatPr defaultRowHeight="13.5"/>
  <sheetData>
    <row r="1" spans="1:4">
      <c r="A1" s="2956" t="s">
        <v>3083</v>
      </c>
      <c r="B1">
        <v>105817</v>
      </c>
      <c r="C1">
        <v>10938.89</v>
      </c>
      <c r="D1">
        <f>'数据-基础表'!B3</f>
        <v>46024.009999999995</v>
      </c>
    </row>
    <row r="2" spans="1:4">
      <c r="A2" s="2956" t="s">
        <v>3086</v>
      </c>
      <c r="B2" s="2958">
        <v>17090</v>
      </c>
      <c r="C2">
        <v>633.59</v>
      </c>
      <c r="D2">
        <f>'[1]数据-基础表'!$B$3</f>
        <v>2665.73</v>
      </c>
    </row>
    <row r="3" spans="1:4">
      <c r="A3" s="2956" t="s">
        <v>3087</v>
      </c>
      <c r="B3" s="2956">
        <v>4592</v>
      </c>
    </row>
    <row r="4" spans="1:4">
      <c r="A4" s="2956" t="s">
        <v>3084</v>
      </c>
      <c r="B4" s="2956">
        <v>31454</v>
      </c>
    </row>
    <row r="5" spans="1:4">
      <c r="A5" s="2956" t="s">
        <v>3085</v>
      </c>
      <c r="B5" s="2956">
        <v>31454</v>
      </c>
    </row>
    <row r="6" spans="1:4">
      <c r="A6" s="2956" t="s">
        <v>3088</v>
      </c>
      <c r="B6">
        <f>SUM(B1:B5)</f>
        <v>190407</v>
      </c>
      <c r="C6">
        <f>C1+C2</f>
        <v>11572.48</v>
      </c>
      <c r="D6">
        <f>D1+D2</f>
        <v>48689.74</v>
      </c>
    </row>
    <row r="8" spans="1:4">
      <c r="A8" s="2956" t="s">
        <v>3097</v>
      </c>
      <c r="B8">
        <f>ROUND('[2]数据-基础表'!B3/[2]Sheet1!B6*[3]Sheet1!$C$3,0)</f>
        <v>11474</v>
      </c>
    </row>
    <row r="9" spans="1:4">
      <c r="A9" s="2956" t="s">
        <v>3098</v>
      </c>
      <c r="B9">
        <f>ROUND('[4]数据-基础表'!$B$3/B6*[3]Sheet1!$C$3,0)</f>
        <v>665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1611</v>
      </c>
      <c r="B2" s="2982" t="s">
        <v>1612</v>
      </c>
      <c r="C2" s="2982" t="s">
        <v>1613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1" t="s">
        <v>1608</v>
      </c>
      <c r="E3" s="1041" t="s">
        <v>1614</v>
      </c>
      <c r="F3" s="1041" t="s">
        <v>1608</v>
      </c>
      <c r="G3" s="1041" t="s">
        <v>1609</v>
      </c>
      <c r="H3" s="1041" t="s">
        <v>1608</v>
      </c>
      <c r="I3" s="1041" t="s">
        <v>1609</v>
      </c>
    </row>
    <row r="4" spans="1:9" ht="30">
      <c r="A4" s="1969" t="str">
        <f>项目基本情况!S2</f>
        <v>北京市出让国有建设用地使用权及在建建筑物房地产</v>
      </c>
      <c r="B4" s="1041">
        <f>项目基本情况!C17</f>
        <v>46024.009999999995</v>
      </c>
      <c r="C4" s="1041">
        <f>项目基本情况!C18</f>
        <v>10938.89</v>
      </c>
      <c r="D4" s="1041">
        <f ca="1">结果表!D118</f>
        <v>45279</v>
      </c>
      <c r="E4" s="1041">
        <f ca="1">结果表!E118</f>
        <v>9838</v>
      </c>
      <c r="F4" s="1041">
        <f ca="1">结果表!F118</f>
        <v>6646</v>
      </c>
      <c r="G4" s="1041">
        <f ca="1">结果表!G118</f>
        <v>1444</v>
      </c>
      <c r="H4" s="1041">
        <f ca="1">结果表!H118</f>
        <v>51925</v>
      </c>
      <c r="I4" s="1041">
        <f ca="1">结果表!I118</f>
        <v>11282</v>
      </c>
    </row>
    <row r="5" spans="1:9" ht="30" customHeight="1">
      <c r="A5" s="2976" t="s">
        <v>1610</v>
      </c>
      <c r="B5" s="2976"/>
      <c r="C5" s="2976"/>
      <c r="D5" s="2977" t="str">
        <f ca="1">结果表!D119</f>
        <v>肆亿伍仟贰佰柒拾玖万元整</v>
      </c>
      <c r="E5" s="2977"/>
      <c r="F5" s="2977" t="str">
        <f ca="1">结果表!F119</f>
        <v>陆仟陆佰肆拾陆万元整</v>
      </c>
      <c r="G5" s="2977"/>
      <c r="H5" s="2977" t="str">
        <f ca="1">结果表!H119</f>
        <v>伍亿壹仟玖佰贰拾伍万元整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1610</v>
      </c>
      <c r="B7" s="2976"/>
      <c r="C7" s="2976"/>
      <c r="D7" s="2978" t="str">
        <f>结果表!D121</f>
        <v>零元整</v>
      </c>
      <c r="E7" s="2979"/>
      <c r="F7" s="2979"/>
      <c r="G7" s="2979"/>
      <c r="H7" s="2979"/>
      <c r="I7" s="2980"/>
    </row>
    <row r="8" spans="1:9" ht="15.75">
      <c r="A8" s="2975" t="str">
        <f>结果表!A122</f>
        <v>房地产抵押价值</v>
      </c>
      <c r="B8" s="2975"/>
      <c r="C8" s="2975"/>
      <c r="D8" s="2975">
        <f ca="1">结果表!D122</f>
        <v>51925</v>
      </c>
      <c r="E8" s="2975"/>
      <c r="F8" s="2975"/>
      <c r="G8" s="2975"/>
      <c r="H8" s="2975"/>
      <c r="I8" s="2975"/>
    </row>
    <row r="9" spans="1:9" ht="15">
      <c r="A9" s="2976" t="s">
        <v>1610</v>
      </c>
      <c r="B9" s="2976"/>
      <c r="C9" s="2976"/>
      <c r="D9" s="2977" t="str">
        <f ca="1">结果表!D123</f>
        <v>伍亿壹仟玖佰贰拾伍万元整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1610</v>
      </c>
      <c r="B11" s="2976"/>
      <c r="C11" s="2976"/>
      <c r="D11" s="2977" t="e">
        <f>结果表!D125</f>
        <v>#VALUE!</v>
      </c>
      <c r="E11" s="2977"/>
      <c r="F11" s="2977"/>
      <c r="G11" s="2977"/>
      <c r="H11" s="2977"/>
      <c r="I11" s="2977"/>
    </row>
    <row r="12" spans="1:9" ht="15.75">
      <c r="A12" s="2975" t="str">
        <f>结果表!A126</f>
        <v>抵押净值</v>
      </c>
      <c r="B12" s="2975"/>
      <c r="C12" s="2975"/>
      <c r="D12" s="2975">
        <f ca="1">结果表!D126</f>
        <v>44765</v>
      </c>
      <c r="E12" s="2975"/>
      <c r="F12" s="2975"/>
      <c r="G12" s="2975"/>
      <c r="H12" s="2975"/>
      <c r="I12" s="2975"/>
    </row>
    <row r="13" spans="1:9" ht="15.75" thickBot="1">
      <c r="A13" s="2972" t="s">
        <v>1610</v>
      </c>
      <c r="B13" s="2972"/>
      <c r="C13" s="2972"/>
      <c r="D13" s="2973" t="str">
        <f ca="1">结果表!D127</f>
        <v>肆亿肆仟柒佰陆拾伍万元整</v>
      </c>
      <c r="E13" s="2973"/>
      <c r="F13" s="2973"/>
      <c r="G13" s="2973"/>
      <c r="H13" s="2973"/>
      <c r="I13" s="2973"/>
    </row>
    <row r="14" spans="1:9" ht="15" thickTop="1">
      <c r="A14" s="2974" t="s">
        <v>1615</v>
      </c>
      <c r="B14" s="2974"/>
      <c r="C14" s="2974"/>
      <c r="D14" s="2974"/>
      <c r="E14" s="2974"/>
      <c r="F14" s="2974"/>
      <c r="G14" s="2974"/>
      <c r="H14" s="2974"/>
      <c r="I14" s="2974"/>
    </row>
    <row r="16" spans="1:9" ht="18.75">
      <c r="A16" s="1970" t="s">
        <v>1598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9" t="s">
        <v>1632</v>
      </c>
      <c r="B1" s="2989"/>
      <c r="C1" s="2989"/>
      <c r="D1" s="2989"/>
    </row>
    <row r="2" spans="1:4" ht="18">
      <c r="A2" s="2990" t="s">
        <v>1616</v>
      </c>
      <c r="B2" s="2990"/>
      <c r="C2" s="2990"/>
      <c r="D2" s="2990"/>
    </row>
    <row r="3" spans="1:4" ht="18.75">
      <c r="A3" s="1973" t="s">
        <v>1617</v>
      </c>
      <c r="B3" s="1973" t="s">
        <v>1618</v>
      </c>
      <c r="C3" s="1973" t="s">
        <v>1619</v>
      </c>
      <c r="D3" s="1973" t="s">
        <v>1620</v>
      </c>
    </row>
    <row r="4" spans="1:4" ht="56.25" customHeight="1">
      <c r="A4" s="1974" t="str">
        <f>项目基本情况!B4</f>
        <v>吴薇</v>
      </c>
      <c r="B4" s="1975">
        <f ca="1">项目基本情况!C4</f>
        <v>1419970001</v>
      </c>
      <c r="C4" s="1976"/>
      <c r="D4" s="1977" t="s">
        <v>1621</v>
      </c>
    </row>
    <row r="5" spans="1:4" ht="56.25" customHeight="1">
      <c r="A5" s="1974" t="str">
        <f>项目基本情况!D4</f>
        <v>郑燚</v>
      </c>
      <c r="B5" s="1975">
        <f ca="1">项目基本情况!E4</f>
        <v>1120070131</v>
      </c>
      <c r="C5" s="1978"/>
      <c r="D5" s="1977" t="s">
        <v>1621</v>
      </c>
    </row>
    <row r="6" spans="1:4" ht="18">
      <c r="A6" s="2990" t="s">
        <v>1622</v>
      </c>
      <c r="B6" s="2990"/>
      <c r="C6" s="2990"/>
      <c r="D6" s="2990"/>
    </row>
    <row r="7" spans="1:4" ht="18.75">
      <c r="A7" s="1973" t="s">
        <v>1617</v>
      </c>
      <c r="B7" s="1975" t="s">
        <v>1623</v>
      </c>
      <c r="C7" s="1973" t="s">
        <v>1619</v>
      </c>
      <c r="D7" s="1973" t="s">
        <v>1620</v>
      </c>
    </row>
    <row r="8" spans="1:4" ht="56.25" customHeight="1">
      <c r="A8" s="1979" t="s">
        <v>841</v>
      </c>
      <c r="B8" s="1979" t="s">
        <v>0</v>
      </c>
      <c r="C8" s="1976"/>
      <c r="D8" s="1977" t="s">
        <v>1621</v>
      </c>
    </row>
    <row r="9" spans="1:4">
      <c r="A9" s="725"/>
      <c r="B9" s="725"/>
      <c r="C9" s="725"/>
      <c r="D9" s="725"/>
    </row>
    <row r="10" spans="1:4" ht="18.75">
      <c r="A10" s="1980" t="s">
        <v>1624</v>
      </c>
      <c r="B10" s="725"/>
      <c r="C10" s="725"/>
      <c r="D10" s="725"/>
    </row>
    <row r="11" spans="1:4" ht="30" customHeight="1">
      <c r="A11" s="2991" t="s">
        <v>1625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1626</v>
      </c>
      <c r="B16" s="2985"/>
      <c r="C16" s="2985"/>
      <c r="D16" s="2985"/>
    </row>
    <row r="17" spans="1:4" ht="144" customHeight="1">
      <c r="A17" s="2985" t="s">
        <v>1627</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1628</v>
      </c>
      <c r="B22" s="2987"/>
      <c r="C22" s="2987"/>
      <c r="D22" s="2987"/>
    </row>
    <row r="23" spans="1:4">
      <c r="A23" s="1981"/>
      <c r="B23" s="1953"/>
      <c r="C23" s="1953"/>
      <c r="D23" s="1953"/>
    </row>
    <row r="24" spans="1:4">
      <c r="A24" s="1981"/>
      <c r="B24" s="1953"/>
      <c r="C24" s="1953"/>
      <c r="D24" s="1953"/>
    </row>
    <row r="25" spans="1:4" ht="18.75">
      <c r="A25" s="1982" t="s">
        <v>1629</v>
      </c>
    </row>
    <row r="26" spans="1:4" ht="18">
      <c r="A26" s="1951"/>
    </row>
    <row r="27" spans="1:4" ht="18.75">
      <c r="A27" s="1951" t="s">
        <v>1630</v>
      </c>
    </row>
    <row r="30" spans="1:4" ht="18.75">
      <c r="D30" s="1982" t="s">
        <v>1631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842</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9" customWidth="1"/>
    <col min="2" max="16384" width="14.5" style="1971"/>
  </cols>
  <sheetData>
    <row r="1" spans="1:7" s="1986" customFormat="1" ht="18.75">
      <c r="A1" s="1985" t="s">
        <v>1633</v>
      </c>
    </row>
    <row r="3" spans="1:7">
      <c r="A3" s="1987" t="s">
        <v>58</v>
      </c>
      <c r="B3" s="1971" t="s">
        <v>1634</v>
      </c>
      <c r="G3" s="1988"/>
    </row>
    <row r="4" spans="1:7">
      <c r="G4" s="1988"/>
    </row>
    <row r="5" spans="1:7">
      <c r="A5" s="1990" t="s">
        <v>49</v>
      </c>
      <c r="B5" s="1971" t="s">
        <v>1635</v>
      </c>
      <c r="G5" s="1988"/>
    </row>
    <row r="6" spans="1:7">
      <c r="G6" s="1988"/>
    </row>
    <row r="7" spans="1:7">
      <c r="A7" s="1991" t="s">
        <v>111</v>
      </c>
      <c r="B7" s="1971" t="s">
        <v>1636</v>
      </c>
      <c r="G7" s="1988"/>
    </row>
    <row r="8" spans="1:7">
      <c r="G8" s="1988"/>
    </row>
    <row r="9" spans="1:7">
      <c r="A9" s="1992" t="s">
        <v>50</v>
      </c>
      <c r="B9" s="1971" t="s">
        <v>1637</v>
      </c>
    </row>
    <row r="11" spans="1:7">
      <c r="A11" s="1993" t="s">
        <v>51</v>
      </c>
      <c r="B11" s="1994" t="s">
        <v>48</v>
      </c>
    </row>
    <row r="13" spans="1:7">
      <c r="A13" s="1995" t="s">
        <v>1638</v>
      </c>
    </row>
    <row r="15" spans="1:7" ht="13.5">
      <c r="A15" s="2997" t="s">
        <v>1639</v>
      </c>
      <c r="B15" s="2992" t="s">
        <v>112</v>
      </c>
      <c r="C15" s="2993"/>
    </row>
    <row r="16" spans="1:7" ht="13.5">
      <c r="A16" s="2998"/>
      <c r="B16" s="2992" t="s">
        <v>45</v>
      </c>
      <c r="C16" s="2993"/>
    </row>
    <row r="17" spans="1:3" ht="13.5">
      <c r="A17" s="2998"/>
      <c r="B17" s="2995" t="s">
        <v>1640</v>
      </c>
      <c r="C17" s="1996" t="s">
        <v>1639</v>
      </c>
    </row>
    <row r="18" spans="1:3" ht="13.5">
      <c r="A18" s="2998"/>
      <c r="B18" s="2995"/>
      <c r="C18" s="1996" t="s">
        <v>1641</v>
      </c>
    </row>
    <row r="19" spans="1:3" ht="13.5">
      <c r="A19" s="2998"/>
      <c r="B19" s="2995"/>
      <c r="C19" s="1996" t="s">
        <v>1642</v>
      </c>
    </row>
    <row r="20" spans="1:3" ht="13.5">
      <c r="A20" s="2999"/>
      <c r="B20" s="2994" t="s">
        <v>1643</v>
      </c>
      <c r="C20" s="2993"/>
    </row>
    <row r="21" spans="1:3" ht="13.5">
      <c r="A21" s="1997" t="s">
        <v>1644</v>
      </c>
      <c r="B21" s="1998"/>
      <c r="C21" s="1999"/>
    </row>
    <row r="22" spans="1:3" ht="13.5">
      <c r="A22" s="2996" t="s">
        <v>1645</v>
      </c>
      <c r="B22" s="2994" t="s">
        <v>1646</v>
      </c>
      <c r="C22" s="2993"/>
    </row>
    <row r="23" spans="1:3" ht="13.5">
      <c r="A23" s="2996"/>
      <c r="B23" s="2994" t="s">
        <v>1647</v>
      </c>
      <c r="C23" s="2993"/>
    </row>
    <row r="24" spans="1:3" ht="13.5">
      <c r="A24" s="2996"/>
      <c r="B24" s="2994" t="s">
        <v>1648</v>
      </c>
      <c r="C24" s="2993"/>
    </row>
    <row r="25" spans="1:3" ht="13.5">
      <c r="A25" s="2996"/>
      <c r="B25" s="2995" t="s">
        <v>1649</v>
      </c>
      <c r="C25" s="1996" t="s">
        <v>1650</v>
      </c>
    </row>
    <row r="26" spans="1:3" ht="13.5">
      <c r="A26" s="2996"/>
      <c r="B26" s="2995"/>
      <c r="C26" s="1996" t="s">
        <v>1651</v>
      </c>
    </row>
    <row r="27" spans="1:3" ht="13.5">
      <c r="A27" s="2996"/>
      <c r="B27" s="2995"/>
      <c r="C27" s="1996" t="s">
        <v>1652</v>
      </c>
    </row>
    <row r="28" spans="1:3" ht="13.5">
      <c r="A28" s="2996"/>
      <c r="B28" s="2995"/>
      <c r="C28" s="1996" t="s">
        <v>1653</v>
      </c>
    </row>
    <row r="29" spans="1:3" ht="13.5">
      <c r="A29" s="2996"/>
      <c r="B29" s="2995"/>
      <c r="C29" s="1996" t="s">
        <v>1654</v>
      </c>
    </row>
    <row r="30" spans="1:3" ht="13.5">
      <c r="A30" s="2996"/>
      <c r="B30" s="2995"/>
      <c r="C30" s="1996" t="s">
        <v>1655</v>
      </c>
    </row>
    <row r="31" spans="1:3" ht="13.5">
      <c r="A31" s="2996"/>
      <c r="B31" s="2995"/>
      <c r="C31" s="1996" t="s">
        <v>1656</v>
      </c>
    </row>
    <row r="32" spans="1:3" ht="13.5">
      <c r="A32" s="2996"/>
      <c r="B32" s="2995"/>
      <c r="C32" s="1996" t="s">
        <v>1657</v>
      </c>
    </row>
    <row r="33" spans="1:3" ht="13.5">
      <c r="A33" s="2996"/>
      <c r="B33" s="2995"/>
      <c r="C33" s="1996" t="s">
        <v>1658</v>
      </c>
    </row>
    <row r="34" spans="1:3">
      <c r="A34" s="2000" t="s">
        <v>52</v>
      </c>
    </row>
    <row r="37" spans="1:3">
      <c r="A37" s="2000" t="s">
        <v>1659</v>
      </c>
    </row>
    <row r="38" spans="1:3" ht="13.5">
      <c r="A38" s="2001" t="s">
        <v>53</v>
      </c>
    </row>
    <row r="39" spans="1:3" ht="13.5">
      <c r="A39" s="2001" t="s">
        <v>54</v>
      </c>
    </row>
    <row r="40" spans="1:3" ht="13.5">
      <c r="A40" s="2001" t="s">
        <v>55</v>
      </c>
    </row>
    <row r="41" spans="1:3" ht="13.5">
      <c r="A41" s="2002" t="s">
        <v>56</v>
      </c>
    </row>
    <row r="42" spans="1:3" ht="13.5">
      <c r="A42" s="2001"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801</v>
      </c>
      <c r="B2" s="1015">
        <f ca="1">TODAY()</f>
        <v>43836</v>
      </c>
      <c r="C2" s="1016" t="s">
        <v>802</v>
      </c>
      <c r="D2" s="1016"/>
    </row>
    <row r="3" spans="1:6" ht="24" customHeight="1">
      <c r="A3" s="1017" t="s">
        <v>803</v>
      </c>
      <c r="B3" s="1018" t="s">
        <v>804</v>
      </c>
      <c r="C3" s="2342" t="s">
        <v>805</v>
      </c>
      <c r="D3" s="2345" t="s">
        <v>806</v>
      </c>
      <c r="E3" s="1019" t="s">
        <v>807</v>
      </c>
      <c r="F3" s="1018" t="s">
        <v>805</v>
      </c>
    </row>
    <row r="4" spans="1:6" ht="24" customHeight="1">
      <c r="A4" s="1699" t="s">
        <v>808</v>
      </c>
      <c r="B4" s="1019">
        <f ca="1">IF(C4&lt;B2,"已过期",1119970066)</f>
        <v>1119970066</v>
      </c>
      <c r="C4" s="2343">
        <v>43849</v>
      </c>
      <c r="D4" s="2346" t="s">
        <v>808</v>
      </c>
      <c r="E4" s="1019">
        <f ca="1">IF(F4&lt;B2,"已过期",96010014)</f>
        <v>96010014</v>
      </c>
      <c r="F4" s="1027">
        <v>47118</v>
      </c>
    </row>
    <row r="5" spans="1:6" ht="24" customHeight="1">
      <c r="A5" s="1699"/>
      <c r="B5" s="1019"/>
      <c r="C5" s="2343"/>
      <c r="D5" s="2346"/>
      <c r="E5" s="1019"/>
      <c r="F5" s="1027"/>
    </row>
    <row r="6" spans="1:6" ht="24" customHeight="1">
      <c r="A6" s="1699" t="s">
        <v>809</v>
      </c>
      <c r="B6" s="1019">
        <f ca="1">IF(C6&lt;B2,"已过期",1119970111)</f>
        <v>1119970111</v>
      </c>
      <c r="C6" s="2343">
        <v>44876</v>
      </c>
      <c r="D6" s="2346" t="s">
        <v>809</v>
      </c>
      <c r="E6" s="1019">
        <f ca="1">IF(F6&lt;B2,"已过期",94010078)</f>
        <v>94010078</v>
      </c>
      <c r="F6" s="1027">
        <v>46387</v>
      </c>
    </row>
    <row r="7" spans="1:6" ht="24" customHeight="1">
      <c r="A7" s="1699" t="s">
        <v>810</v>
      </c>
      <c r="B7" s="1019">
        <f ca="1">IF(C7&lt;B2,"已过期",1120050019)</f>
        <v>1120050019</v>
      </c>
      <c r="C7" s="2343">
        <v>44395</v>
      </c>
      <c r="D7" s="2346" t="s">
        <v>810</v>
      </c>
      <c r="E7" s="1019">
        <f ca="1">IF(F7&lt;B2,"已过期",2002110030)</f>
        <v>2002110030</v>
      </c>
      <c r="F7" s="1027">
        <v>46387</v>
      </c>
    </row>
    <row r="8" spans="1:6" ht="24" customHeight="1">
      <c r="A8" s="1699" t="s">
        <v>811</v>
      </c>
      <c r="B8" s="1019">
        <f ca="1">IF(C8&lt;B2,"已过期",1120000080)</f>
        <v>1120000080</v>
      </c>
      <c r="C8" s="2343">
        <v>43849</v>
      </c>
      <c r="D8" s="2346" t="s">
        <v>811</v>
      </c>
      <c r="E8" s="1019">
        <f ca="1">IF(F8&lt;B2,"已过期",2000110082)</f>
        <v>2000110082</v>
      </c>
      <c r="F8" s="1027">
        <v>46387</v>
      </c>
    </row>
    <row r="9" spans="1:6" ht="24" customHeight="1">
      <c r="A9" s="1699" t="s">
        <v>812</v>
      </c>
      <c r="B9" s="1019">
        <f ca="1">IF(C9&lt;B2,"已过期",1419970001)</f>
        <v>1419970001</v>
      </c>
      <c r="C9" s="2343">
        <v>43867</v>
      </c>
      <c r="D9" s="2346" t="s">
        <v>812</v>
      </c>
      <c r="E9" s="1019">
        <f ca="1">IF(F9&lt;B2,"已过期",2002110125)</f>
        <v>2002110125</v>
      </c>
      <c r="F9" s="1027">
        <v>47118</v>
      </c>
    </row>
    <row r="10" spans="1:6" ht="24" customHeight="1">
      <c r="A10" s="1699" t="s">
        <v>813</v>
      </c>
      <c r="B10" s="1019">
        <f ca="1">IF(C10&lt;B2,"已过期",1120060040)</f>
        <v>1120060040</v>
      </c>
      <c r="C10" s="2343">
        <v>44554</v>
      </c>
      <c r="D10" s="2346" t="s">
        <v>813</v>
      </c>
      <c r="E10" s="1019">
        <f ca="1">IF(F10&lt;B2,"已过期",2004110096)</f>
        <v>2004110096</v>
      </c>
      <c r="F10" s="1027">
        <v>47118</v>
      </c>
    </row>
    <row r="11" spans="1:6" ht="24" customHeight="1">
      <c r="A11" s="1699" t="s">
        <v>814</v>
      </c>
      <c r="B11" s="1019">
        <f ca="1">IF(C11&lt;B2,"已过期",1120100036)</f>
        <v>1120100036</v>
      </c>
      <c r="C11" s="2343">
        <v>44675</v>
      </c>
      <c r="D11" s="2346" t="s">
        <v>814</v>
      </c>
      <c r="E11" s="1019">
        <f ca="1">IF(F11&lt;B2,"已过期",2010110070)</f>
        <v>2010110070</v>
      </c>
      <c r="F11" s="1027">
        <v>47907</v>
      </c>
    </row>
    <row r="12" spans="1:6" ht="24" customHeight="1">
      <c r="A12" s="1699"/>
      <c r="B12" s="1019"/>
      <c r="C12" s="2925"/>
      <c r="D12" s="1699"/>
      <c r="E12" s="1019"/>
      <c r="F12" s="1027"/>
    </row>
    <row r="13" spans="1:6" ht="24" customHeight="1">
      <c r="A13" s="1699" t="s">
        <v>815</v>
      </c>
      <c r="B13" s="1019">
        <f ca="1">IF(C13&lt;B2,"已过期",1120070131)</f>
        <v>1120070131</v>
      </c>
      <c r="C13" s="2343">
        <v>44849</v>
      </c>
      <c r="D13" s="2346" t="s">
        <v>815</v>
      </c>
      <c r="E13" s="1019">
        <f ca="1">IF(F13&lt;B2,"已过期",2014110011)</f>
        <v>2014110011</v>
      </c>
      <c r="F13" s="1027">
        <v>49302</v>
      </c>
    </row>
    <row r="14" spans="1:6" ht="24" customHeight="1">
      <c r="A14" s="1699" t="s">
        <v>3017</v>
      </c>
      <c r="B14" s="1019">
        <f ca="1">IF(C14&lt;B2,"已过期",1120040230)</f>
        <v>1120040230</v>
      </c>
      <c r="C14" s="2343">
        <v>44864</v>
      </c>
      <c r="D14" s="2346" t="s">
        <v>3017</v>
      </c>
      <c r="E14" s="1019">
        <f ca="1">IF(F14&lt;B2,"已过期",98030020)</f>
        <v>98030020</v>
      </c>
      <c r="F14" s="1027">
        <v>47118</v>
      </c>
    </row>
    <row r="15" spans="1:6" ht="24" customHeight="1">
      <c r="A15" s="1700"/>
      <c r="B15" s="1019"/>
      <c r="C15" s="2343"/>
      <c r="D15" s="2347"/>
      <c r="E15" s="1019"/>
      <c r="F15" s="1020"/>
    </row>
    <row r="16" spans="1:6" ht="24" customHeight="1">
      <c r="A16" s="1699"/>
      <c r="B16" s="1019"/>
      <c r="C16" s="2925"/>
      <c r="D16" s="2346"/>
      <c r="E16" s="1019"/>
      <c r="F16" s="1027"/>
    </row>
    <row r="17" spans="1:7" ht="24" customHeight="1">
      <c r="A17" s="1699"/>
      <c r="B17" s="1019"/>
      <c r="C17" s="2343"/>
      <c r="D17" s="2346"/>
      <c r="E17" s="1019"/>
      <c r="F17" s="1027"/>
    </row>
    <row r="18" spans="1:7" ht="24" customHeight="1">
      <c r="A18" s="1699" t="s">
        <v>3024</v>
      </c>
      <c r="B18" s="1019">
        <v>1120190079</v>
      </c>
      <c r="C18" s="2925">
        <v>44826</v>
      </c>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816</v>
      </c>
      <c r="E21" s="1019">
        <f ca="1">IF(F21&lt;B2,"已过期",2011110090)</f>
        <v>2011110090</v>
      </c>
      <c r="F21" s="1027">
        <v>48302</v>
      </c>
    </row>
    <row r="22" spans="1:7" ht="24" customHeight="1">
      <c r="A22" s="1699" t="s">
        <v>817</v>
      </c>
      <c r="B22" s="1019">
        <f ca="1">IF(C22&lt;B2,"已过期",1120020033)</f>
        <v>1120020033</v>
      </c>
      <c r="C22" s="2925">
        <v>44339</v>
      </c>
      <c r="D22" s="2346" t="s">
        <v>817</v>
      </c>
      <c r="E22" s="1019">
        <f ca="1">IF(F22&lt;B2,"已过期",2000110137)</f>
        <v>2000110137</v>
      </c>
      <c r="F22" s="1027">
        <v>46387</v>
      </c>
    </row>
    <row r="23" spans="1:7" ht="24" customHeight="1">
      <c r="A23" s="1699" t="s">
        <v>3026</v>
      </c>
      <c r="B23" s="1019">
        <v>1119980106</v>
      </c>
      <c r="C23" s="2343">
        <v>43916</v>
      </c>
      <c r="D23" s="2346"/>
      <c r="E23" s="1019"/>
      <c r="F23" s="1019"/>
    </row>
    <row r="24" spans="1:7" s="1021" customFormat="1" ht="24" customHeight="1">
      <c r="A24" s="1700" t="s">
        <v>1304</v>
      </c>
      <c r="B24" s="1700" t="s">
        <v>1304</v>
      </c>
      <c r="C24" s="2344" t="s">
        <v>1304</v>
      </c>
      <c r="D24" s="2347" t="s">
        <v>1304</v>
      </c>
      <c r="E24" s="1700" t="s">
        <v>1304</v>
      </c>
      <c r="F24" s="1700" t="s">
        <v>1304</v>
      </c>
    </row>
    <row r="25" spans="1:7" ht="24" customHeight="1">
      <c r="A25" s="3000" t="s">
        <v>818</v>
      </c>
      <c r="B25" s="3000"/>
      <c r="C25" s="3000"/>
      <c r="D25" s="3000"/>
      <c r="E25" s="3000"/>
      <c r="F25" s="3000"/>
      <c r="G25" s="3000"/>
    </row>
    <row r="26" spans="1:7" s="1022" customFormat="1" ht="24" customHeight="1">
      <c r="A26" s="3001" t="s">
        <v>819</v>
      </c>
      <c r="B26" s="3001"/>
      <c r="C26" s="3002"/>
      <c r="D26" s="3003" t="s">
        <v>820</v>
      </c>
      <c r="E26" s="3001"/>
      <c r="F26" s="3001"/>
    </row>
    <row r="27" spans="1:7" s="1024" customFormat="1" ht="24" customHeight="1">
      <c r="A27" s="1023" t="s">
        <v>821</v>
      </c>
      <c r="B27" s="1018" t="s">
        <v>822</v>
      </c>
      <c r="C27" s="2342" t="s">
        <v>823</v>
      </c>
      <c r="D27" s="2349" t="s">
        <v>821</v>
      </c>
      <c r="E27" s="1018" t="s">
        <v>822</v>
      </c>
      <c r="F27" s="1018" t="s">
        <v>823</v>
      </c>
    </row>
    <row r="28" spans="1:7" s="1024" customFormat="1" ht="24" customHeight="1">
      <c r="A28" s="1025" t="s">
        <v>824</v>
      </c>
      <c r="B28" s="1026" t="s">
        <v>825</v>
      </c>
      <c r="C28" s="1027">
        <v>44820</v>
      </c>
      <c r="D28" s="2350" t="s">
        <v>826</v>
      </c>
      <c r="E28" s="1025" t="s">
        <v>827</v>
      </c>
      <c r="F28" s="1055">
        <v>44377</v>
      </c>
    </row>
    <row r="29" spans="1:7" s="1024" customFormat="1" ht="24" customHeight="1">
      <c r="A29" s="1025"/>
      <c r="B29" s="1025"/>
      <c r="C29" s="2348"/>
      <c r="D29" s="2350" t="s">
        <v>828</v>
      </c>
      <c r="E29" s="1199" t="s">
        <v>3025</v>
      </c>
      <c r="F29" s="1200">
        <v>44012</v>
      </c>
    </row>
    <row r="30" spans="1:7" ht="24" customHeight="1">
      <c r="C30" s="1028"/>
      <c r="D30" s="1028"/>
    </row>
  </sheetData>
  <sheetProtection sheet="1" objects="1" scenarios="1"/>
  <mergeCells count="3">
    <mergeCell ref="A25:G25"/>
    <mergeCell ref="A26:C26"/>
    <mergeCell ref="D26:F26"/>
  </mergeCells>
  <phoneticPr fontId="84"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2020-01-06T06:51:04Z</dcterms:modified>
</cp:coreProperties>
</file>